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drawings/drawing9.xml" ContentType="application/vnd.openxmlformats-officedocument.drawingml.chartshapes+xml"/>
  <Override PartName="/xl/charts/chart19.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drawings/drawing12.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3.xml" ContentType="application/vnd.openxmlformats-officedocument.drawing+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G:\Meu Drive\HAOC\UATS - equipe\Artigos\Planilha AIO\Revisão 2\"/>
    </mc:Choice>
  </mc:AlternateContent>
  <xr:revisionPtr revIDLastSave="0" documentId="13_ncr:1_{AE2B6638-8B7F-489B-898D-47C1E152884D}" xr6:coauthVersionLast="47" xr6:coauthVersionMax="47" xr10:uidLastSave="{00000000-0000-0000-0000-000000000000}"/>
  <bookViews>
    <workbookView xWindow="-28935" yWindow="-135" windowWidth="29070" windowHeight="15870" tabRatio="825" activeTab="7" xr2:uid="{4EB315A7-D404-4984-8A1B-CFA6B4A28D2D}"/>
  </bookViews>
  <sheets>
    <sheet name="Introduction" sheetId="1" r:id="rId1"/>
    <sheet name="Definitions" sheetId="5" r:id="rId2"/>
    <sheet name="Mkt share" sheetId="3" r:id="rId3"/>
    <sheet name="Population" sheetId="24" r:id="rId4"/>
    <sheet name="Costs" sheetId="4" r:id="rId5"/>
    <sheet name="Time on treatment" sheetId="15" r:id="rId6"/>
    <sheet name="Results" sheetId="11" r:id="rId7"/>
    <sheet name="SensibilityAn" sheetId="27" r:id="rId8"/>
    <sheet name="PSA" sheetId="28" r:id="rId9"/>
    <sheet name="Data" sheetId="26" r:id="rId10"/>
    <sheet name="Calculations" sheetId="9" r:id="rId11"/>
    <sheet name="Calculations2" sheetId="29" r:id="rId12"/>
    <sheet name="Calculations3" sheetId="20" r:id="rId13"/>
    <sheet name="Parameters" sheetId="7" r:id="rId14"/>
    <sheet name="DSA" sheetId="21" r:id="rId15"/>
  </sheets>
  <definedNames>
    <definedName name="_xlnm._FilterDatabase" localSheetId="14" hidden="1">DSA!$H$69:$K$69</definedName>
    <definedName name="_xlnm._FilterDatabase" localSheetId="2" hidden="1">'Mkt share'!$B$21:$P$96</definedName>
    <definedName name="_xlnm._FilterDatabase" localSheetId="5" hidden="1">'Time on treatment'!$C$11:$J$28</definedName>
    <definedName name="_xlchart.v2.0" hidden="1">Population!$C$80:$C$88</definedName>
    <definedName name="_xlchart.v2.1" hidden="1">Population!$J$79</definedName>
    <definedName name="_xlchart.v2.2" hidden="1">Population!$J$80:$J$88</definedName>
    <definedName name="_xleta.AND" hidden="1" xlm="1">#NAME?</definedName>
    <definedName name="_xleta.AVERAGE" hidden="1" xlm="1">#NAME?</definedName>
    <definedName name="_xleta.AVERAGEIF" hidden="1" xlm="1">#NAME?</definedName>
    <definedName name="_xleta.CORREL" hidden="1" xlm="1">#NAME?</definedName>
    <definedName name="_xleta.DATE" hidden="1" xlm="1">#NAME?</definedName>
    <definedName name="_xleta.DISC" hidden="1" xlm="1">#NAME?</definedName>
    <definedName name="_xleta.IF" hidden="1" xlm="1">#NAME?</definedName>
    <definedName name="_xleta.IFERROR" hidden="1" xlm="1">#NAME?</definedName>
    <definedName name="_xleta.NOT" hidden="1" xlm="1">#NAME?</definedName>
    <definedName name="_xleta.OR"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Parameters!$E$56</definedName>
    <definedName name="c_off">Parameters!$E$58</definedName>
    <definedName name="c_on">Parameters!$E$57</definedName>
    <definedName name="ca_comp1">Parameters!$E$46</definedName>
    <definedName name="ca_comp10">Parameters!$E$55</definedName>
    <definedName name="ca_comp2">Parameters!$E$47</definedName>
    <definedName name="ca_comp3">Parameters!$E$48</definedName>
    <definedName name="ca_comp4">Parameters!$E$49</definedName>
    <definedName name="ca_comp5">Parameters!$E$50</definedName>
    <definedName name="ca_comp6">Parameters!$E$51</definedName>
    <definedName name="ca_comp7">Parameters!$E$52</definedName>
    <definedName name="ca_comp8">Parameters!$E$53</definedName>
    <definedName name="ca_comp9">Parameters!$E$54</definedName>
    <definedName name="ca_int1">Parameters!$E$42</definedName>
    <definedName name="ca_int2">Parameters!$E$43</definedName>
    <definedName name="ca_int3">Parameters!$E$44</definedName>
    <definedName name="ca_int4">Parameters!$E$45</definedName>
    <definedName name="calculo">Population!$P$14</definedName>
    <definedName name="cen_atual">Definitions!$E$55</definedName>
    <definedName name="cen_prop1">Definitions!$E$57</definedName>
    <definedName name="cen_prop2">Definitions!$E$58</definedName>
    <definedName name="cen_prop3">Definitions!$E$59</definedName>
    <definedName name="ci_comp1">Parameters!$E$18</definedName>
    <definedName name="ci_comp10">Parameters!$E$27</definedName>
    <definedName name="ci_comp2">Parameters!$E$19</definedName>
    <definedName name="ci_comp3">Parameters!$E$20</definedName>
    <definedName name="ci_comp4">Parameters!$E$21</definedName>
    <definedName name="ci_comp5">Parameters!$E$22</definedName>
    <definedName name="ci_comp6">Parameters!$E$23</definedName>
    <definedName name="ci_comp7">Parameters!$E$24</definedName>
    <definedName name="ci_comp8">Parameters!$E$25</definedName>
    <definedName name="ci_comp9">Parameters!$E$26</definedName>
    <definedName name="ci_int1">Parameters!$E$14</definedName>
    <definedName name="ci_int2">Parameters!$E$15</definedName>
    <definedName name="ci_int3">Parameters!$E$16</definedName>
    <definedName name="ci_int4">Parameters!$E$17</definedName>
    <definedName name="comparador1">Definitions!$E$42</definedName>
    <definedName name="comparador10">Definitions!$E$51</definedName>
    <definedName name="comparador2">Definitions!$E$43</definedName>
    <definedName name="comparador3">Definitions!$E$44</definedName>
    <definedName name="comparador4">Definitions!$E$45</definedName>
    <definedName name="comparador5">Definitions!$E$46</definedName>
    <definedName name="comparador6">Definitions!$E$47</definedName>
    <definedName name="comparador7">Definitions!$E$48</definedName>
    <definedName name="comparador8">Definitions!$E$49</definedName>
    <definedName name="comparador9">Definitions!$E$50</definedName>
    <definedName name="ct_comp1">Parameters!$E$32</definedName>
    <definedName name="ct_comp10">Parameters!$E$41</definedName>
    <definedName name="ct_comp2">Parameters!$E$33</definedName>
    <definedName name="ct_comp3">Parameters!$E$34</definedName>
    <definedName name="ct_comp4">Parameters!$E$35</definedName>
    <definedName name="ct_comp5">Parameters!$E$36</definedName>
    <definedName name="ct_comp6">Parameters!$E$37</definedName>
    <definedName name="ct_comp7">Parameters!$E$38</definedName>
    <definedName name="ct_comp8">Parameters!$E$39</definedName>
    <definedName name="ct_comp9">Parameters!$E$40</definedName>
    <definedName name="ct_int1">Parameters!$E$28</definedName>
    <definedName name="ct_int2">Parameters!$E$29</definedName>
    <definedName name="ct_int3">Parameters!$E$30</definedName>
    <definedName name="ct_int4">Parameters!$E$31</definedName>
    <definedName name="demanda">Population!$E$9</definedName>
    <definedName name="desc_por_ob">'Time on treatment'!$J$54</definedName>
    <definedName name="desc1_1">'Time on treatment'!$R$65</definedName>
    <definedName name="desc1_2">'Time on treatment'!$S$65</definedName>
    <definedName name="desc1_3">'Time on treatment'!$T$65</definedName>
    <definedName name="desc1_4">'Time on treatment'!$U$65</definedName>
    <definedName name="desc10_1">'Time on treatment'!$R$75</definedName>
    <definedName name="desc10_2">'Time on treatment'!$S$75</definedName>
    <definedName name="desc10_3">'Time on treatment'!$T$75</definedName>
    <definedName name="desc10_4">'Time on treatment'!$U$75</definedName>
    <definedName name="desc11_1">'Time on treatment'!$R$76</definedName>
    <definedName name="desc11_2">'Time on treatment'!$S$76</definedName>
    <definedName name="desc11_3">'Time on treatment'!$T$76</definedName>
    <definedName name="desc11_4">'Time on treatment'!$U$76</definedName>
    <definedName name="desc12_1">'Time on treatment'!$R$77</definedName>
    <definedName name="desc12_2">'Time on treatment'!$S$77</definedName>
    <definedName name="desc12_3">'Time on treatment'!$T$77</definedName>
    <definedName name="desc12_4">'Time on treatment'!$U$77</definedName>
    <definedName name="desc13_1">'Time on treatment'!$R$78</definedName>
    <definedName name="desc13_2">'Time on treatment'!$S$78</definedName>
    <definedName name="desc13_3">'Time on treatment'!$T$78</definedName>
    <definedName name="desc13_4">'Time on treatment'!$U$78</definedName>
    <definedName name="desc14_1">'Time on treatment'!$R$79</definedName>
    <definedName name="desc14_2">'Time on treatment'!$S$79</definedName>
    <definedName name="desc14_3">'Time on treatment'!$T$79</definedName>
    <definedName name="desc14_4">'Time on treatment'!$U$79</definedName>
    <definedName name="desc2_1">'Time on treatment'!$R$66</definedName>
    <definedName name="desc2_2">'Time on treatment'!$S$66</definedName>
    <definedName name="desc2_3">'Time on treatment'!$T$66</definedName>
    <definedName name="desc2_4">'Time on treatment'!$U$66</definedName>
    <definedName name="desc3_1">'Time on treatment'!$R$67</definedName>
    <definedName name="desc3_2">'Time on treatment'!$S$67</definedName>
    <definedName name="desc3_3">'Time on treatment'!$T$67</definedName>
    <definedName name="desc3_4">'Time on treatment'!$U$67</definedName>
    <definedName name="desc4_1">'Time on treatment'!$R$68</definedName>
    <definedName name="desc4_2">'Time on treatment'!$S$68</definedName>
    <definedName name="desc4_3">'Time on treatment'!$T$68</definedName>
    <definedName name="desc4_4">'Time on treatment'!$U$68</definedName>
    <definedName name="desc5_1">'Time on treatment'!$R$70</definedName>
    <definedName name="desc5_2">'Time on treatment'!$S$70</definedName>
    <definedName name="desc5_3">'Time on treatment'!$T$70</definedName>
    <definedName name="desc5_4">'Time on treatment'!$U$70</definedName>
    <definedName name="desc6_1">'Time on treatment'!$R$71</definedName>
    <definedName name="desc6_2">'Time on treatment'!$S$71</definedName>
    <definedName name="desc6_3">'Time on treatment'!$T$71</definedName>
    <definedName name="desc6_4">'Time on treatment'!$U$71</definedName>
    <definedName name="desc7_1">'Time on treatment'!$R$72</definedName>
    <definedName name="desc7_2">'Time on treatment'!$S$72</definedName>
    <definedName name="desc7_3">'Time on treatment'!$T$72</definedName>
    <definedName name="desc7_4">'Time on treatment'!$U$72</definedName>
    <definedName name="desc8_1">'Time on treatment'!$R$73</definedName>
    <definedName name="desc8_2">'Time on treatment'!$S$73</definedName>
    <definedName name="desc8_3">'Time on treatment'!$T$73</definedName>
    <definedName name="desc8_4">'Time on treatment'!$U$73</definedName>
    <definedName name="desc9_1">'Time on treatment'!$R$74</definedName>
    <definedName name="desc9_2">'Time on treatment'!$S$74</definedName>
    <definedName name="desc9_3">'Time on treatment'!$T$74</definedName>
    <definedName name="desc9_4">'Time on treatment'!$U$74</definedName>
    <definedName name="descontinua">'Time on treatment'!$H$40</definedName>
    <definedName name="dynamic">Results!$D$13</definedName>
    <definedName name="horizonte">'Mkt share'!$M$8</definedName>
    <definedName name="intervencao1">Definitions!$E$33</definedName>
    <definedName name="intervencao2">Definitions!$E$34</definedName>
    <definedName name="intervencao3">Definitions!$E$35</definedName>
    <definedName name="intervencao4">Definitions!$E$36</definedName>
    <definedName name="line">Population!$E$18</definedName>
    <definedName name="morte">'Time on treatment'!$H$102</definedName>
    <definedName name="n_compar">Definitions!$E$40</definedName>
    <definedName name="n_interv">Definitions!$E$31</definedName>
    <definedName name="ob1_1">'Time on treatment'!$R$113</definedName>
    <definedName name="ob1_2">'Time on treatment'!$S$113</definedName>
    <definedName name="ob1_3">'Time on treatment'!$T$113</definedName>
    <definedName name="ob1_4">'Time on treatment'!$U$113</definedName>
    <definedName name="ob10_1">'Time on treatment'!$R$123</definedName>
    <definedName name="ob10_2">'Time on treatment'!$S$123</definedName>
    <definedName name="ob10_3">'Time on treatment'!$T$123</definedName>
    <definedName name="ob10_4">'Time on treatment'!$U$123</definedName>
    <definedName name="ob11_1">'Time on treatment'!$R$124</definedName>
    <definedName name="ob11_2">'Time on treatment'!$S$124</definedName>
    <definedName name="ob11_3">'Time on treatment'!$T$124</definedName>
    <definedName name="ob11_4">'Time on treatment'!$U$124</definedName>
    <definedName name="ob12_1">'Time on treatment'!$R$125</definedName>
    <definedName name="ob12_2">'Time on treatment'!$S$125</definedName>
    <definedName name="ob12_3">'Time on treatment'!$T$125</definedName>
    <definedName name="ob12_4">'Time on treatment'!$U$125</definedName>
    <definedName name="ob13_1">'Time on treatment'!$R$126</definedName>
    <definedName name="ob13_2">'Time on treatment'!$S$126</definedName>
    <definedName name="ob13_3">'Time on treatment'!$T$126</definedName>
    <definedName name="ob13_4">'Time on treatment'!$U$126</definedName>
    <definedName name="ob14_1">'Time on treatment'!$R$127</definedName>
    <definedName name="ob14_2">'Time on treatment'!$S$127</definedName>
    <definedName name="ob14_3">'Time on treatment'!$T$127</definedName>
    <definedName name="ob14_4">'Time on treatment'!$U$127</definedName>
    <definedName name="ob2_1">'Time on treatment'!$R$114</definedName>
    <definedName name="ob2_2">'Time on treatment'!$S$114</definedName>
    <definedName name="ob2_3">'Time on treatment'!$T$114</definedName>
    <definedName name="ob2_4">'Time on treatment'!$U$114</definedName>
    <definedName name="ob3_1">'Time on treatment'!$R$115</definedName>
    <definedName name="ob3_2">'Time on treatment'!$S$115</definedName>
    <definedName name="ob3_3">'Time on treatment'!$T$115</definedName>
    <definedName name="ob3_4">'Time on treatment'!$U$115</definedName>
    <definedName name="ob4_1">'Time on treatment'!$R$116</definedName>
    <definedName name="ob4_2">'Time on treatment'!$S$116</definedName>
    <definedName name="ob4_3">'Time on treatment'!$T$116</definedName>
    <definedName name="ob4_4">'Time on treatment'!$U$116</definedName>
    <definedName name="ob5_1">'Time on treatment'!$R$118</definedName>
    <definedName name="ob5_2">'Time on treatment'!$S$118</definedName>
    <definedName name="ob5_3">'Time on treatment'!$T$118</definedName>
    <definedName name="ob5_4">'Time on treatment'!$U$118</definedName>
    <definedName name="ob6_1">'Time on treatment'!$R$119</definedName>
    <definedName name="ob6_2">'Time on treatment'!$S$119</definedName>
    <definedName name="ob6_3">'Time on treatment'!$T$119</definedName>
    <definedName name="ob6_4">'Time on treatment'!$U$119</definedName>
    <definedName name="ob7_1">'Time on treatment'!$R$120</definedName>
    <definedName name="ob7_2">'Time on treatment'!$S$120</definedName>
    <definedName name="ob7_3">'Time on treatment'!$T$120</definedName>
    <definedName name="ob7_4">'Time on treatment'!$U$120</definedName>
    <definedName name="ob8_1">'Time on treatment'!$R$121</definedName>
    <definedName name="ob8_2">'Time on treatment'!$S$121</definedName>
    <definedName name="ob8_3">'Time on treatment'!$T$121</definedName>
    <definedName name="ob8_4">'Time on treatment'!$U$121</definedName>
    <definedName name="ob9_1">'Time on treatment'!$R$122</definedName>
    <definedName name="ob9_2">'Time on treatment'!$S$122</definedName>
    <definedName name="ob9_3">'Time on treatment'!$T$122</definedName>
    <definedName name="ob9_4">'Time on treatment'!$U$122</definedName>
    <definedName name="obito">'Time on treatment'!$H$91</definedName>
    <definedName name="populacao">Definitions!$E$27</definedName>
    <definedName name="sexo">Population!#REF!</definedName>
    <definedName name="uso">'Time on treatment'!$H$54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6" i="3" l="1"/>
  <c r="F66" i="3"/>
  <c r="E66" i="3"/>
  <c r="D66" i="3"/>
  <c r="C66" i="3"/>
  <c r="G46" i="3"/>
  <c r="F46" i="3"/>
  <c r="E46" i="3"/>
  <c r="D46" i="3"/>
  <c r="C46" i="3"/>
  <c r="W8" i="7" l="1"/>
  <c r="W9" i="7"/>
  <c r="W10" i="7"/>
  <c r="W11" i="7"/>
  <c r="W12" i="7"/>
  <c r="W13" i="7"/>
  <c r="W5" i="7"/>
  <c r="V8" i="7"/>
  <c r="V9" i="7"/>
  <c r="V10" i="7"/>
  <c r="V11" i="7"/>
  <c r="V12" i="7"/>
  <c r="V13" i="7"/>
  <c r="V5" i="7"/>
  <c r="I8" i="7"/>
  <c r="M8" i="7" s="1"/>
  <c r="N8" i="7" s="1"/>
  <c r="I9" i="7"/>
  <c r="I10" i="7"/>
  <c r="I11" i="7"/>
  <c r="I12" i="7"/>
  <c r="I13" i="7"/>
  <c r="E8" i="7"/>
  <c r="E9" i="7"/>
  <c r="E10" i="7"/>
  <c r="E11" i="7"/>
  <c r="E12" i="7"/>
  <c r="E13" i="7"/>
  <c r="E5" i="7"/>
  <c r="C20" i="7"/>
  <c r="I5" i="7" l="1"/>
  <c r="D42" i="24"/>
  <c r="E84" i="24"/>
  <c r="R15" i="29"/>
  <c r="AH15" i="29" s="1"/>
  <c r="J15" i="29"/>
  <c r="Z15" i="29" s="1"/>
  <c r="DC6" i="29"/>
  <c r="DD6" i="29" s="1"/>
  <c r="DE6" i="29" s="1"/>
  <c r="DF6" i="29" s="1"/>
  <c r="DG6" i="29" s="1"/>
  <c r="CU6" i="29"/>
  <c r="CV6" i="29" s="1"/>
  <c r="CW6" i="29" s="1"/>
  <c r="CX6" i="29" s="1"/>
  <c r="CY6" i="29" s="1"/>
  <c r="CM6" i="29"/>
  <c r="CN6" i="29" s="1"/>
  <c r="CO6" i="29" s="1"/>
  <c r="CP6" i="29" s="1"/>
  <c r="CQ6" i="29" s="1"/>
  <c r="CE6" i="29"/>
  <c r="CF6" i="29" s="1"/>
  <c r="CG6" i="29" s="1"/>
  <c r="CH6" i="29" s="1"/>
  <c r="CI6" i="29" s="1"/>
  <c r="BW6" i="29"/>
  <c r="BX6" i="29" s="1"/>
  <c r="BY6" i="29" s="1"/>
  <c r="BZ6" i="29" s="1"/>
  <c r="CA6" i="29" s="1"/>
  <c r="BO6" i="29"/>
  <c r="BP6" i="29" s="1"/>
  <c r="BQ6" i="29" s="1"/>
  <c r="BR6" i="29" s="1"/>
  <c r="BS6" i="29" s="1"/>
  <c r="BG6" i="29"/>
  <c r="BH6" i="29" s="1"/>
  <c r="BI6" i="29" s="1"/>
  <c r="BJ6" i="29" s="1"/>
  <c r="BK6" i="29" s="1"/>
  <c r="AY6" i="29"/>
  <c r="AZ6" i="29" s="1"/>
  <c r="BA6" i="29" s="1"/>
  <c r="BB6" i="29" s="1"/>
  <c r="BC6" i="29" s="1"/>
  <c r="AQ6" i="29"/>
  <c r="AR6" i="29" s="1"/>
  <c r="AS6" i="29" s="1"/>
  <c r="AT6" i="29" s="1"/>
  <c r="AU6" i="29" s="1"/>
  <c r="AI6" i="29"/>
  <c r="AJ6" i="29" s="1"/>
  <c r="AK6" i="29" s="1"/>
  <c r="AL6" i="29" s="1"/>
  <c r="AM6" i="29" s="1"/>
  <c r="AA6" i="29"/>
  <c r="AB6" i="29" s="1"/>
  <c r="AC6" i="29" s="1"/>
  <c r="AD6" i="29" s="1"/>
  <c r="AE6" i="29" s="1"/>
  <c r="S6" i="29"/>
  <c r="T6" i="29" s="1"/>
  <c r="U6" i="29" s="1"/>
  <c r="V6" i="29" s="1"/>
  <c r="W6" i="29" s="1"/>
  <c r="K6" i="29"/>
  <c r="L6" i="29" s="1"/>
  <c r="M6" i="29" s="1"/>
  <c r="N6" i="29" s="1"/>
  <c r="O6" i="29" s="1"/>
  <c r="C6" i="29"/>
  <c r="D6" i="29" s="1"/>
  <c r="E6" i="29" s="1"/>
  <c r="F6" i="29" s="1"/>
  <c r="G6" i="29" s="1"/>
  <c r="DB52" i="29"/>
  <c r="CT52" i="29"/>
  <c r="CL52" i="29"/>
  <c r="CD52" i="29"/>
  <c r="BV52" i="29"/>
  <c r="BN52" i="29"/>
  <c r="BF52" i="29"/>
  <c r="AX52" i="29"/>
  <c r="AP52" i="29"/>
  <c r="AH52" i="29"/>
  <c r="Z52" i="29"/>
  <c r="R52" i="29"/>
  <c r="J52" i="29"/>
  <c r="B52" i="29"/>
  <c r="DB31" i="29"/>
  <c r="CT31" i="29"/>
  <c r="CL31" i="29"/>
  <c r="CD31" i="29"/>
  <c r="BV31" i="29"/>
  <c r="BN31" i="29"/>
  <c r="BF31" i="29"/>
  <c r="AX31" i="29"/>
  <c r="AP31" i="29"/>
  <c r="AH31" i="29"/>
  <c r="Z31" i="29"/>
  <c r="R31" i="29"/>
  <c r="J31" i="29"/>
  <c r="B31" i="29"/>
  <c r="DC26" i="29"/>
  <c r="DC47" i="29" s="1"/>
  <c r="DC68" i="29" s="1"/>
  <c r="CU26" i="29"/>
  <c r="CU47" i="29" s="1"/>
  <c r="CU68" i="29" s="1"/>
  <c r="CM26" i="29"/>
  <c r="CE26" i="29"/>
  <c r="CE47" i="29" s="1"/>
  <c r="CE68" i="29" s="1"/>
  <c r="BW26" i="29"/>
  <c r="BW47" i="29" s="1"/>
  <c r="BW68" i="29" s="1"/>
  <c r="BO26" i="29"/>
  <c r="BO47" i="29" s="1"/>
  <c r="BO68" i="29" s="1"/>
  <c r="BG26" i="29"/>
  <c r="BG47" i="29" s="1"/>
  <c r="BG68" i="29" s="1"/>
  <c r="AY26" i="29"/>
  <c r="AY47" i="29" s="1"/>
  <c r="AY68" i="29" s="1"/>
  <c r="AQ26" i="29"/>
  <c r="AQ47" i="29" s="1"/>
  <c r="AQ68" i="29" s="1"/>
  <c r="AI26" i="29"/>
  <c r="AI47" i="29" s="1"/>
  <c r="AI68" i="29" s="1"/>
  <c r="AA26" i="29"/>
  <c r="S26" i="29"/>
  <c r="K26" i="29"/>
  <c r="C26" i="29"/>
  <c r="C47" i="29" s="1"/>
  <c r="C68" i="29" s="1"/>
  <c r="DB25" i="29"/>
  <c r="DB46" i="29" s="1"/>
  <c r="DB67" i="29" s="1"/>
  <c r="CT25" i="29"/>
  <c r="CT46" i="29" s="1"/>
  <c r="CT67" i="29" s="1"/>
  <c r="CL25" i="29"/>
  <c r="CL46" i="29" s="1"/>
  <c r="CL67" i="29" s="1"/>
  <c r="CD25" i="29"/>
  <c r="CD46" i="29" s="1"/>
  <c r="CD67" i="29" s="1"/>
  <c r="BV25" i="29"/>
  <c r="BV46" i="29" s="1"/>
  <c r="BV67" i="29" s="1"/>
  <c r="BN25" i="29"/>
  <c r="BN46" i="29" s="1"/>
  <c r="BN67" i="29" s="1"/>
  <c r="BF25" i="29"/>
  <c r="BF46" i="29" s="1"/>
  <c r="BF67" i="29" s="1"/>
  <c r="AX25" i="29"/>
  <c r="AX46" i="29" s="1"/>
  <c r="AX67" i="29" s="1"/>
  <c r="AP25" i="29"/>
  <c r="AP46" i="29" s="1"/>
  <c r="AP67" i="29" s="1"/>
  <c r="AH25" i="29"/>
  <c r="AH46" i="29" s="1"/>
  <c r="AH67" i="29" s="1"/>
  <c r="Z25" i="29"/>
  <c r="Z46" i="29" s="1"/>
  <c r="Z67" i="29" s="1"/>
  <c r="R25" i="29"/>
  <c r="R46" i="29" s="1"/>
  <c r="J25" i="29"/>
  <c r="J46" i="29" s="1"/>
  <c r="J67" i="29" s="1"/>
  <c r="B25" i="29"/>
  <c r="B46" i="29" s="1"/>
  <c r="B67" i="29" s="1"/>
  <c r="DC22" i="29"/>
  <c r="DC43" i="29" s="1"/>
  <c r="DC64" i="29" s="1"/>
  <c r="CU22" i="29"/>
  <c r="CU43" i="29" s="1"/>
  <c r="CU64" i="29" s="1"/>
  <c r="CM22" i="29"/>
  <c r="CM43" i="29" s="1"/>
  <c r="CM64" i="29" s="1"/>
  <c r="CE22" i="29"/>
  <c r="BW22" i="29"/>
  <c r="BW43" i="29" s="1"/>
  <c r="BW64" i="29" s="1"/>
  <c r="BO22" i="29"/>
  <c r="BO43" i="29" s="1"/>
  <c r="BO64" i="29" s="1"/>
  <c r="BG22" i="29"/>
  <c r="BG43" i="29" s="1"/>
  <c r="BG64" i="29" s="1"/>
  <c r="AY22" i="29"/>
  <c r="AY43" i="29" s="1"/>
  <c r="AY64" i="29" s="1"/>
  <c r="AQ22" i="29"/>
  <c r="AQ43" i="29" s="1"/>
  <c r="AQ64" i="29" s="1"/>
  <c r="AI22" i="29"/>
  <c r="AI43" i="29" s="1"/>
  <c r="AI64" i="29" s="1"/>
  <c r="AA22" i="29"/>
  <c r="AB22" i="29" s="1"/>
  <c r="S22" i="29"/>
  <c r="K22" i="29"/>
  <c r="K43" i="29" s="1"/>
  <c r="K64" i="29" s="1"/>
  <c r="C22" i="29"/>
  <c r="C43" i="29" s="1"/>
  <c r="C64" i="29" s="1"/>
  <c r="DB21" i="29"/>
  <c r="DB42" i="29" s="1"/>
  <c r="DB63" i="29" s="1"/>
  <c r="CT21" i="29"/>
  <c r="CT42" i="29" s="1"/>
  <c r="CT63" i="29" s="1"/>
  <c r="CL21" i="29"/>
  <c r="CL42" i="29" s="1"/>
  <c r="CL63" i="29" s="1"/>
  <c r="CD21" i="29"/>
  <c r="CD42" i="29" s="1"/>
  <c r="CD63" i="29" s="1"/>
  <c r="BV21" i="29"/>
  <c r="BV42" i="29" s="1"/>
  <c r="BV63" i="29" s="1"/>
  <c r="BN21" i="29"/>
  <c r="BN42" i="29" s="1"/>
  <c r="BN63" i="29" s="1"/>
  <c r="BF21" i="29"/>
  <c r="BF42" i="29" s="1"/>
  <c r="BF63" i="29" s="1"/>
  <c r="AX21" i="29"/>
  <c r="AX42" i="29" s="1"/>
  <c r="AX63" i="29" s="1"/>
  <c r="AP21" i="29"/>
  <c r="AP42" i="29" s="1"/>
  <c r="AP63" i="29" s="1"/>
  <c r="AH21" i="29"/>
  <c r="AH42" i="29" s="1"/>
  <c r="AH63" i="29" s="1"/>
  <c r="Z21" i="29"/>
  <c r="Z42" i="29" s="1"/>
  <c r="Z63" i="29" s="1"/>
  <c r="R21" i="29"/>
  <c r="R42" i="29" s="1"/>
  <c r="R63" i="29" s="1"/>
  <c r="J21" i="29"/>
  <c r="J42" i="29" s="1"/>
  <c r="J63" i="29" s="1"/>
  <c r="B21" i="29"/>
  <c r="B42" i="29" s="1"/>
  <c r="B63" i="29" s="1"/>
  <c r="DC18" i="29"/>
  <c r="DC39" i="29" s="1"/>
  <c r="DC60" i="29" s="1"/>
  <c r="CU18" i="29"/>
  <c r="CU39" i="29" s="1"/>
  <c r="CU60" i="29" s="1"/>
  <c r="CM18" i="29"/>
  <c r="CM39" i="29" s="1"/>
  <c r="CM60" i="29" s="1"/>
  <c r="CE18" i="29"/>
  <c r="CE39" i="29" s="1"/>
  <c r="CE60" i="29" s="1"/>
  <c r="BW18" i="29"/>
  <c r="BW39" i="29" s="1"/>
  <c r="BW60" i="29" s="1"/>
  <c r="BO18" i="29"/>
  <c r="BO39" i="29" s="1"/>
  <c r="BO60" i="29" s="1"/>
  <c r="BG18" i="29"/>
  <c r="BG39" i="29" s="1"/>
  <c r="BG60" i="29" s="1"/>
  <c r="AY18" i="29"/>
  <c r="AQ18" i="29"/>
  <c r="AQ39" i="29" s="1"/>
  <c r="AQ60" i="29" s="1"/>
  <c r="AI18" i="29"/>
  <c r="AI39" i="29" s="1"/>
  <c r="AI60" i="29" s="1"/>
  <c r="AA18" i="29"/>
  <c r="AA39" i="29" s="1"/>
  <c r="AA60" i="29" s="1"/>
  <c r="S18" i="29"/>
  <c r="S39" i="29" s="1"/>
  <c r="S60" i="29" s="1"/>
  <c r="K18" i="29"/>
  <c r="K39" i="29" s="1"/>
  <c r="K60" i="29" s="1"/>
  <c r="C18" i="29"/>
  <c r="C39" i="29" s="1"/>
  <c r="C60" i="29" s="1"/>
  <c r="DB17" i="29"/>
  <c r="DB38" i="29" s="1"/>
  <c r="DB59" i="29" s="1"/>
  <c r="CT17" i="29"/>
  <c r="CT38" i="29" s="1"/>
  <c r="CT59" i="29" s="1"/>
  <c r="CL17" i="29"/>
  <c r="CL38" i="29" s="1"/>
  <c r="CL59" i="29" s="1"/>
  <c r="CD17" i="29"/>
  <c r="CD38" i="29" s="1"/>
  <c r="CD59" i="29" s="1"/>
  <c r="BV17" i="29"/>
  <c r="BV38" i="29" s="1"/>
  <c r="BV59" i="29" s="1"/>
  <c r="BN17" i="29"/>
  <c r="BN38" i="29" s="1"/>
  <c r="BN59" i="29" s="1"/>
  <c r="BF17" i="29"/>
  <c r="BF38" i="29" s="1"/>
  <c r="BF59" i="29" s="1"/>
  <c r="AX17" i="29"/>
  <c r="AX38" i="29" s="1"/>
  <c r="AX59" i="29" s="1"/>
  <c r="AP17" i="29"/>
  <c r="AP38" i="29" s="1"/>
  <c r="AP59" i="29" s="1"/>
  <c r="AH17" i="29"/>
  <c r="AH38" i="29" s="1"/>
  <c r="AH59" i="29" s="1"/>
  <c r="Z17" i="29"/>
  <c r="Z38" i="29" s="1"/>
  <c r="Z59" i="29" s="1"/>
  <c r="R17" i="29"/>
  <c r="R38" i="29" s="1"/>
  <c r="R59" i="29" s="1"/>
  <c r="J17" i="29"/>
  <c r="J38" i="29" s="1"/>
  <c r="J59" i="29" s="1"/>
  <c r="B17" i="29"/>
  <c r="B38" i="29" s="1"/>
  <c r="B59" i="29" s="1"/>
  <c r="DC14" i="29"/>
  <c r="DC35" i="29" s="1"/>
  <c r="DC56" i="29" s="1"/>
  <c r="CU14" i="29"/>
  <c r="CU35" i="29" s="1"/>
  <c r="CU56" i="29" s="1"/>
  <c r="CM14" i="29"/>
  <c r="CE14" i="29"/>
  <c r="BW14" i="29"/>
  <c r="BO14" i="29"/>
  <c r="BO35" i="29" s="1"/>
  <c r="BO56" i="29" s="1"/>
  <c r="BG14" i="29"/>
  <c r="BG35" i="29" s="1"/>
  <c r="BG56" i="29" s="1"/>
  <c r="AY14" i="29"/>
  <c r="AY35" i="29" s="1"/>
  <c r="AY56" i="29" s="1"/>
  <c r="AQ14" i="29"/>
  <c r="AQ35" i="29" s="1"/>
  <c r="AQ56" i="29" s="1"/>
  <c r="AI14" i="29"/>
  <c r="AI35" i="29" s="1"/>
  <c r="AI56" i="29" s="1"/>
  <c r="AA14" i="29"/>
  <c r="AA35" i="29" s="1"/>
  <c r="AA56" i="29" s="1"/>
  <c r="S14" i="29"/>
  <c r="K14" i="29"/>
  <c r="C14" i="29"/>
  <c r="C35" i="29" s="1"/>
  <c r="C56" i="29" s="1"/>
  <c r="DB13" i="29"/>
  <c r="DB34" i="29" s="1"/>
  <c r="DB55" i="29" s="1"/>
  <c r="CT13" i="29"/>
  <c r="CT34" i="29" s="1"/>
  <c r="CT55" i="29" s="1"/>
  <c r="CL13" i="29"/>
  <c r="CL34" i="29" s="1"/>
  <c r="CL55" i="29" s="1"/>
  <c r="CD13" i="29"/>
  <c r="CD34" i="29" s="1"/>
  <c r="CD55" i="29" s="1"/>
  <c r="BV13" i="29"/>
  <c r="BV34" i="29" s="1"/>
  <c r="BV55" i="29" s="1"/>
  <c r="BN13" i="29"/>
  <c r="BN34" i="29" s="1"/>
  <c r="BN55" i="29" s="1"/>
  <c r="BF13" i="29"/>
  <c r="BF34" i="29" s="1"/>
  <c r="BF55" i="29" s="1"/>
  <c r="AX13" i="29"/>
  <c r="AX34" i="29" s="1"/>
  <c r="AX55" i="29" s="1"/>
  <c r="AP13" i="29"/>
  <c r="AP34" i="29" s="1"/>
  <c r="AP55" i="29" s="1"/>
  <c r="AH13" i="29"/>
  <c r="AH34" i="29" s="1"/>
  <c r="AH55" i="29" s="1"/>
  <c r="Z13" i="29"/>
  <c r="Z34" i="29" s="1"/>
  <c r="Z55" i="29" s="1"/>
  <c r="R13" i="29"/>
  <c r="R34" i="29" s="1"/>
  <c r="R55" i="29" s="1"/>
  <c r="J13" i="29"/>
  <c r="J34" i="29" s="1"/>
  <c r="J55" i="29" s="1"/>
  <c r="B13" i="29"/>
  <c r="B34" i="29" s="1"/>
  <c r="B55" i="29" s="1"/>
  <c r="DB10" i="29"/>
  <c r="CT10" i="29"/>
  <c r="CL10" i="29"/>
  <c r="CD10" i="29"/>
  <c r="BV10" i="29"/>
  <c r="BN10" i="29"/>
  <c r="BF10" i="29"/>
  <c r="AX10" i="29"/>
  <c r="AP10" i="29"/>
  <c r="AH10" i="29"/>
  <c r="Z10" i="29"/>
  <c r="R10" i="29"/>
  <c r="J10" i="29"/>
  <c r="B10" i="29"/>
  <c r="DB5" i="29"/>
  <c r="CT5" i="29"/>
  <c r="CL5" i="29"/>
  <c r="CD5" i="29"/>
  <c r="BV5" i="29"/>
  <c r="BN5" i="29"/>
  <c r="BF5" i="29"/>
  <c r="AX5" i="29"/>
  <c r="AP5" i="29"/>
  <c r="AH5" i="29"/>
  <c r="Z5" i="29"/>
  <c r="R5" i="29"/>
  <c r="J5" i="29"/>
  <c r="B5" i="29"/>
  <c r="S47" i="29" l="1"/>
  <c r="S68" i="29" s="1"/>
  <c r="R67" i="29"/>
  <c r="AZ26" i="29"/>
  <c r="BA26" i="29" s="1"/>
  <c r="BP22" i="29"/>
  <c r="BP43" i="29" s="1"/>
  <c r="BP64" i="29" s="1"/>
  <c r="AZ22" i="29"/>
  <c r="AZ43" i="29" s="1"/>
  <c r="AZ64" i="29" s="1"/>
  <c r="AB14" i="29"/>
  <c r="AB35" i="29" s="1"/>
  <c r="AB56" i="29" s="1"/>
  <c r="DD22" i="29"/>
  <c r="DD43" i="29" s="1"/>
  <c r="DD64" i="29" s="1"/>
  <c r="L18" i="29"/>
  <c r="M18" i="29" s="1"/>
  <c r="BP18" i="29"/>
  <c r="BP39" i="29" s="1"/>
  <c r="BP60" i="29" s="1"/>
  <c r="BP26" i="29"/>
  <c r="BP47" i="29" s="1"/>
  <c r="BP68" i="29" s="1"/>
  <c r="CV14" i="29"/>
  <c r="CV35" i="29" s="1"/>
  <c r="CV56" i="29" s="1"/>
  <c r="AZ14" i="29"/>
  <c r="AZ35" i="29" s="1"/>
  <c r="AZ56" i="29" s="1"/>
  <c r="CF18" i="29"/>
  <c r="CF39" i="29" s="1"/>
  <c r="CF60" i="29" s="1"/>
  <c r="DD14" i="29"/>
  <c r="DD35" i="29" s="1"/>
  <c r="DD56" i="29" s="1"/>
  <c r="BH22" i="29"/>
  <c r="AR14" i="29"/>
  <c r="AR35" i="29" s="1"/>
  <c r="AR56" i="29" s="1"/>
  <c r="CN18" i="29"/>
  <c r="CV22" i="29"/>
  <c r="CV43" i="29" s="1"/>
  <c r="CV64" i="29" s="1"/>
  <c r="D26" i="29"/>
  <c r="AR26" i="29"/>
  <c r="AR47" i="29" s="1"/>
  <c r="AR68" i="29" s="1"/>
  <c r="CV26" i="29"/>
  <c r="D14" i="29"/>
  <c r="D35" i="29" s="1"/>
  <c r="D56" i="29" s="1"/>
  <c r="AB18" i="29"/>
  <c r="AJ22" i="29"/>
  <c r="AJ43" i="29" s="1"/>
  <c r="AJ64" i="29" s="1"/>
  <c r="BX26" i="29"/>
  <c r="T18" i="29"/>
  <c r="T39" i="29" s="1"/>
  <c r="T60" i="29" s="1"/>
  <c r="D18" i="29"/>
  <c r="E18" i="29" s="1"/>
  <c r="CV18" i="29"/>
  <c r="D22" i="29"/>
  <c r="AR22" i="29"/>
  <c r="AS22" i="29" s="1"/>
  <c r="DD26" i="29"/>
  <c r="BH14" i="29"/>
  <c r="AJ18" i="29"/>
  <c r="BX18" i="29"/>
  <c r="BY18" i="29" s="1"/>
  <c r="BH26" i="29"/>
  <c r="BH47" i="29" s="1"/>
  <c r="BH68" i="29" s="1"/>
  <c r="CF26" i="29"/>
  <c r="BP14" i="29"/>
  <c r="AY39" i="29"/>
  <c r="AY60" i="29" s="1"/>
  <c r="AZ18" i="29"/>
  <c r="S43" i="29"/>
  <c r="S64" i="29" s="1"/>
  <c r="T22" i="29"/>
  <c r="CE35" i="29"/>
  <c r="CE56" i="29" s="1"/>
  <c r="CF14" i="29"/>
  <c r="AB43" i="29"/>
  <c r="AB64" i="29" s="1"/>
  <c r="AC22" i="29"/>
  <c r="CE43" i="29"/>
  <c r="CE64" i="29" s="1"/>
  <c r="CF22" i="29"/>
  <c r="K47" i="29"/>
  <c r="K68" i="29" s="1"/>
  <c r="L26" i="29"/>
  <c r="BW35" i="29"/>
  <c r="BW56" i="29" s="1"/>
  <c r="BX14" i="29"/>
  <c r="K35" i="29"/>
  <c r="K56" i="29" s="1"/>
  <c r="L14" i="29"/>
  <c r="CM35" i="29"/>
  <c r="CM56" i="29" s="1"/>
  <c r="CN14" i="29"/>
  <c r="AA47" i="29"/>
  <c r="AA68" i="29" s="1"/>
  <c r="AB26" i="29"/>
  <c r="S35" i="29"/>
  <c r="S56" i="29" s="1"/>
  <c r="T14" i="29"/>
  <c r="AJ14" i="29"/>
  <c r="CM47" i="29"/>
  <c r="CM68" i="29" s="1"/>
  <c r="CN26" i="29"/>
  <c r="AA43" i="29"/>
  <c r="AA64" i="29" s="1"/>
  <c r="AR18" i="29"/>
  <c r="DD18" i="29"/>
  <c r="L22" i="29"/>
  <c r="BX22" i="29"/>
  <c r="T26" i="29"/>
  <c r="T47" i="29" s="1"/>
  <c r="AJ26" i="29"/>
  <c r="BH18" i="29"/>
  <c r="CN22" i="29"/>
  <c r="CW22" i="29" l="1"/>
  <c r="CX22" i="29" s="1"/>
  <c r="DE14" i="29"/>
  <c r="DE35" i="29" s="1"/>
  <c r="DE56" i="29" s="1"/>
  <c r="CW14" i="29"/>
  <c r="CW35" i="29" s="1"/>
  <c r="CW56" i="29" s="1"/>
  <c r="BQ18" i="29"/>
  <c r="CG18" i="29"/>
  <c r="CG39" i="29" s="1"/>
  <c r="CG60" i="29" s="1"/>
  <c r="AZ47" i="29"/>
  <c r="AZ68" i="29" s="1"/>
  <c r="AK22" i="29"/>
  <c r="AL22" i="29" s="1"/>
  <c r="BX39" i="29"/>
  <c r="BX60" i="29" s="1"/>
  <c r="D39" i="29"/>
  <c r="D60" i="29" s="1"/>
  <c r="L39" i="29"/>
  <c r="L60" i="29" s="1"/>
  <c r="BI26" i="29"/>
  <c r="BI47" i="29" s="1"/>
  <c r="BI68" i="29" s="1"/>
  <c r="DE22" i="29"/>
  <c r="DE43" i="29" s="1"/>
  <c r="DE64" i="29" s="1"/>
  <c r="BQ22" i="29"/>
  <c r="BA22" i="29"/>
  <c r="BA43" i="29" s="1"/>
  <c r="BA64" i="29" s="1"/>
  <c r="AR43" i="29"/>
  <c r="AR64" i="29" s="1"/>
  <c r="BQ26" i="29"/>
  <c r="BA14" i="29"/>
  <c r="BA35" i="29" s="1"/>
  <c r="BA56" i="29" s="1"/>
  <c r="U18" i="29"/>
  <c r="U39" i="29" s="1"/>
  <c r="U60" i="29" s="1"/>
  <c r="AC14" i="29"/>
  <c r="AC35" i="29" s="1"/>
  <c r="AC56" i="29" s="1"/>
  <c r="AS14" i="29"/>
  <c r="AS35" i="29" s="1"/>
  <c r="AS56" i="29" s="1"/>
  <c r="AS26" i="29"/>
  <c r="AT26" i="29" s="1"/>
  <c r="DD47" i="29"/>
  <c r="DD68" i="29" s="1"/>
  <c r="DE26" i="29"/>
  <c r="E14" i="29"/>
  <c r="F14" i="29" s="1"/>
  <c r="CF47" i="29"/>
  <c r="CF68" i="29" s="1"/>
  <c r="CG26" i="29"/>
  <c r="BP35" i="29"/>
  <c r="BP56" i="29" s="1"/>
  <c r="BQ14" i="29"/>
  <c r="CV47" i="29"/>
  <c r="CV68" i="29" s="1"/>
  <c r="CW26" i="29"/>
  <c r="CN39" i="29"/>
  <c r="CN60" i="29" s="1"/>
  <c r="CO18" i="29"/>
  <c r="BH43" i="29"/>
  <c r="BH64" i="29" s="1"/>
  <c r="BI22" i="29"/>
  <c r="D43" i="29"/>
  <c r="D64" i="29" s="1"/>
  <c r="E22" i="29"/>
  <c r="AB39" i="29"/>
  <c r="AB60" i="29" s="1"/>
  <c r="AC18" i="29"/>
  <c r="AJ39" i="29"/>
  <c r="AJ60" i="29" s="1"/>
  <c r="AK18" i="29"/>
  <c r="BX47" i="29"/>
  <c r="BX68" i="29" s="1"/>
  <c r="BY26" i="29"/>
  <c r="D47" i="29"/>
  <c r="D68" i="29" s="1"/>
  <c r="E26" i="29"/>
  <c r="BH35" i="29"/>
  <c r="BH56" i="29" s="1"/>
  <c r="BI14" i="29"/>
  <c r="CV39" i="29"/>
  <c r="CV60" i="29" s="1"/>
  <c r="CW18" i="29"/>
  <c r="BH39" i="29"/>
  <c r="BH60" i="29" s="1"/>
  <c r="BI18" i="29"/>
  <c r="BA47" i="29"/>
  <c r="BA68" i="29" s="1"/>
  <c r="BB26" i="29"/>
  <c r="CN43" i="29"/>
  <c r="CN64" i="29" s="1"/>
  <c r="CO22" i="29"/>
  <c r="AS43" i="29"/>
  <c r="AS64" i="29" s="1"/>
  <c r="AT22" i="29"/>
  <c r="L47" i="29"/>
  <c r="L68" i="29" s="1"/>
  <c r="M26" i="29"/>
  <c r="AJ47" i="29"/>
  <c r="AJ68" i="29" s="1"/>
  <c r="AK26" i="29"/>
  <c r="CN47" i="29"/>
  <c r="CN68" i="29" s="1"/>
  <c r="CO26" i="29"/>
  <c r="AB47" i="29"/>
  <c r="AB68" i="29" s="1"/>
  <c r="AC26" i="29"/>
  <c r="CF43" i="29"/>
  <c r="CF64" i="29" s="1"/>
  <c r="CG22" i="29"/>
  <c r="CF35" i="29"/>
  <c r="CF56" i="29" s="1"/>
  <c r="CG14" i="29"/>
  <c r="AZ39" i="29"/>
  <c r="AZ60" i="29" s="1"/>
  <c r="BA18" i="29"/>
  <c r="T68" i="29"/>
  <c r="U26" i="29"/>
  <c r="U47" i="29" s="1"/>
  <c r="CW43" i="29"/>
  <c r="CW64" i="29" s="1"/>
  <c r="M39" i="29"/>
  <c r="M60" i="29" s="1"/>
  <c r="N18" i="29"/>
  <c r="BY22" i="29"/>
  <c r="BX43" i="29"/>
  <c r="BX64" i="29" s="1"/>
  <c r="BY39" i="29"/>
  <c r="BY60" i="29" s="1"/>
  <c r="BZ18" i="29"/>
  <c r="AC43" i="29"/>
  <c r="AC64" i="29" s="1"/>
  <c r="AD22" i="29"/>
  <c r="DD39" i="29"/>
  <c r="DD60" i="29" s="1"/>
  <c r="DE18" i="29"/>
  <c r="AK14" i="29"/>
  <c r="AJ35" i="29"/>
  <c r="AJ56" i="29" s="1"/>
  <c r="CN35" i="29"/>
  <c r="CN56" i="29" s="1"/>
  <c r="CO14" i="29"/>
  <c r="L35" i="29"/>
  <c r="L56" i="29" s="1"/>
  <c r="M14" i="29"/>
  <c r="T35" i="29"/>
  <c r="T56" i="29" s="1"/>
  <c r="U14" i="29"/>
  <c r="BX35" i="29"/>
  <c r="BX56" i="29" s="1"/>
  <c r="BY14" i="29"/>
  <c r="E39" i="29"/>
  <c r="E60" i="29" s="1"/>
  <c r="F18" i="29"/>
  <c r="T43" i="29"/>
  <c r="T64" i="29" s="1"/>
  <c r="U22" i="29"/>
  <c r="L43" i="29"/>
  <c r="L64" i="29" s="1"/>
  <c r="M22" i="29"/>
  <c r="BQ39" i="29"/>
  <c r="BQ60" i="29" s="1"/>
  <c r="BR18" i="29"/>
  <c r="AS18" i="29"/>
  <c r="AR39" i="29"/>
  <c r="AR60" i="29" s="1"/>
  <c r="CH18" i="29" l="1"/>
  <c r="CX14" i="29"/>
  <c r="CY14" i="29" s="1"/>
  <c r="CY35" i="29" s="1"/>
  <c r="CY56" i="29" s="1"/>
  <c r="AK43" i="29"/>
  <c r="AK64" i="29" s="1"/>
  <c r="DF14" i="29"/>
  <c r="DG14" i="29" s="1"/>
  <c r="DG35" i="29" s="1"/>
  <c r="DG56" i="29" s="1"/>
  <c r="AS47" i="29"/>
  <c r="AS68" i="29" s="1"/>
  <c r="BB22" i="29"/>
  <c r="BB43" i="29" s="1"/>
  <c r="BB64" i="29" s="1"/>
  <c r="AT14" i="29"/>
  <c r="AT35" i="29" s="1"/>
  <c r="AT56" i="29" s="1"/>
  <c r="BJ26" i="29"/>
  <c r="BJ47" i="29" s="1"/>
  <c r="BJ68" i="29" s="1"/>
  <c r="DF22" i="29"/>
  <c r="DF43" i="29" s="1"/>
  <c r="DF64" i="29" s="1"/>
  <c r="BR22" i="29"/>
  <c r="BQ43" i="29"/>
  <c r="BQ64" i="29" s="1"/>
  <c r="BB14" i="29"/>
  <c r="BB35" i="29" s="1"/>
  <c r="BB56" i="29" s="1"/>
  <c r="V18" i="29"/>
  <c r="V39" i="29" s="1"/>
  <c r="V60" i="29" s="1"/>
  <c r="E35" i="29"/>
  <c r="E56" i="29" s="1"/>
  <c r="BQ47" i="29"/>
  <c r="BQ68" i="29" s="1"/>
  <c r="BR26" i="29"/>
  <c r="AD14" i="29"/>
  <c r="AD35" i="29" s="1"/>
  <c r="AD56" i="29" s="1"/>
  <c r="BJ14" i="29"/>
  <c r="BI35" i="29"/>
  <c r="BI56" i="29" s="1"/>
  <c r="E47" i="29"/>
  <c r="E68" i="29" s="1"/>
  <c r="F26" i="29"/>
  <c r="E43" i="29"/>
  <c r="E64" i="29" s="1"/>
  <c r="F22" i="29"/>
  <c r="BQ35" i="29"/>
  <c r="BQ56" i="29" s="1"/>
  <c r="BR14" i="29"/>
  <c r="BY47" i="29"/>
  <c r="BY68" i="29" s="1"/>
  <c r="BZ26" i="29"/>
  <c r="BI43" i="29"/>
  <c r="BI64" i="29" s="1"/>
  <c r="BJ22" i="29"/>
  <c r="CG47" i="29"/>
  <c r="CG68" i="29" s="1"/>
  <c r="CH26" i="29"/>
  <c r="CW39" i="29"/>
  <c r="CW60" i="29" s="1"/>
  <c r="CX18" i="29"/>
  <c r="AK39" i="29"/>
  <c r="AK60" i="29" s="1"/>
  <c r="AL18" i="29"/>
  <c r="CO39" i="29"/>
  <c r="CO60" i="29" s="1"/>
  <c r="CP18" i="29"/>
  <c r="DE47" i="29"/>
  <c r="DE68" i="29" s="1"/>
  <c r="DF26" i="29"/>
  <c r="AC39" i="29"/>
  <c r="AC60" i="29" s="1"/>
  <c r="AD18" i="29"/>
  <c r="CW47" i="29"/>
  <c r="CW68" i="29" s="1"/>
  <c r="CX26" i="29"/>
  <c r="CX43" i="29"/>
  <c r="CX64" i="29" s="1"/>
  <c r="CY22" i="29"/>
  <c r="CY43" i="29" s="1"/>
  <c r="CY64" i="29" s="1"/>
  <c r="CO47" i="29"/>
  <c r="CO68" i="29" s="1"/>
  <c r="CP26" i="29"/>
  <c r="BR39" i="29"/>
  <c r="BR60" i="29" s="1"/>
  <c r="BS18" i="29"/>
  <c r="BS39" i="29" s="1"/>
  <c r="BS60" i="29" s="1"/>
  <c r="AT43" i="29"/>
  <c r="AT64" i="29" s="1"/>
  <c r="AU22" i="29"/>
  <c r="AU43" i="29" s="1"/>
  <c r="AU64" i="29" s="1"/>
  <c r="M43" i="29"/>
  <c r="M64" i="29" s="1"/>
  <c r="N22" i="29"/>
  <c r="CO35" i="29"/>
  <c r="CO56" i="29" s="1"/>
  <c r="CP14" i="29"/>
  <c r="AD43" i="29"/>
  <c r="AD64" i="29" s="1"/>
  <c r="AE22" i="29"/>
  <c r="AE43" i="29" s="1"/>
  <c r="AE64" i="29" s="1"/>
  <c r="U35" i="29"/>
  <c r="U56" i="29" s="1"/>
  <c r="V14" i="29"/>
  <c r="CG43" i="29"/>
  <c r="CG64" i="29" s="1"/>
  <c r="CH22" i="29"/>
  <c r="AK35" i="29"/>
  <c r="AK56" i="29" s="1"/>
  <c r="AL14" i="29"/>
  <c r="DE39" i="29"/>
  <c r="DE60" i="29" s="1"/>
  <c r="DF18" i="29"/>
  <c r="AT47" i="29"/>
  <c r="AT68" i="29" s="1"/>
  <c r="AU26" i="29"/>
  <c r="AU47" i="29" s="1"/>
  <c r="AU68" i="29" s="1"/>
  <c r="CO43" i="29"/>
  <c r="CO64" i="29" s="1"/>
  <c r="CP22" i="29"/>
  <c r="AL43" i="29"/>
  <c r="AL64" i="29" s="1"/>
  <c r="AM22" i="29"/>
  <c r="AM43" i="29" s="1"/>
  <c r="AM64" i="29" s="1"/>
  <c r="BY43" i="29"/>
  <c r="BY64" i="29" s="1"/>
  <c r="BZ22" i="29"/>
  <c r="N39" i="29"/>
  <c r="N60" i="29" s="1"/>
  <c r="O18" i="29"/>
  <c r="O39" i="29" s="1"/>
  <c r="O60" i="29" s="1"/>
  <c r="BY35" i="29"/>
  <c r="BY56" i="29" s="1"/>
  <c r="BZ14" i="29"/>
  <c r="F39" i="29"/>
  <c r="F60" i="29" s="1"/>
  <c r="G18" i="29"/>
  <c r="G39" i="29" s="1"/>
  <c r="G60" i="29" s="1"/>
  <c r="AS39" i="29"/>
  <c r="AS60" i="29" s="1"/>
  <c r="AT18" i="29"/>
  <c r="CH39" i="29"/>
  <c r="CH60" i="29" s="1"/>
  <c r="CI18" i="29"/>
  <c r="CI39" i="29" s="1"/>
  <c r="CI60" i="29" s="1"/>
  <c r="U43" i="29"/>
  <c r="U64" i="29" s="1"/>
  <c r="V22" i="29"/>
  <c r="F35" i="29"/>
  <c r="F56" i="29" s="1"/>
  <c r="G14" i="29"/>
  <c r="G35" i="29" s="1"/>
  <c r="G56" i="29" s="1"/>
  <c r="BZ39" i="29"/>
  <c r="BZ60" i="29" s="1"/>
  <c r="CA18" i="29"/>
  <c r="CA39" i="29" s="1"/>
  <c r="CA60" i="29" s="1"/>
  <c r="V26" i="29"/>
  <c r="V47" i="29" s="1"/>
  <c r="U68" i="29"/>
  <c r="AK47" i="29"/>
  <c r="AK68" i="29" s="1"/>
  <c r="AL26" i="29"/>
  <c r="M35" i="29"/>
  <c r="M56" i="29" s="1"/>
  <c r="N14" i="29"/>
  <c r="CG35" i="29"/>
  <c r="CG56" i="29" s="1"/>
  <c r="CH14" i="29"/>
  <c r="BB47" i="29"/>
  <c r="BB68" i="29" s="1"/>
  <c r="BC26" i="29"/>
  <c r="BC47" i="29" s="1"/>
  <c r="BC68" i="29" s="1"/>
  <c r="BI39" i="29"/>
  <c r="BI60" i="29" s="1"/>
  <c r="BJ18" i="29"/>
  <c r="AC47" i="29"/>
  <c r="AC68" i="29" s="1"/>
  <c r="AD26" i="29"/>
  <c r="CX35" i="29"/>
  <c r="CX56" i="29" s="1"/>
  <c r="BA39" i="29"/>
  <c r="BA60" i="29" s="1"/>
  <c r="BB18" i="29"/>
  <c r="M47" i="29"/>
  <c r="M68" i="29" s="1"/>
  <c r="N26" i="29"/>
  <c r="DF35" i="29" l="1"/>
  <c r="DF56" i="29" s="1"/>
  <c r="DG22" i="29"/>
  <c r="DG43" i="29" s="1"/>
  <c r="DG64" i="29" s="1"/>
  <c r="AU14" i="29"/>
  <c r="AU35" i="29" s="1"/>
  <c r="AU56" i="29" s="1"/>
  <c r="BC14" i="29"/>
  <c r="BC35" i="29" s="1"/>
  <c r="BC56" i="29" s="1"/>
  <c r="BC22" i="29"/>
  <c r="BC43" i="29" s="1"/>
  <c r="BC64" i="29" s="1"/>
  <c r="BK26" i="29"/>
  <c r="BK47" i="29" s="1"/>
  <c r="BK68" i="29" s="1"/>
  <c r="BR43" i="29"/>
  <c r="BR64" i="29" s="1"/>
  <c r="BS22" i="29"/>
  <c r="BS43" i="29" s="1"/>
  <c r="BS64" i="29" s="1"/>
  <c r="W18" i="29"/>
  <c r="W39" i="29" s="1"/>
  <c r="W60" i="29" s="1"/>
  <c r="BR47" i="29"/>
  <c r="BR68" i="29" s="1"/>
  <c r="BS26" i="29"/>
  <c r="BS47" i="29" s="1"/>
  <c r="BS68" i="29" s="1"/>
  <c r="AE14" i="29"/>
  <c r="AE35" i="29" s="1"/>
  <c r="AE56" i="29" s="1"/>
  <c r="BK14" i="29"/>
  <c r="BK35" i="29" s="1"/>
  <c r="BK56" i="29" s="1"/>
  <c r="BJ35" i="29"/>
  <c r="BJ56" i="29" s="1"/>
  <c r="AD39" i="29"/>
  <c r="AD60" i="29" s="1"/>
  <c r="AE18" i="29"/>
  <c r="AE39" i="29" s="1"/>
  <c r="AE60" i="29" s="1"/>
  <c r="CY18" i="29"/>
  <c r="CY39" i="29" s="1"/>
  <c r="CY60" i="29" s="1"/>
  <c r="CX39" i="29"/>
  <c r="CX60" i="29" s="1"/>
  <c r="BR35" i="29"/>
  <c r="BR56" i="29" s="1"/>
  <c r="BS14" i="29"/>
  <c r="BS35" i="29" s="1"/>
  <c r="BS56" i="29" s="1"/>
  <c r="AM18" i="29"/>
  <c r="AM39" i="29" s="1"/>
  <c r="AM60" i="29" s="1"/>
  <c r="AL39" i="29"/>
  <c r="AL60" i="29" s="1"/>
  <c r="DF47" i="29"/>
  <c r="DF68" i="29" s="1"/>
  <c r="DG26" i="29"/>
  <c r="DG47" i="29" s="1"/>
  <c r="DG68" i="29" s="1"/>
  <c r="CH47" i="29"/>
  <c r="CH68" i="29" s="1"/>
  <c r="CI26" i="29"/>
  <c r="CI47" i="29" s="1"/>
  <c r="CI68" i="29" s="1"/>
  <c r="F43" i="29"/>
  <c r="F64" i="29" s="1"/>
  <c r="G22" i="29"/>
  <c r="G43" i="29" s="1"/>
  <c r="G64" i="29" s="1"/>
  <c r="CX47" i="29"/>
  <c r="CX68" i="29" s="1"/>
  <c r="CY26" i="29"/>
  <c r="CY47" i="29" s="1"/>
  <c r="CY68" i="29" s="1"/>
  <c r="BZ47" i="29"/>
  <c r="BZ68" i="29" s="1"/>
  <c r="CA26" i="29"/>
  <c r="CA47" i="29" s="1"/>
  <c r="CA68" i="29" s="1"/>
  <c r="CQ18" i="29"/>
  <c r="CQ39" i="29" s="1"/>
  <c r="CQ60" i="29" s="1"/>
  <c r="CP39" i="29"/>
  <c r="CP60" i="29" s="1"/>
  <c r="BK22" i="29"/>
  <c r="BK43" i="29" s="1"/>
  <c r="BK64" i="29" s="1"/>
  <c r="BJ43" i="29"/>
  <c r="BJ64" i="29" s="1"/>
  <c r="F47" i="29"/>
  <c r="F68" i="29" s="1"/>
  <c r="G26" i="29"/>
  <c r="G47" i="29" s="1"/>
  <c r="G68" i="29" s="1"/>
  <c r="BJ39" i="29"/>
  <c r="BJ60" i="29" s="1"/>
  <c r="BK18" i="29"/>
  <c r="BK39" i="29" s="1"/>
  <c r="BK60" i="29" s="1"/>
  <c r="W14" i="29"/>
  <c r="W35" i="29" s="1"/>
  <c r="W56" i="29" s="1"/>
  <c r="V35" i="29"/>
  <c r="V56" i="29" s="1"/>
  <c r="N43" i="29"/>
  <c r="N64" i="29" s="1"/>
  <c r="O22" i="29"/>
  <c r="O43" i="29" s="1"/>
  <c r="O64" i="29" s="1"/>
  <c r="CP47" i="29"/>
  <c r="CP68" i="29" s="1"/>
  <c r="CQ26" i="29"/>
  <c r="CQ47" i="29" s="1"/>
  <c r="CQ68" i="29" s="1"/>
  <c r="BB39" i="29"/>
  <c r="BB60" i="29" s="1"/>
  <c r="BC18" i="29"/>
  <c r="BC39" i="29" s="1"/>
  <c r="BC60" i="29" s="1"/>
  <c r="CP35" i="29"/>
  <c r="CP56" i="29" s="1"/>
  <c r="CQ14" i="29"/>
  <c r="CQ35" i="29" s="1"/>
  <c r="CQ56" i="29" s="1"/>
  <c r="AL47" i="29"/>
  <c r="AL68" i="29" s="1"/>
  <c r="AM26" i="29"/>
  <c r="AM47" i="29" s="1"/>
  <c r="AM68" i="29" s="1"/>
  <c r="CP43" i="29"/>
  <c r="CP64" i="29" s="1"/>
  <c r="CQ22" i="29"/>
  <c r="CQ43" i="29" s="1"/>
  <c r="CQ64" i="29" s="1"/>
  <c r="AT39" i="29"/>
  <c r="AT60" i="29" s="1"/>
  <c r="AU18" i="29"/>
  <c r="AU39" i="29" s="1"/>
  <c r="AU60" i="29" s="1"/>
  <c r="CH43" i="29"/>
  <c r="CH64" i="29" s="1"/>
  <c r="CI22" i="29"/>
  <c r="CI43" i="29" s="1"/>
  <c r="CI64" i="29" s="1"/>
  <c r="CH35" i="29"/>
  <c r="CH56" i="29" s="1"/>
  <c r="CI14" i="29"/>
  <c r="CI35" i="29" s="1"/>
  <c r="CI56" i="29" s="1"/>
  <c r="BZ43" i="29"/>
  <c r="BZ64" i="29" s="1"/>
  <c r="CA22" i="29"/>
  <c r="CA43" i="29" s="1"/>
  <c r="CA64" i="29" s="1"/>
  <c r="N47" i="29"/>
  <c r="N68" i="29" s="1"/>
  <c r="O26" i="29"/>
  <c r="O47" i="29" s="1"/>
  <c r="O68" i="29" s="1"/>
  <c r="AD47" i="29"/>
  <c r="AD68" i="29" s="1"/>
  <c r="AE26" i="29"/>
  <c r="AE47" i="29" s="1"/>
  <c r="AE68" i="29" s="1"/>
  <c r="N35" i="29"/>
  <c r="N56" i="29" s="1"/>
  <c r="O14" i="29"/>
  <c r="O35" i="29" s="1"/>
  <c r="O56" i="29" s="1"/>
  <c r="V43" i="29"/>
  <c r="V64" i="29" s="1"/>
  <c r="W22" i="29"/>
  <c r="W43" i="29" s="1"/>
  <c r="W64" i="29" s="1"/>
  <c r="BZ35" i="29"/>
  <c r="BZ56" i="29" s="1"/>
  <c r="CA14" i="29"/>
  <c r="CA35" i="29" s="1"/>
  <c r="CA56" i="29" s="1"/>
  <c r="DF39" i="29"/>
  <c r="DF60" i="29" s="1"/>
  <c r="DG18" i="29"/>
  <c r="DG39" i="29" s="1"/>
  <c r="DG60" i="29" s="1"/>
  <c r="AL35" i="29"/>
  <c r="AL56" i="29" s="1"/>
  <c r="AM14" i="29"/>
  <c r="AM35" i="29" s="1"/>
  <c r="AM56" i="29" s="1"/>
  <c r="V68" i="29"/>
  <c r="W26" i="29"/>
  <c r="W47" i="29" l="1"/>
  <c r="W68" i="29" s="1"/>
  <c r="F6" i="7" l="1"/>
  <c r="F7" i="7"/>
  <c r="F8" i="7"/>
  <c r="F9" i="7"/>
  <c r="F10" i="7"/>
  <c r="F11" i="7"/>
  <c r="F12" i="7"/>
  <c r="F13" i="7"/>
  <c r="C6" i="7"/>
  <c r="W7" i="7" l="1"/>
  <c r="V7" i="7"/>
  <c r="W6" i="7"/>
  <c r="V6" i="7"/>
  <c r="M5" i="7"/>
  <c r="M10" i="7"/>
  <c r="M12" i="7"/>
  <c r="M9" i="7"/>
  <c r="M13" i="7"/>
  <c r="M11" i="7"/>
  <c r="AR7" i="28"/>
  <c r="AY39" i="28"/>
  <c r="BF39" i="28" s="1"/>
  <c r="AY47" i="28"/>
  <c r="BF47" i="28" s="1"/>
  <c r="AY63" i="28"/>
  <c r="BF63" i="28" s="1"/>
  <c r="AY71" i="28"/>
  <c r="BF71" i="28" s="1"/>
  <c r="AY79" i="28"/>
  <c r="BF79" i="28" s="1"/>
  <c r="AY95" i="28"/>
  <c r="BF95" i="28" s="1"/>
  <c r="AY103" i="28"/>
  <c r="BF103" i="28" s="1"/>
  <c r="AY111" i="28"/>
  <c r="BF111" i="28" s="1"/>
  <c r="AY119" i="28"/>
  <c r="BF119" i="28" s="1"/>
  <c r="AY127" i="28"/>
  <c r="BF127" i="28" s="1"/>
  <c r="AY135" i="28"/>
  <c r="BF135" i="28" s="1"/>
  <c r="AY143" i="28"/>
  <c r="BF143" i="28" s="1"/>
  <c r="AY151" i="28"/>
  <c r="BF151" i="28" s="1"/>
  <c r="AY167" i="28"/>
  <c r="BF167" i="28" s="1"/>
  <c r="AY175" i="28"/>
  <c r="BF175" i="28" s="1"/>
  <c r="AY183" i="28"/>
  <c r="BF183" i="28" s="1"/>
  <c r="AY199" i="28"/>
  <c r="BF199" i="28" s="1"/>
  <c r="AY207" i="28"/>
  <c r="BF207" i="28" s="1"/>
  <c r="AY215" i="28"/>
  <c r="BF215" i="28" s="1"/>
  <c r="AY223" i="28"/>
  <c r="BF223" i="28" s="1"/>
  <c r="AY231" i="28"/>
  <c r="BF231" i="28" s="1"/>
  <c r="AY239" i="28"/>
  <c r="BF239" i="28" s="1"/>
  <c r="AY255" i="28"/>
  <c r="BF255" i="28" s="1"/>
  <c r="AY271" i="28"/>
  <c r="BF271" i="28" s="1"/>
  <c r="AY279" i="28"/>
  <c r="BF279" i="28" s="1"/>
  <c r="AY280" i="28"/>
  <c r="BF280" i="28" s="1"/>
  <c r="AY287" i="28"/>
  <c r="BF287" i="28" s="1"/>
  <c r="AY311" i="28"/>
  <c r="BF311" i="28" s="1"/>
  <c r="AY319" i="28"/>
  <c r="BF319" i="28" s="1"/>
  <c r="AY327" i="28"/>
  <c r="BF327" i="28" s="1"/>
  <c r="AY335" i="28"/>
  <c r="BF335" i="28" s="1"/>
  <c r="AY343" i="28"/>
  <c r="BF343" i="28" s="1"/>
  <c r="AY359" i="28"/>
  <c r="BF359" i="28" s="1"/>
  <c r="AY367" i="28"/>
  <c r="BF367" i="28" s="1"/>
  <c r="AY375" i="28"/>
  <c r="BF375" i="28" s="1"/>
  <c r="AY383" i="28"/>
  <c r="BF383" i="28" s="1"/>
  <c r="AY391" i="28"/>
  <c r="BF391" i="28" s="1"/>
  <c r="AY399" i="28"/>
  <c r="BF399" i="28" s="1"/>
  <c r="AY407" i="28"/>
  <c r="BF407" i="28" s="1"/>
  <c r="AY415" i="28"/>
  <c r="BF415" i="28" s="1"/>
  <c r="AY423" i="28"/>
  <c r="BF423" i="28" s="1"/>
  <c r="AY431" i="28"/>
  <c r="BF431" i="28" s="1"/>
  <c r="AY439" i="28"/>
  <c r="BF439" i="28" s="1"/>
  <c r="AY447" i="28"/>
  <c r="BF447" i="28" s="1"/>
  <c r="AY455" i="28"/>
  <c r="BF455" i="28" s="1"/>
  <c r="AY463" i="28"/>
  <c r="BF463" i="28" s="1"/>
  <c r="AY471" i="28"/>
  <c r="BF471" i="28" s="1"/>
  <c r="AY479" i="28"/>
  <c r="BF479" i="28" s="1"/>
  <c r="AY487" i="28"/>
  <c r="BF487" i="28" s="1"/>
  <c r="AY495" i="28"/>
  <c r="BF495" i="28" s="1"/>
  <c r="AY503" i="28"/>
  <c r="BF503" i="28" s="1"/>
  <c r="AY511" i="28"/>
  <c r="BF511" i="28" s="1"/>
  <c r="AY527" i="28"/>
  <c r="BF527" i="28" s="1"/>
  <c r="AY535" i="28"/>
  <c r="BF535" i="28" s="1"/>
  <c r="AY559" i="28"/>
  <c r="BF559" i="28" s="1"/>
  <c r="AY575" i="28"/>
  <c r="BF575" i="28" s="1"/>
  <c r="AY583" i="28"/>
  <c r="BF583" i="28" s="1"/>
  <c r="AY599" i="28"/>
  <c r="BF599" i="28" s="1"/>
  <c r="AY607" i="28"/>
  <c r="BF607" i="28" s="1"/>
  <c r="AY615" i="28"/>
  <c r="BF615" i="28" s="1"/>
  <c r="AY623" i="28"/>
  <c r="BF623" i="28" s="1"/>
  <c r="AY631" i="28"/>
  <c r="BF631" i="28" s="1"/>
  <c r="AY639" i="28"/>
  <c r="BF639" i="28" s="1"/>
  <c r="AY655" i="28"/>
  <c r="BF655" i="28" s="1"/>
  <c r="AY663" i="28"/>
  <c r="BF663" i="28" s="1"/>
  <c r="AY671" i="28"/>
  <c r="BF671" i="28" s="1"/>
  <c r="AY687" i="28"/>
  <c r="BF687" i="28" s="1"/>
  <c r="AY695" i="28"/>
  <c r="BF695" i="28" s="1"/>
  <c r="AY711" i="28"/>
  <c r="BF711" i="28" s="1"/>
  <c r="AY727" i="28"/>
  <c r="BF727" i="28" s="1"/>
  <c r="AY735" i="28"/>
  <c r="BF735" i="28" s="1"/>
  <c r="AY743" i="28"/>
  <c r="BF743" i="28" s="1"/>
  <c r="AY751" i="28"/>
  <c r="BF751" i="28" s="1"/>
  <c r="AY759" i="28"/>
  <c r="BF759" i="28" s="1"/>
  <c r="AY767" i="28"/>
  <c r="BF767" i="28" s="1"/>
  <c r="AY775" i="28"/>
  <c r="BF775" i="28" s="1"/>
  <c r="AY783" i="28"/>
  <c r="BF783" i="28" s="1"/>
  <c r="AY799" i="28"/>
  <c r="BF799" i="28" s="1"/>
  <c r="AY807" i="28"/>
  <c r="BF807" i="28" s="1"/>
  <c r="AY831" i="28"/>
  <c r="BF831" i="28" s="1"/>
  <c r="AY839" i="28"/>
  <c r="BF839" i="28" s="1"/>
  <c r="AY855" i="28"/>
  <c r="BF855" i="28" s="1"/>
  <c r="AY863" i="28"/>
  <c r="BF863" i="28" s="1"/>
  <c r="AY879" i="28"/>
  <c r="BF879" i="28" s="1"/>
  <c r="AY887" i="28"/>
  <c r="BF887" i="28" s="1"/>
  <c r="AY903" i="28"/>
  <c r="BF903" i="28" s="1"/>
  <c r="AY935" i="28"/>
  <c r="BF935" i="28" s="1"/>
  <c r="AY951" i="28"/>
  <c r="BF951" i="28" s="1"/>
  <c r="AY959" i="28"/>
  <c r="BF959" i="28" s="1"/>
  <c r="AY967" i="28"/>
  <c r="BF967" i="28" s="1"/>
  <c r="AY975" i="28"/>
  <c r="BF975" i="28" s="1"/>
  <c r="AY983" i="28"/>
  <c r="BF983" i="28" s="1"/>
  <c r="AY991" i="28"/>
  <c r="BF991" i="28" s="1"/>
  <c r="AY999" i="28"/>
  <c r="BF999" i="28" s="1"/>
  <c r="AY1007" i="28"/>
  <c r="BF1007" i="28" s="1"/>
  <c r="V16" i="28"/>
  <c r="AC16" i="28" s="1"/>
  <c r="V24" i="28"/>
  <c r="AC24" i="28" s="1"/>
  <c r="V32" i="28"/>
  <c r="AC32" i="28" s="1"/>
  <c r="V40" i="28"/>
  <c r="AC40" i="28" s="1"/>
  <c r="V48" i="28"/>
  <c r="AC48" i="28" s="1"/>
  <c r="V56" i="28"/>
  <c r="AC56" i="28" s="1"/>
  <c r="V64" i="28"/>
  <c r="AC64" i="28" s="1"/>
  <c r="V72" i="28"/>
  <c r="AC72" i="28" s="1"/>
  <c r="V80" i="28"/>
  <c r="AC80" i="28" s="1"/>
  <c r="V88" i="28"/>
  <c r="AC88" i="28" s="1"/>
  <c r="V96" i="28"/>
  <c r="AC96" i="28" s="1"/>
  <c r="V104" i="28"/>
  <c r="AC104" i="28" s="1"/>
  <c r="V112" i="28"/>
  <c r="AC112" i="28" s="1"/>
  <c r="V120" i="28"/>
  <c r="AC120" i="28" s="1"/>
  <c r="V128" i="28"/>
  <c r="AC128" i="28" s="1"/>
  <c r="V136" i="28"/>
  <c r="AC136" i="28" s="1"/>
  <c r="V144" i="28"/>
  <c r="AC144" i="28" s="1"/>
  <c r="V152" i="28"/>
  <c r="AC152" i="28" s="1"/>
  <c r="V160" i="28"/>
  <c r="AC160" i="28" s="1"/>
  <c r="V168" i="28"/>
  <c r="AC168" i="28" s="1"/>
  <c r="V176" i="28"/>
  <c r="AC176" i="28" s="1"/>
  <c r="V184" i="28"/>
  <c r="AC184" i="28" s="1"/>
  <c r="V192" i="28"/>
  <c r="AC192" i="28" s="1"/>
  <c r="V200" i="28"/>
  <c r="AC200" i="28" s="1"/>
  <c r="V208" i="28"/>
  <c r="AC208" i="28" s="1"/>
  <c r="V216" i="28"/>
  <c r="AC216" i="28" s="1"/>
  <c r="V224" i="28"/>
  <c r="AC224" i="28" s="1"/>
  <c r="V232" i="28"/>
  <c r="AC232" i="28" s="1"/>
  <c r="V240" i="28"/>
  <c r="AC240" i="28" s="1"/>
  <c r="V248" i="28"/>
  <c r="AC248" i="28" s="1"/>
  <c r="V256" i="28"/>
  <c r="AC256" i="28" s="1"/>
  <c r="V264" i="28"/>
  <c r="AC264" i="28" s="1"/>
  <c r="V272" i="28"/>
  <c r="AC272" i="28" s="1"/>
  <c r="V280" i="28"/>
  <c r="AC280" i="28" s="1"/>
  <c r="V288" i="28"/>
  <c r="AC288" i="28" s="1"/>
  <c r="V296" i="28"/>
  <c r="AC296" i="28" s="1"/>
  <c r="V304" i="28"/>
  <c r="AC304" i="28" s="1"/>
  <c r="V312" i="28"/>
  <c r="AC312" i="28" s="1"/>
  <c r="V320" i="28"/>
  <c r="AC320" i="28" s="1"/>
  <c r="V328" i="28"/>
  <c r="AC328" i="28" s="1"/>
  <c r="V336" i="28"/>
  <c r="AC336" i="28" s="1"/>
  <c r="V344" i="28"/>
  <c r="AC344" i="28" s="1"/>
  <c r="V352" i="28"/>
  <c r="AC352" i="28" s="1"/>
  <c r="V360" i="28"/>
  <c r="AC360" i="28" s="1"/>
  <c r="V368" i="28"/>
  <c r="AC368" i="28" s="1"/>
  <c r="V376" i="28"/>
  <c r="AC376" i="28" s="1"/>
  <c r="V384" i="28"/>
  <c r="AC384" i="28" s="1"/>
  <c r="V392" i="28"/>
  <c r="AC392" i="28" s="1"/>
  <c r="V400" i="28"/>
  <c r="AC400" i="28" s="1"/>
  <c r="V408" i="28"/>
  <c r="AC408" i="28" s="1"/>
  <c r="V416" i="28"/>
  <c r="AC416" i="28" s="1"/>
  <c r="V424" i="28"/>
  <c r="AC424" i="28" s="1"/>
  <c r="V432" i="28"/>
  <c r="AC432" i="28" s="1"/>
  <c r="V440" i="28"/>
  <c r="AC440" i="28" s="1"/>
  <c r="V448" i="28"/>
  <c r="AC448" i="28" s="1"/>
  <c r="V456" i="28"/>
  <c r="AC456" i="28" s="1"/>
  <c r="V464" i="28"/>
  <c r="AC464" i="28" s="1"/>
  <c r="V472" i="28"/>
  <c r="AC472" i="28" s="1"/>
  <c r="V480" i="28"/>
  <c r="AC480" i="28" s="1"/>
  <c r="V488" i="28"/>
  <c r="AC488" i="28" s="1"/>
  <c r="V496" i="28"/>
  <c r="AC496" i="28" s="1"/>
  <c r="V504" i="28"/>
  <c r="AC504" i="28" s="1"/>
  <c r="V512" i="28"/>
  <c r="AC512" i="28" s="1"/>
  <c r="V520" i="28"/>
  <c r="AC520" i="28" s="1"/>
  <c r="V528" i="28"/>
  <c r="AC528" i="28" s="1"/>
  <c r="V536" i="28"/>
  <c r="AC536" i="28" s="1"/>
  <c r="V544" i="28"/>
  <c r="AC544" i="28" s="1"/>
  <c r="V552" i="28"/>
  <c r="AC552" i="28" s="1"/>
  <c r="V560" i="28"/>
  <c r="AC560" i="28" s="1"/>
  <c r="V568" i="28"/>
  <c r="AC568" i="28" s="1"/>
  <c r="V576" i="28"/>
  <c r="AC576" i="28" s="1"/>
  <c r="V584" i="28"/>
  <c r="AC584" i="28" s="1"/>
  <c r="V592" i="28"/>
  <c r="AC592" i="28" s="1"/>
  <c r="V600" i="28"/>
  <c r="AC600" i="28" s="1"/>
  <c r="V608" i="28"/>
  <c r="AC608" i="28" s="1"/>
  <c r="V616" i="28"/>
  <c r="AC616" i="28" s="1"/>
  <c r="V624" i="28"/>
  <c r="AC624" i="28" s="1"/>
  <c r="V632" i="28"/>
  <c r="AC632" i="28" s="1"/>
  <c r="V640" i="28"/>
  <c r="AC640" i="28" s="1"/>
  <c r="V648" i="28"/>
  <c r="AC648" i="28" s="1"/>
  <c r="V656" i="28"/>
  <c r="AC656" i="28" s="1"/>
  <c r="V664" i="28"/>
  <c r="AC664" i="28" s="1"/>
  <c r="V672" i="28"/>
  <c r="AC672" i="28" s="1"/>
  <c r="V680" i="28"/>
  <c r="AC680" i="28" s="1"/>
  <c r="V688" i="28"/>
  <c r="AC688" i="28" s="1"/>
  <c r="V696" i="28"/>
  <c r="AC696" i="28" s="1"/>
  <c r="V704" i="28"/>
  <c r="AC704" i="28" s="1"/>
  <c r="V712" i="28"/>
  <c r="AC712" i="28" s="1"/>
  <c r="V720" i="28"/>
  <c r="AC720" i="28" s="1"/>
  <c r="V728" i="28"/>
  <c r="AC728" i="28" s="1"/>
  <c r="V736" i="28"/>
  <c r="AC736" i="28" s="1"/>
  <c r="V744" i="28"/>
  <c r="AC744" i="28" s="1"/>
  <c r="V752" i="28"/>
  <c r="AC752" i="28" s="1"/>
  <c r="V760" i="28"/>
  <c r="AC760" i="28" s="1"/>
  <c r="V768" i="28"/>
  <c r="AC768" i="28" s="1"/>
  <c r="V776" i="28"/>
  <c r="AC776" i="28" s="1"/>
  <c r="V784" i="28"/>
  <c r="AC784" i="28" s="1"/>
  <c r="V792" i="28"/>
  <c r="AC792" i="28" s="1"/>
  <c r="V800" i="28"/>
  <c r="AC800" i="28" s="1"/>
  <c r="V808" i="28"/>
  <c r="AC808" i="28" s="1"/>
  <c r="V816" i="28"/>
  <c r="AC816" i="28" s="1"/>
  <c r="V824" i="28"/>
  <c r="AC824" i="28" s="1"/>
  <c r="V832" i="28"/>
  <c r="AC832" i="28" s="1"/>
  <c r="V840" i="28"/>
  <c r="AC840" i="28" s="1"/>
  <c r="V848" i="28"/>
  <c r="AC848" i="28" s="1"/>
  <c r="V856" i="28"/>
  <c r="AC856" i="28" s="1"/>
  <c r="V864" i="28"/>
  <c r="AC864" i="28" s="1"/>
  <c r="V872" i="28"/>
  <c r="AC872" i="28" s="1"/>
  <c r="V880" i="28"/>
  <c r="AC880" i="28" s="1"/>
  <c r="V888" i="28"/>
  <c r="AC888" i="28" s="1"/>
  <c r="V896" i="28"/>
  <c r="AC896" i="28" s="1"/>
  <c r="V904" i="28"/>
  <c r="AC904" i="28" s="1"/>
  <c r="V912" i="28"/>
  <c r="AC912" i="28" s="1"/>
  <c r="V920" i="28"/>
  <c r="AC920" i="28" s="1"/>
  <c r="V928" i="28"/>
  <c r="AC928" i="28" s="1"/>
  <c r="V936" i="28"/>
  <c r="AC936" i="28" s="1"/>
  <c r="V944" i="28"/>
  <c r="AC944" i="28" s="1"/>
  <c r="V952" i="28"/>
  <c r="AC952" i="28" s="1"/>
  <c r="V960" i="28"/>
  <c r="AC960" i="28" s="1"/>
  <c r="V968" i="28"/>
  <c r="AC968" i="28" s="1"/>
  <c r="V976" i="28"/>
  <c r="AC976" i="28" s="1"/>
  <c r="V984" i="28"/>
  <c r="AC984" i="28" s="1"/>
  <c r="V992" i="28"/>
  <c r="AC992" i="28" s="1"/>
  <c r="V1000" i="28"/>
  <c r="AC1000" i="28" s="1"/>
  <c r="V1008" i="28"/>
  <c r="AC1008" i="28" s="1"/>
  <c r="AY24" i="28"/>
  <c r="BF24" i="28" s="1"/>
  <c r="AY32" i="28"/>
  <c r="BF32" i="28" s="1"/>
  <c r="AY40" i="28"/>
  <c r="BF40" i="28" s="1"/>
  <c r="AY48" i="28"/>
  <c r="BF48" i="28" s="1"/>
  <c r="AY56" i="28"/>
  <c r="BF56" i="28" s="1"/>
  <c r="AY72" i="28"/>
  <c r="BF72" i="28" s="1"/>
  <c r="AY80" i="28"/>
  <c r="BF80" i="28" s="1"/>
  <c r="AY88" i="28"/>
  <c r="BF88" i="28" s="1"/>
  <c r="AY96" i="28"/>
  <c r="BF96" i="28" s="1"/>
  <c r="AY104" i="28"/>
  <c r="BF104" i="28" s="1"/>
  <c r="AY112" i="28"/>
  <c r="BF112" i="28" s="1"/>
  <c r="AY120" i="28"/>
  <c r="BF120" i="28" s="1"/>
  <c r="AY128" i="28"/>
  <c r="BF128" i="28" s="1"/>
  <c r="AY136" i="28"/>
  <c r="BF136" i="28" s="1"/>
  <c r="AY144" i="28"/>
  <c r="BF144" i="28" s="1"/>
  <c r="AY152" i="28"/>
  <c r="BF152" i="28" s="1"/>
  <c r="AY160" i="28"/>
  <c r="BF160" i="28" s="1"/>
  <c r="AY168" i="28"/>
  <c r="BF168" i="28" s="1"/>
  <c r="AY176" i="28"/>
  <c r="BF176" i="28" s="1"/>
  <c r="AY184" i="28"/>
  <c r="BF184" i="28" s="1"/>
  <c r="AY192" i="28"/>
  <c r="BF192" i="28" s="1"/>
  <c r="AY200" i="28"/>
  <c r="BF200" i="28" s="1"/>
  <c r="AY208" i="28"/>
  <c r="BF208" i="28" s="1"/>
  <c r="AY216" i="28"/>
  <c r="BF216" i="28" s="1"/>
  <c r="AY224" i="28"/>
  <c r="BF224" i="28" s="1"/>
  <c r="AY232" i="28"/>
  <c r="BF232" i="28" s="1"/>
  <c r="AY240" i="28"/>
  <c r="BF240" i="28" s="1"/>
  <c r="AY248" i="28"/>
  <c r="BF248" i="28" s="1"/>
  <c r="AY256" i="28"/>
  <c r="BF256" i="28" s="1"/>
  <c r="AY264" i="28"/>
  <c r="BF264" i="28" s="1"/>
  <c r="AY272" i="28"/>
  <c r="BF272" i="28" s="1"/>
  <c r="AY288" i="28"/>
  <c r="BF288" i="28" s="1"/>
  <c r="AY296" i="28"/>
  <c r="BF296" i="28" s="1"/>
  <c r="AY304" i="28"/>
  <c r="BF304" i="28" s="1"/>
  <c r="AY312" i="28"/>
  <c r="BF312" i="28" s="1"/>
  <c r="AY320" i="28"/>
  <c r="BF320" i="28" s="1"/>
  <c r="AY328" i="28"/>
  <c r="BF328" i="28" s="1"/>
  <c r="AY336" i="28"/>
  <c r="BF336" i="28" s="1"/>
  <c r="AY344" i="28"/>
  <c r="BF344" i="28" s="1"/>
  <c r="AY350" i="28"/>
  <c r="AY352" i="28"/>
  <c r="BF352" i="28" s="1"/>
  <c r="AY358" i="28"/>
  <c r="BF358" i="28" s="1"/>
  <c r="AY360" i="28"/>
  <c r="BF360" i="28" s="1"/>
  <c r="AY366" i="28"/>
  <c r="BF366" i="28" s="1"/>
  <c r="AY368" i="28"/>
  <c r="BF368" i="28" s="1"/>
  <c r="AY374" i="28"/>
  <c r="BF374" i="28" s="1"/>
  <c r="AY376" i="28"/>
  <c r="BF376" i="28" s="1"/>
  <c r="AY384" i="28"/>
  <c r="BF384" i="28" s="1"/>
  <c r="AY392" i="28"/>
  <c r="BF392" i="28" s="1"/>
  <c r="AY398" i="28"/>
  <c r="BF398" i="28" s="1"/>
  <c r="AY400" i="28"/>
  <c r="BF400" i="28" s="1"/>
  <c r="AY406" i="28"/>
  <c r="BF406" i="28" s="1"/>
  <c r="AY408" i="28"/>
  <c r="BF408" i="28" s="1"/>
  <c r="AY414" i="28"/>
  <c r="AY416" i="28"/>
  <c r="BF416" i="28" s="1"/>
  <c r="AY422" i="28"/>
  <c r="BF422" i="28" s="1"/>
  <c r="AY424" i="28"/>
  <c r="BF424" i="28" s="1"/>
  <c r="AY430" i="28"/>
  <c r="BF430" i="28" s="1"/>
  <c r="AY432" i="28"/>
  <c r="BF432" i="28" s="1"/>
  <c r="AY438" i="28"/>
  <c r="BF438" i="28" s="1"/>
  <c r="AY440" i="28"/>
  <c r="BF440" i="28" s="1"/>
  <c r="AY446" i="28"/>
  <c r="AY448" i="28"/>
  <c r="BF448" i="28" s="1"/>
  <c r="AY454" i="28"/>
  <c r="BF454" i="28" s="1"/>
  <c r="AY456" i="28"/>
  <c r="BF456" i="28" s="1"/>
  <c r="AY462" i="28"/>
  <c r="AY464" i="28"/>
  <c r="BF464" i="28" s="1"/>
  <c r="AY472" i="28"/>
  <c r="BF472" i="28" s="1"/>
  <c r="AY480" i="28"/>
  <c r="BF480" i="28" s="1"/>
  <c r="AY486" i="28"/>
  <c r="AY488" i="28"/>
  <c r="BF488" i="28" s="1"/>
  <c r="AY494" i="28"/>
  <c r="AY496" i="28"/>
  <c r="BF496" i="28" s="1"/>
  <c r="AY504" i="28"/>
  <c r="BF504" i="28" s="1"/>
  <c r="AY510" i="28"/>
  <c r="BF510" i="28" s="1"/>
  <c r="AY512" i="28"/>
  <c r="BF512" i="28" s="1"/>
  <c r="AY520" i="28"/>
  <c r="BF520" i="28" s="1"/>
  <c r="AY526" i="28"/>
  <c r="BF526" i="28" s="1"/>
  <c r="AY528" i="28"/>
  <c r="BF528" i="28" s="1"/>
  <c r="AY534" i="28"/>
  <c r="BF534" i="28" s="1"/>
  <c r="AY536" i="28"/>
  <c r="BF536" i="28" s="1"/>
  <c r="AY542" i="28"/>
  <c r="BF542" i="28" s="1"/>
  <c r="AY544" i="28"/>
  <c r="BF544" i="28" s="1"/>
  <c r="AY550" i="28"/>
  <c r="BF550" i="28" s="1"/>
  <c r="AY552" i="28"/>
  <c r="BF552" i="28" s="1"/>
  <c r="AY558" i="28"/>
  <c r="BF558" i="28" s="1"/>
  <c r="AY560" i="28"/>
  <c r="BF560" i="28" s="1"/>
  <c r="AY566" i="28"/>
  <c r="BF566" i="28" s="1"/>
  <c r="AY568" i="28"/>
  <c r="BF568" i="28" s="1"/>
  <c r="AY574" i="28"/>
  <c r="BF574" i="28" s="1"/>
  <c r="AY576" i="28"/>
  <c r="BF576" i="28" s="1"/>
  <c r="AY582" i="28"/>
  <c r="BF582" i="28" s="1"/>
  <c r="AY584" i="28"/>
  <c r="BF584" i="28" s="1"/>
  <c r="AY590" i="28"/>
  <c r="BF590" i="28" s="1"/>
  <c r="AY592" i="28"/>
  <c r="BF592" i="28" s="1"/>
  <c r="AY598" i="28"/>
  <c r="BF598" i="28" s="1"/>
  <c r="AY600" i="28"/>
  <c r="BF600" i="28" s="1"/>
  <c r="AY606" i="28"/>
  <c r="BF606" i="28" s="1"/>
  <c r="AY608" i="28"/>
  <c r="BF608" i="28" s="1"/>
  <c r="AY614" i="28"/>
  <c r="BF614" i="28" s="1"/>
  <c r="AY616" i="28"/>
  <c r="BF616" i="28" s="1"/>
  <c r="AY622" i="28"/>
  <c r="BF622" i="28" s="1"/>
  <c r="AY624" i="28"/>
  <c r="BF624" i="28" s="1"/>
  <c r="AY632" i="28"/>
  <c r="BF632" i="28" s="1"/>
  <c r="AY640" i="28"/>
  <c r="BF640" i="28" s="1"/>
  <c r="AY646" i="28"/>
  <c r="BF646" i="28" s="1"/>
  <c r="AY648" i="28"/>
  <c r="BF648" i="28" s="1"/>
  <c r="AY654" i="28"/>
  <c r="BF654" i="28" s="1"/>
  <c r="AY656" i="28"/>
  <c r="BF656" i="28" s="1"/>
  <c r="AY662" i="28"/>
  <c r="BF662" i="28" s="1"/>
  <c r="AY664" i="28"/>
  <c r="BF664" i="28" s="1"/>
  <c r="AY670" i="28"/>
  <c r="BF670" i="28" s="1"/>
  <c r="AY672" i="28"/>
  <c r="BF672" i="28" s="1"/>
  <c r="AY678" i="28"/>
  <c r="BF678" i="28" s="1"/>
  <c r="AY680" i="28"/>
  <c r="BF680" i="28" s="1"/>
  <c r="AY686" i="28"/>
  <c r="BF686" i="28" s="1"/>
  <c r="AY688" i="28"/>
  <c r="BF688" i="28" s="1"/>
  <c r="AY694" i="28"/>
  <c r="BF694" i="28" s="1"/>
  <c r="AY696" i="28"/>
  <c r="BF696" i="28" s="1"/>
  <c r="AY702" i="28"/>
  <c r="BF702" i="28" s="1"/>
  <c r="AY704" i="28"/>
  <c r="BF704" i="28" s="1"/>
  <c r="AY710" i="28"/>
  <c r="BF710" i="28" s="1"/>
  <c r="AY712" i="28"/>
  <c r="BF712" i="28" s="1"/>
  <c r="AY718" i="28"/>
  <c r="BF718" i="28" s="1"/>
  <c r="AY720" i="28"/>
  <c r="BF720" i="28" s="1"/>
  <c r="AY726" i="28"/>
  <c r="BF726" i="28" s="1"/>
  <c r="AY728" i="28"/>
  <c r="BF728" i="28" s="1"/>
  <c r="AY734" i="28"/>
  <c r="AY736" i="28"/>
  <c r="BF736" i="28" s="1"/>
  <c r="AY744" i="28"/>
  <c r="BF744" i="28" s="1"/>
  <c r="AY750" i="28"/>
  <c r="BF750" i="28" s="1"/>
  <c r="AY752" i="28"/>
  <c r="BF752" i="28" s="1"/>
  <c r="AY758" i="28"/>
  <c r="BF758" i="28" s="1"/>
  <c r="AY760" i="28"/>
  <c r="BF760" i="28" s="1"/>
  <c r="AY766" i="28"/>
  <c r="BF766" i="28" s="1"/>
  <c r="AY768" i="28"/>
  <c r="BF768" i="28" s="1"/>
  <c r="AY774" i="28"/>
  <c r="BF774" i="28" s="1"/>
  <c r="AY776" i="28"/>
  <c r="BF776" i="28" s="1"/>
  <c r="AY782" i="28"/>
  <c r="BF782" i="28" s="1"/>
  <c r="AY784" i="28"/>
  <c r="BF784" i="28" s="1"/>
  <c r="AY790" i="28"/>
  <c r="BF790" i="28" s="1"/>
  <c r="AY792" i="28"/>
  <c r="BF792" i="28" s="1"/>
  <c r="AY795" i="28"/>
  <c r="BF795" i="28" s="1"/>
  <c r="AY798" i="28"/>
  <c r="BF798" i="28" s="1"/>
  <c r="AY800" i="28"/>
  <c r="BF800" i="28" s="1"/>
  <c r="AY803" i="28"/>
  <c r="BF803" i="28" s="1"/>
  <c r="AY806" i="28"/>
  <c r="BF806" i="28" s="1"/>
  <c r="AY808" i="28"/>
  <c r="BF808" i="28" s="1"/>
  <c r="AY809" i="28"/>
  <c r="BF809" i="28" s="1"/>
  <c r="AY811" i="28"/>
  <c r="BF811" i="28" s="1"/>
  <c r="AY814" i="28"/>
  <c r="BF814" i="28" s="1"/>
  <c r="AY816" i="28"/>
  <c r="BF816" i="28" s="1"/>
  <c r="AY822" i="28"/>
  <c r="BF822" i="28" s="1"/>
  <c r="AY824" i="28"/>
  <c r="BF824" i="28" s="1"/>
  <c r="AY825" i="28"/>
  <c r="BF825" i="28" s="1"/>
  <c r="AY832" i="28"/>
  <c r="BF832" i="28" s="1"/>
  <c r="AY838" i="28"/>
  <c r="BF838" i="28" s="1"/>
  <c r="AY840" i="28"/>
  <c r="BF840" i="28" s="1"/>
  <c r="AY843" i="28"/>
  <c r="BF843" i="28" s="1"/>
  <c r="AY846" i="28"/>
  <c r="BF846" i="28" s="1"/>
  <c r="AY848" i="28"/>
  <c r="BF848" i="28" s="1"/>
  <c r="AY851" i="28"/>
  <c r="BF851" i="28" s="1"/>
  <c r="AY854" i="28"/>
  <c r="BF854" i="28" s="1"/>
  <c r="AY856" i="28"/>
  <c r="BF856" i="28" s="1"/>
  <c r="AY857" i="28"/>
  <c r="BF857" i="28" s="1"/>
  <c r="AY862" i="28"/>
  <c r="BF862" i="28" s="1"/>
  <c r="AY864" i="28"/>
  <c r="BF864" i="28" s="1"/>
  <c r="AY867" i="28"/>
  <c r="BF867" i="28" s="1"/>
  <c r="AY870" i="28"/>
  <c r="BF870" i="28" s="1"/>
  <c r="AY872" i="28"/>
  <c r="BF872" i="28" s="1"/>
  <c r="AY873" i="28"/>
  <c r="BF873" i="28" s="1"/>
  <c r="AY878" i="28"/>
  <c r="BF878" i="28" s="1"/>
  <c r="AY880" i="28"/>
  <c r="BF880" i="28" s="1"/>
  <c r="AY886" i="28"/>
  <c r="BF886" i="28" s="1"/>
  <c r="AY888" i="28"/>
  <c r="BF888" i="28" s="1"/>
  <c r="AY894" i="28"/>
  <c r="BF894" i="28" s="1"/>
  <c r="AY896" i="28"/>
  <c r="BF896" i="28" s="1"/>
  <c r="AY897" i="28"/>
  <c r="BF897" i="28" s="1"/>
  <c r="AY899" i="28"/>
  <c r="BF899" i="28" s="1"/>
  <c r="AY902" i="28"/>
  <c r="BF902" i="28" s="1"/>
  <c r="AY904" i="28"/>
  <c r="BF904" i="28" s="1"/>
  <c r="AY905" i="28"/>
  <c r="BF905" i="28" s="1"/>
  <c r="AY910" i="28"/>
  <c r="BF910" i="28" s="1"/>
  <c r="AY912" i="28"/>
  <c r="BF912" i="28" s="1"/>
  <c r="AY915" i="28"/>
  <c r="BF915" i="28" s="1"/>
  <c r="AY918" i="28"/>
  <c r="BF918" i="28" s="1"/>
  <c r="AY920" i="28"/>
  <c r="BF920" i="28" s="1"/>
  <c r="AY923" i="28"/>
  <c r="BF923" i="28" s="1"/>
  <c r="AY926" i="28"/>
  <c r="BF926" i="28" s="1"/>
  <c r="AY928" i="28"/>
  <c r="BF928" i="28" s="1"/>
  <c r="AY934" i="28"/>
  <c r="BF934" i="28" s="1"/>
  <c r="AY936" i="28"/>
  <c r="BF936" i="28" s="1"/>
  <c r="AY937" i="28"/>
  <c r="BF937" i="28" s="1"/>
  <c r="AY939" i="28"/>
  <c r="BF939" i="28" s="1"/>
  <c r="AY942" i="28"/>
  <c r="BF942" i="28" s="1"/>
  <c r="AY944" i="28"/>
  <c r="BF944" i="28" s="1"/>
  <c r="AY950" i="28"/>
  <c r="BF950" i="28" s="1"/>
  <c r="AY952" i="28"/>
  <c r="BF952" i="28" s="1"/>
  <c r="AY955" i="28"/>
  <c r="AY960" i="28"/>
  <c r="BF960" i="28" s="1"/>
  <c r="AY961" i="28"/>
  <c r="BF961" i="28" s="1"/>
  <c r="AY963" i="28"/>
  <c r="BF963" i="28" s="1"/>
  <c r="AY966" i="28"/>
  <c r="BF966" i="28" s="1"/>
  <c r="AY968" i="28"/>
  <c r="BF968" i="28" s="1"/>
  <c r="AY969" i="28"/>
  <c r="BF969" i="28" s="1"/>
  <c r="AY971" i="28"/>
  <c r="AY974" i="28"/>
  <c r="BF974" i="28" s="1"/>
  <c r="AY976" i="28"/>
  <c r="BF976" i="28" s="1"/>
  <c r="AY982" i="28"/>
  <c r="BF982" i="28" s="1"/>
  <c r="AY984" i="28"/>
  <c r="BF984" i="28" s="1"/>
  <c r="AY985" i="28"/>
  <c r="BF985" i="28" s="1"/>
  <c r="AY990" i="28"/>
  <c r="BF990" i="28" s="1"/>
  <c r="AY992" i="28"/>
  <c r="BF992" i="28" s="1"/>
  <c r="AY993" i="28"/>
  <c r="BF993" i="28" s="1"/>
  <c r="AY995" i="28"/>
  <c r="BF995" i="28" s="1"/>
  <c r="AY998" i="28"/>
  <c r="BF998" i="28" s="1"/>
  <c r="AY1000" i="28"/>
  <c r="BF1000" i="28" s="1"/>
  <c r="AY1003" i="28"/>
  <c r="BF1003" i="28" s="1"/>
  <c r="AY1006" i="28"/>
  <c r="BF1006" i="28" s="1"/>
  <c r="AY1008" i="28"/>
  <c r="BF1008" i="28" s="1"/>
  <c r="AY1011" i="28"/>
  <c r="BF1011" i="28" s="1"/>
  <c r="AY1014" i="28"/>
  <c r="BF1014" i="28" s="1"/>
  <c r="C36" i="11"/>
  <c r="C35" i="11"/>
  <c r="AF7" i="28"/>
  <c r="AY1015" i="28"/>
  <c r="BF1015" i="28" s="1"/>
  <c r="AX1015" i="28"/>
  <c r="BE1015" i="28" s="1"/>
  <c r="AW1015" i="28"/>
  <c r="BD1015" i="28" s="1"/>
  <c r="AV1015" i="28"/>
  <c r="BC1015" i="28" s="1"/>
  <c r="AU1015" i="28"/>
  <c r="BB1015" i="28" s="1"/>
  <c r="AT1015" i="28"/>
  <c r="BA1015" i="28" s="1"/>
  <c r="AX1014" i="28"/>
  <c r="BE1014" i="28" s="1"/>
  <c r="AW1014" i="28"/>
  <c r="BD1014" i="28" s="1"/>
  <c r="AV1014" i="28"/>
  <c r="BC1014" i="28" s="1"/>
  <c r="AU1014" i="28"/>
  <c r="BB1014" i="28" s="1"/>
  <c r="AT1014" i="28"/>
  <c r="BA1014" i="28" s="1"/>
  <c r="AY1013" i="28"/>
  <c r="BF1013" i="28" s="1"/>
  <c r="AX1013" i="28"/>
  <c r="BE1013" i="28" s="1"/>
  <c r="AW1013" i="28"/>
  <c r="BD1013" i="28" s="1"/>
  <c r="AV1013" i="28"/>
  <c r="BC1013" i="28" s="1"/>
  <c r="AU1013" i="28"/>
  <c r="BB1013" i="28" s="1"/>
  <c r="AT1013" i="28"/>
  <c r="BA1013" i="28" s="1"/>
  <c r="AY1012" i="28"/>
  <c r="BF1012" i="28" s="1"/>
  <c r="AX1012" i="28"/>
  <c r="BE1012" i="28" s="1"/>
  <c r="AW1012" i="28"/>
  <c r="BD1012" i="28" s="1"/>
  <c r="AV1012" i="28"/>
  <c r="BC1012" i="28" s="1"/>
  <c r="AU1012" i="28"/>
  <c r="BB1012" i="28" s="1"/>
  <c r="AT1012" i="28"/>
  <c r="BA1012" i="28" s="1"/>
  <c r="AX1011" i="28"/>
  <c r="BE1011" i="28" s="1"/>
  <c r="AW1011" i="28"/>
  <c r="BD1011" i="28" s="1"/>
  <c r="AV1011" i="28"/>
  <c r="BC1011" i="28" s="1"/>
  <c r="AU1011" i="28"/>
  <c r="BB1011" i="28" s="1"/>
  <c r="AT1011" i="28"/>
  <c r="BA1011" i="28" s="1"/>
  <c r="AY1010" i="28"/>
  <c r="BF1010" i="28" s="1"/>
  <c r="AX1010" i="28"/>
  <c r="BE1010" i="28" s="1"/>
  <c r="AW1010" i="28"/>
  <c r="BD1010" i="28" s="1"/>
  <c r="AV1010" i="28"/>
  <c r="BC1010" i="28" s="1"/>
  <c r="AU1010" i="28"/>
  <c r="BB1010" i="28" s="1"/>
  <c r="AT1010" i="28"/>
  <c r="BA1010" i="28" s="1"/>
  <c r="AY1009" i="28"/>
  <c r="BF1009" i="28" s="1"/>
  <c r="AX1009" i="28"/>
  <c r="BE1009" i="28" s="1"/>
  <c r="AW1009" i="28"/>
  <c r="BD1009" i="28" s="1"/>
  <c r="AV1009" i="28"/>
  <c r="BC1009" i="28" s="1"/>
  <c r="AU1009" i="28"/>
  <c r="BB1009" i="28" s="1"/>
  <c r="AT1009" i="28"/>
  <c r="BA1009" i="28" s="1"/>
  <c r="AX1008" i="28"/>
  <c r="BE1008" i="28" s="1"/>
  <c r="AW1008" i="28"/>
  <c r="BD1008" i="28" s="1"/>
  <c r="AV1008" i="28"/>
  <c r="BC1008" i="28" s="1"/>
  <c r="AU1008" i="28"/>
  <c r="BB1008" i="28" s="1"/>
  <c r="AT1008" i="28"/>
  <c r="BA1008" i="28" s="1"/>
  <c r="AX1007" i="28"/>
  <c r="BE1007" i="28" s="1"/>
  <c r="AW1007" i="28"/>
  <c r="BD1007" i="28" s="1"/>
  <c r="AV1007" i="28"/>
  <c r="BC1007" i="28" s="1"/>
  <c r="AU1007" i="28"/>
  <c r="BB1007" i="28" s="1"/>
  <c r="AT1007" i="28"/>
  <c r="BA1007" i="28" s="1"/>
  <c r="AX1006" i="28"/>
  <c r="BE1006" i="28" s="1"/>
  <c r="AW1006" i="28"/>
  <c r="BD1006" i="28" s="1"/>
  <c r="AV1006" i="28"/>
  <c r="BC1006" i="28" s="1"/>
  <c r="AU1006" i="28"/>
  <c r="BB1006" i="28" s="1"/>
  <c r="AT1006" i="28"/>
  <c r="BA1006" i="28" s="1"/>
  <c r="AY1005" i="28"/>
  <c r="BF1005" i="28" s="1"/>
  <c r="AX1005" i="28"/>
  <c r="BE1005" i="28" s="1"/>
  <c r="AW1005" i="28"/>
  <c r="BD1005" i="28" s="1"/>
  <c r="AV1005" i="28"/>
  <c r="BC1005" i="28" s="1"/>
  <c r="AU1005" i="28"/>
  <c r="BB1005" i="28" s="1"/>
  <c r="AT1005" i="28"/>
  <c r="BA1005" i="28" s="1"/>
  <c r="AY1004" i="28"/>
  <c r="BF1004" i="28" s="1"/>
  <c r="AX1004" i="28"/>
  <c r="BE1004" i="28" s="1"/>
  <c r="AW1004" i="28"/>
  <c r="BD1004" i="28" s="1"/>
  <c r="AV1004" i="28"/>
  <c r="BC1004" i="28" s="1"/>
  <c r="AU1004" i="28"/>
  <c r="BB1004" i="28" s="1"/>
  <c r="AT1004" i="28"/>
  <c r="BA1004" i="28" s="1"/>
  <c r="AX1003" i="28"/>
  <c r="BE1003" i="28" s="1"/>
  <c r="AW1003" i="28"/>
  <c r="BD1003" i="28" s="1"/>
  <c r="AV1003" i="28"/>
  <c r="BC1003" i="28" s="1"/>
  <c r="AU1003" i="28"/>
  <c r="BB1003" i="28" s="1"/>
  <c r="AT1003" i="28"/>
  <c r="BA1003" i="28" s="1"/>
  <c r="AY1002" i="28"/>
  <c r="BF1002" i="28" s="1"/>
  <c r="AX1002" i="28"/>
  <c r="BE1002" i="28" s="1"/>
  <c r="AW1002" i="28"/>
  <c r="BD1002" i="28" s="1"/>
  <c r="AV1002" i="28"/>
  <c r="BC1002" i="28" s="1"/>
  <c r="AU1002" i="28"/>
  <c r="BB1002" i="28" s="1"/>
  <c r="AT1002" i="28"/>
  <c r="BA1002" i="28" s="1"/>
  <c r="AY1001" i="28"/>
  <c r="BF1001" i="28" s="1"/>
  <c r="AX1001" i="28"/>
  <c r="BE1001" i="28" s="1"/>
  <c r="AW1001" i="28"/>
  <c r="BD1001" i="28" s="1"/>
  <c r="AV1001" i="28"/>
  <c r="BC1001" i="28" s="1"/>
  <c r="AU1001" i="28"/>
  <c r="BB1001" i="28" s="1"/>
  <c r="AT1001" i="28"/>
  <c r="BA1001" i="28" s="1"/>
  <c r="AX1000" i="28"/>
  <c r="BE1000" i="28" s="1"/>
  <c r="AW1000" i="28"/>
  <c r="BD1000" i="28" s="1"/>
  <c r="AV1000" i="28"/>
  <c r="BC1000" i="28" s="1"/>
  <c r="AU1000" i="28"/>
  <c r="BB1000" i="28" s="1"/>
  <c r="AT1000" i="28"/>
  <c r="BA1000" i="28" s="1"/>
  <c r="AX999" i="28"/>
  <c r="BE999" i="28" s="1"/>
  <c r="AW999" i="28"/>
  <c r="BD999" i="28" s="1"/>
  <c r="AV999" i="28"/>
  <c r="BC999" i="28" s="1"/>
  <c r="AU999" i="28"/>
  <c r="BB999" i="28" s="1"/>
  <c r="AT999" i="28"/>
  <c r="BA999" i="28" s="1"/>
  <c r="AX998" i="28"/>
  <c r="BE998" i="28" s="1"/>
  <c r="AW998" i="28"/>
  <c r="BD998" i="28" s="1"/>
  <c r="AV998" i="28"/>
  <c r="BC998" i="28" s="1"/>
  <c r="AU998" i="28"/>
  <c r="BB998" i="28" s="1"/>
  <c r="AT998" i="28"/>
  <c r="BA998" i="28" s="1"/>
  <c r="AY997" i="28"/>
  <c r="BF997" i="28" s="1"/>
  <c r="AX997" i="28"/>
  <c r="BE997" i="28" s="1"/>
  <c r="AW997" i="28"/>
  <c r="BD997" i="28" s="1"/>
  <c r="AV997" i="28"/>
  <c r="BC997" i="28" s="1"/>
  <c r="AU997" i="28"/>
  <c r="BB997" i="28" s="1"/>
  <c r="AT997" i="28"/>
  <c r="BA997" i="28" s="1"/>
  <c r="AY996" i="28"/>
  <c r="BF996" i="28" s="1"/>
  <c r="AX996" i="28"/>
  <c r="BE996" i="28" s="1"/>
  <c r="AW996" i="28"/>
  <c r="BD996" i="28" s="1"/>
  <c r="AV996" i="28"/>
  <c r="BC996" i="28" s="1"/>
  <c r="AU996" i="28"/>
  <c r="BB996" i="28" s="1"/>
  <c r="AT996" i="28"/>
  <c r="BA996" i="28" s="1"/>
  <c r="AX995" i="28"/>
  <c r="BE995" i="28" s="1"/>
  <c r="AW995" i="28"/>
  <c r="BD995" i="28" s="1"/>
  <c r="AV995" i="28"/>
  <c r="BC995" i="28" s="1"/>
  <c r="AU995" i="28"/>
  <c r="BB995" i="28" s="1"/>
  <c r="AT995" i="28"/>
  <c r="BA995" i="28" s="1"/>
  <c r="AY994" i="28"/>
  <c r="BF994" i="28" s="1"/>
  <c r="AX994" i="28"/>
  <c r="BE994" i="28" s="1"/>
  <c r="AW994" i="28"/>
  <c r="BD994" i="28" s="1"/>
  <c r="AV994" i="28"/>
  <c r="BC994" i="28" s="1"/>
  <c r="AU994" i="28"/>
  <c r="BB994" i="28" s="1"/>
  <c r="AT994" i="28"/>
  <c r="BA994" i="28" s="1"/>
  <c r="AX993" i="28"/>
  <c r="BE993" i="28" s="1"/>
  <c r="AW993" i="28"/>
  <c r="BD993" i="28" s="1"/>
  <c r="AV993" i="28"/>
  <c r="BC993" i="28" s="1"/>
  <c r="AU993" i="28"/>
  <c r="BB993" i="28" s="1"/>
  <c r="AT993" i="28"/>
  <c r="BA993" i="28" s="1"/>
  <c r="AX992" i="28"/>
  <c r="BE992" i="28" s="1"/>
  <c r="AW992" i="28"/>
  <c r="BD992" i="28" s="1"/>
  <c r="AV992" i="28"/>
  <c r="BC992" i="28" s="1"/>
  <c r="AU992" i="28"/>
  <c r="BB992" i="28" s="1"/>
  <c r="AT992" i="28"/>
  <c r="BA992" i="28" s="1"/>
  <c r="AX991" i="28"/>
  <c r="BE991" i="28" s="1"/>
  <c r="AW991" i="28"/>
  <c r="BD991" i="28" s="1"/>
  <c r="AV991" i="28"/>
  <c r="BC991" i="28" s="1"/>
  <c r="AU991" i="28"/>
  <c r="BB991" i="28" s="1"/>
  <c r="AT991" i="28"/>
  <c r="BA991" i="28" s="1"/>
  <c r="AX990" i="28"/>
  <c r="BE990" i="28" s="1"/>
  <c r="AW990" i="28"/>
  <c r="BD990" i="28" s="1"/>
  <c r="AV990" i="28"/>
  <c r="BC990" i="28" s="1"/>
  <c r="AU990" i="28"/>
  <c r="BB990" i="28" s="1"/>
  <c r="AT990" i="28"/>
  <c r="BA990" i="28" s="1"/>
  <c r="AY989" i="28"/>
  <c r="BF989" i="28" s="1"/>
  <c r="AX989" i="28"/>
  <c r="BE989" i="28" s="1"/>
  <c r="AW989" i="28"/>
  <c r="BD989" i="28" s="1"/>
  <c r="AV989" i="28"/>
  <c r="BC989" i="28" s="1"/>
  <c r="AU989" i="28"/>
  <c r="BB989" i="28" s="1"/>
  <c r="AT989" i="28"/>
  <c r="BA989" i="28" s="1"/>
  <c r="AY988" i="28"/>
  <c r="BF988" i="28" s="1"/>
  <c r="AX988" i="28"/>
  <c r="BE988" i="28" s="1"/>
  <c r="AW988" i="28"/>
  <c r="BD988" i="28" s="1"/>
  <c r="AV988" i="28"/>
  <c r="BC988" i="28" s="1"/>
  <c r="AU988" i="28"/>
  <c r="BB988" i="28" s="1"/>
  <c r="AT988" i="28"/>
  <c r="BA988" i="28" s="1"/>
  <c r="AY987" i="28"/>
  <c r="BF987" i="28" s="1"/>
  <c r="AX987" i="28"/>
  <c r="BE987" i="28" s="1"/>
  <c r="AW987" i="28"/>
  <c r="BD987" i="28" s="1"/>
  <c r="AV987" i="28"/>
  <c r="BC987" i="28" s="1"/>
  <c r="AU987" i="28"/>
  <c r="BB987" i="28" s="1"/>
  <c r="AT987" i="28"/>
  <c r="BA987" i="28" s="1"/>
  <c r="AY986" i="28"/>
  <c r="BF986" i="28" s="1"/>
  <c r="AX986" i="28"/>
  <c r="BE986" i="28" s="1"/>
  <c r="AW986" i="28"/>
  <c r="BD986" i="28" s="1"/>
  <c r="AV986" i="28"/>
  <c r="BC986" i="28" s="1"/>
  <c r="AU986" i="28"/>
  <c r="BB986" i="28" s="1"/>
  <c r="AT986" i="28"/>
  <c r="BA986" i="28" s="1"/>
  <c r="AX985" i="28"/>
  <c r="BE985" i="28" s="1"/>
  <c r="AW985" i="28"/>
  <c r="BD985" i="28" s="1"/>
  <c r="AV985" i="28"/>
  <c r="BC985" i="28" s="1"/>
  <c r="AU985" i="28"/>
  <c r="BB985" i="28" s="1"/>
  <c r="AT985" i="28"/>
  <c r="BA985" i="28" s="1"/>
  <c r="AX984" i="28"/>
  <c r="BE984" i="28" s="1"/>
  <c r="AW984" i="28"/>
  <c r="BD984" i="28" s="1"/>
  <c r="AV984" i="28"/>
  <c r="BC984" i="28" s="1"/>
  <c r="AU984" i="28"/>
  <c r="BB984" i="28" s="1"/>
  <c r="AT984" i="28"/>
  <c r="BA984" i="28" s="1"/>
  <c r="BB983" i="28"/>
  <c r="AX983" i="28"/>
  <c r="BE983" i="28" s="1"/>
  <c r="AW983" i="28"/>
  <c r="BD983" i="28" s="1"/>
  <c r="AV983" i="28"/>
  <c r="BC983" i="28" s="1"/>
  <c r="AU983" i="28"/>
  <c r="AT983" i="28"/>
  <c r="BA983" i="28" s="1"/>
  <c r="AX982" i="28"/>
  <c r="BE982" i="28" s="1"/>
  <c r="AW982" i="28"/>
  <c r="BD982" i="28" s="1"/>
  <c r="AV982" i="28"/>
  <c r="BC982" i="28" s="1"/>
  <c r="AU982" i="28"/>
  <c r="BB982" i="28" s="1"/>
  <c r="AT982" i="28"/>
  <c r="BA982" i="28" s="1"/>
  <c r="AY981" i="28"/>
  <c r="BF981" i="28" s="1"/>
  <c r="AX981" i="28"/>
  <c r="BE981" i="28" s="1"/>
  <c r="AW981" i="28"/>
  <c r="BD981" i="28" s="1"/>
  <c r="AV981" i="28"/>
  <c r="BC981" i="28" s="1"/>
  <c r="AU981" i="28"/>
  <c r="BB981" i="28" s="1"/>
  <c r="AT981" i="28"/>
  <c r="BA981" i="28" s="1"/>
  <c r="AY980" i="28"/>
  <c r="BF980" i="28" s="1"/>
  <c r="AX980" i="28"/>
  <c r="BE980" i="28" s="1"/>
  <c r="AW980" i="28"/>
  <c r="BD980" i="28" s="1"/>
  <c r="AV980" i="28"/>
  <c r="BC980" i="28" s="1"/>
  <c r="AU980" i="28"/>
  <c r="BB980" i="28" s="1"/>
  <c r="AT980" i="28"/>
  <c r="BA980" i="28" s="1"/>
  <c r="AY979" i="28"/>
  <c r="BF979" i="28" s="1"/>
  <c r="AX979" i="28"/>
  <c r="BE979" i="28" s="1"/>
  <c r="AW979" i="28"/>
  <c r="BD979" i="28" s="1"/>
  <c r="AV979" i="28"/>
  <c r="BC979" i="28" s="1"/>
  <c r="AU979" i="28"/>
  <c r="BB979" i="28" s="1"/>
  <c r="AT979" i="28"/>
  <c r="BA979" i="28" s="1"/>
  <c r="AY978" i="28"/>
  <c r="BF978" i="28" s="1"/>
  <c r="AX978" i="28"/>
  <c r="BE978" i="28" s="1"/>
  <c r="AW978" i="28"/>
  <c r="BD978" i="28" s="1"/>
  <c r="AV978" i="28"/>
  <c r="BC978" i="28" s="1"/>
  <c r="AU978" i="28"/>
  <c r="BB978" i="28" s="1"/>
  <c r="AT978" i="28"/>
  <c r="BA978" i="28" s="1"/>
  <c r="AY977" i="28"/>
  <c r="BF977" i="28" s="1"/>
  <c r="AX977" i="28"/>
  <c r="BE977" i="28" s="1"/>
  <c r="AW977" i="28"/>
  <c r="BD977" i="28" s="1"/>
  <c r="AV977" i="28"/>
  <c r="BC977" i="28" s="1"/>
  <c r="AU977" i="28"/>
  <c r="BB977" i="28" s="1"/>
  <c r="AT977" i="28"/>
  <c r="BA977" i="28" s="1"/>
  <c r="AX976" i="28"/>
  <c r="BE976" i="28" s="1"/>
  <c r="AW976" i="28"/>
  <c r="BD976" i="28" s="1"/>
  <c r="AV976" i="28"/>
  <c r="BC976" i="28" s="1"/>
  <c r="AU976" i="28"/>
  <c r="BB976" i="28" s="1"/>
  <c r="AT976" i="28"/>
  <c r="BA976" i="28" s="1"/>
  <c r="AX975" i="28"/>
  <c r="BE975" i="28" s="1"/>
  <c r="AW975" i="28"/>
  <c r="BD975" i="28" s="1"/>
  <c r="AV975" i="28"/>
  <c r="BC975" i="28" s="1"/>
  <c r="AU975" i="28"/>
  <c r="BB975" i="28" s="1"/>
  <c r="AT975" i="28"/>
  <c r="BA975" i="28" s="1"/>
  <c r="AX974" i="28"/>
  <c r="BE974" i="28" s="1"/>
  <c r="AW974" i="28"/>
  <c r="BD974" i="28" s="1"/>
  <c r="AV974" i="28"/>
  <c r="BC974" i="28" s="1"/>
  <c r="AU974" i="28"/>
  <c r="BB974" i="28" s="1"/>
  <c r="AT974" i="28"/>
  <c r="BA974" i="28" s="1"/>
  <c r="AY973" i="28"/>
  <c r="BF973" i="28" s="1"/>
  <c r="AX973" i="28"/>
  <c r="BE973" i="28" s="1"/>
  <c r="AW973" i="28"/>
  <c r="BD973" i="28" s="1"/>
  <c r="AV973" i="28"/>
  <c r="BC973" i="28" s="1"/>
  <c r="AU973" i="28"/>
  <c r="BB973" i="28" s="1"/>
  <c r="AT973" i="28"/>
  <c r="BA973" i="28" s="1"/>
  <c r="AY972" i="28"/>
  <c r="BF972" i="28" s="1"/>
  <c r="AX972" i="28"/>
  <c r="BE972" i="28" s="1"/>
  <c r="AW972" i="28"/>
  <c r="BD972" i="28" s="1"/>
  <c r="AV972" i="28"/>
  <c r="BC972" i="28" s="1"/>
  <c r="AU972" i="28"/>
  <c r="BB972" i="28" s="1"/>
  <c r="AT972" i="28"/>
  <c r="BA972" i="28" s="1"/>
  <c r="BF971" i="28"/>
  <c r="AX971" i="28"/>
  <c r="BE971" i="28" s="1"/>
  <c r="AW971" i="28"/>
  <c r="BD971" i="28" s="1"/>
  <c r="AV971" i="28"/>
  <c r="BC971" i="28" s="1"/>
  <c r="AU971" i="28"/>
  <c r="BB971" i="28" s="1"/>
  <c r="AT971" i="28"/>
  <c r="BA971" i="28" s="1"/>
  <c r="AY970" i="28"/>
  <c r="BF970" i="28" s="1"/>
  <c r="AX970" i="28"/>
  <c r="BE970" i="28" s="1"/>
  <c r="AW970" i="28"/>
  <c r="BD970" i="28" s="1"/>
  <c r="AV970" i="28"/>
  <c r="BC970" i="28" s="1"/>
  <c r="AU970" i="28"/>
  <c r="BB970" i="28" s="1"/>
  <c r="AT970" i="28"/>
  <c r="BA970" i="28" s="1"/>
  <c r="AX969" i="28"/>
  <c r="BE969" i="28" s="1"/>
  <c r="AW969" i="28"/>
  <c r="BD969" i="28" s="1"/>
  <c r="AV969" i="28"/>
  <c r="BC969" i="28" s="1"/>
  <c r="AU969" i="28"/>
  <c r="BB969" i="28" s="1"/>
  <c r="AT969" i="28"/>
  <c r="BA969" i="28" s="1"/>
  <c r="AX968" i="28"/>
  <c r="BE968" i="28" s="1"/>
  <c r="AW968" i="28"/>
  <c r="BD968" i="28" s="1"/>
  <c r="AV968" i="28"/>
  <c r="BC968" i="28" s="1"/>
  <c r="AU968" i="28"/>
  <c r="BB968" i="28" s="1"/>
  <c r="AT968" i="28"/>
  <c r="BA968" i="28" s="1"/>
  <c r="AX967" i="28"/>
  <c r="BE967" i="28" s="1"/>
  <c r="AW967" i="28"/>
  <c r="BD967" i="28" s="1"/>
  <c r="AV967" i="28"/>
  <c r="BC967" i="28" s="1"/>
  <c r="AU967" i="28"/>
  <c r="BB967" i="28" s="1"/>
  <c r="AT967" i="28"/>
  <c r="BA967" i="28" s="1"/>
  <c r="AX966" i="28"/>
  <c r="BE966" i="28" s="1"/>
  <c r="AW966" i="28"/>
  <c r="BD966" i="28" s="1"/>
  <c r="AV966" i="28"/>
  <c r="BC966" i="28" s="1"/>
  <c r="AU966" i="28"/>
  <c r="BB966" i="28" s="1"/>
  <c r="AT966" i="28"/>
  <c r="BA966" i="28" s="1"/>
  <c r="AY965" i="28"/>
  <c r="BF965" i="28" s="1"/>
  <c r="AX965" i="28"/>
  <c r="BE965" i="28" s="1"/>
  <c r="AW965" i="28"/>
  <c r="BD965" i="28" s="1"/>
  <c r="AV965" i="28"/>
  <c r="BC965" i="28" s="1"/>
  <c r="AU965" i="28"/>
  <c r="BB965" i="28" s="1"/>
  <c r="AT965" i="28"/>
  <c r="BA965" i="28" s="1"/>
  <c r="AY964" i="28"/>
  <c r="BF964" i="28" s="1"/>
  <c r="AX964" i="28"/>
  <c r="BE964" i="28" s="1"/>
  <c r="AW964" i="28"/>
  <c r="BD964" i="28" s="1"/>
  <c r="AV964" i="28"/>
  <c r="BC964" i="28" s="1"/>
  <c r="AU964" i="28"/>
  <c r="BB964" i="28" s="1"/>
  <c r="AT964" i="28"/>
  <c r="BA964" i="28" s="1"/>
  <c r="AX963" i="28"/>
  <c r="BE963" i="28" s="1"/>
  <c r="AW963" i="28"/>
  <c r="BD963" i="28" s="1"/>
  <c r="AV963" i="28"/>
  <c r="BC963" i="28" s="1"/>
  <c r="AU963" i="28"/>
  <c r="BB963" i="28" s="1"/>
  <c r="AT963" i="28"/>
  <c r="BA963" i="28" s="1"/>
  <c r="AY962" i="28"/>
  <c r="BF962" i="28" s="1"/>
  <c r="AX962" i="28"/>
  <c r="BE962" i="28" s="1"/>
  <c r="AW962" i="28"/>
  <c r="BD962" i="28" s="1"/>
  <c r="AV962" i="28"/>
  <c r="BC962" i="28" s="1"/>
  <c r="AU962" i="28"/>
  <c r="BB962" i="28" s="1"/>
  <c r="AT962" i="28"/>
  <c r="BA962" i="28" s="1"/>
  <c r="AX961" i="28"/>
  <c r="BE961" i="28" s="1"/>
  <c r="AW961" i="28"/>
  <c r="BD961" i="28" s="1"/>
  <c r="AV961" i="28"/>
  <c r="BC961" i="28" s="1"/>
  <c r="AU961" i="28"/>
  <c r="BB961" i="28" s="1"/>
  <c r="AT961" i="28"/>
  <c r="BA961" i="28" s="1"/>
  <c r="AX960" i="28"/>
  <c r="BE960" i="28" s="1"/>
  <c r="AW960" i="28"/>
  <c r="BD960" i="28" s="1"/>
  <c r="AV960" i="28"/>
  <c r="BC960" i="28" s="1"/>
  <c r="AU960" i="28"/>
  <c r="BB960" i="28" s="1"/>
  <c r="AT960" i="28"/>
  <c r="BA960" i="28" s="1"/>
  <c r="AX959" i="28"/>
  <c r="BE959" i="28" s="1"/>
  <c r="AW959" i="28"/>
  <c r="BD959" i="28" s="1"/>
  <c r="AV959" i="28"/>
  <c r="BC959" i="28" s="1"/>
  <c r="AU959" i="28"/>
  <c r="BB959" i="28" s="1"/>
  <c r="AT959" i="28"/>
  <c r="BA959" i="28" s="1"/>
  <c r="AY958" i="28"/>
  <c r="BF958" i="28" s="1"/>
  <c r="AX958" i="28"/>
  <c r="BE958" i="28" s="1"/>
  <c r="AW958" i="28"/>
  <c r="BD958" i="28" s="1"/>
  <c r="AV958" i="28"/>
  <c r="BC958" i="28" s="1"/>
  <c r="AU958" i="28"/>
  <c r="BB958" i="28" s="1"/>
  <c r="AT958" i="28"/>
  <c r="BA958" i="28" s="1"/>
  <c r="AY957" i="28"/>
  <c r="BF957" i="28" s="1"/>
  <c r="AX957" i="28"/>
  <c r="BE957" i="28" s="1"/>
  <c r="AW957" i="28"/>
  <c r="BD957" i="28" s="1"/>
  <c r="AV957" i="28"/>
  <c r="BC957" i="28" s="1"/>
  <c r="AU957" i="28"/>
  <c r="BB957" i="28" s="1"/>
  <c r="AT957" i="28"/>
  <c r="BA957" i="28" s="1"/>
  <c r="AY956" i="28"/>
  <c r="BF956" i="28" s="1"/>
  <c r="AX956" i="28"/>
  <c r="BE956" i="28" s="1"/>
  <c r="AW956" i="28"/>
  <c r="BD956" i="28" s="1"/>
  <c r="AV956" i="28"/>
  <c r="BC956" i="28" s="1"/>
  <c r="AU956" i="28"/>
  <c r="BB956" i="28" s="1"/>
  <c r="AT956" i="28"/>
  <c r="BA956" i="28" s="1"/>
  <c r="BF955" i="28"/>
  <c r="AX955" i="28"/>
  <c r="BE955" i="28" s="1"/>
  <c r="AW955" i="28"/>
  <c r="BD955" i="28" s="1"/>
  <c r="AV955" i="28"/>
  <c r="BC955" i="28" s="1"/>
  <c r="AU955" i="28"/>
  <c r="BB955" i="28" s="1"/>
  <c r="AT955" i="28"/>
  <c r="BA955" i="28" s="1"/>
  <c r="AY954" i="28"/>
  <c r="BF954" i="28" s="1"/>
  <c r="AX954" i="28"/>
  <c r="BE954" i="28" s="1"/>
  <c r="AW954" i="28"/>
  <c r="BD954" i="28" s="1"/>
  <c r="AV954" i="28"/>
  <c r="BC954" i="28" s="1"/>
  <c r="AU954" i="28"/>
  <c r="BB954" i="28" s="1"/>
  <c r="AT954" i="28"/>
  <c r="BA954" i="28" s="1"/>
  <c r="AY953" i="28"/>
  <c r="BF953" i="28" s="1"/>
  <c r="AX953" i="28"/>
  <c r="BE953" i="28" s="1"/>
  <c r="AW953" i="28"/>
  <c r="BD953" i="28" s="1"/>
  <c r="AV953" i="28"/>
  <c r="BC953" i="28" s="1"/>
  <c r="AU953" i="28"/>
  <c r="BB953" i="28" s="1"/>
  <c r="AT953" i="28"/>
  <c r="BA953" i="28" s="1"/>
  <c r="AX952" i="28"/>
  <c r="BE952" i="28" s="1"/>
  <c r="AW952" i="28"/>
  <c r="BD952" i="28" s="1"/>
  <c r="AV952" i="28"/>
  <c r="BC952" i="28" s="1"/>
  <c r="AU952" i="28"/>
  <c r="BB952" i="28" s="1"/>
  <c r="AT952" i="28"/>
  <c r="BA952" i="28" s="1"/>
  <c r="AX951" i="28"/>
  <c r="BE951" i="28" s="1"/>
  <c r="AW951" i="28"/>
  <c r="BD951" i="28" s="1"/>
  <c r="AV951" i="28"/>
  <c r="BC951" i="28" s="1"/>
  <c r="AU951" i="28"/>
  <c r="BB951" i="28" s="1"/>
  <c r="AT951" i="28"/>
  <c r="BA951" i="28" s="1"/>
  <c r="AX950" i="28"/>
  <c r="BE950" i="28" s="1"/>
  <c r="AW950" i="28"/>
  <c r="BD950" i="28" s="1"/>
  <c r="AV950" i="28"/>
  <c r="BC950" i="28" s="1"/>
  <c r="AU950" i="28"/>
  <c r="BB950" i="28" s="1"/>
  <c r="AT950" i="28"/>
  <c r="BA950" i="28" s="1"/>
  <c r="AY949" i="28"/>
  <c r="BF949" i="28" s="1"/>
  <c r="AX949" i="28"/>
  <c r="BE949" i="28" s="1"/>
  <c r="AW949" i="28"/>
  <c r="BD949" i="28" s="1"/>
  <c r="AV949" i="28"/>
  <c r="BC949" i="28" s="1"/>
  <c r="AU949" i="28"/>
  <c r="BB949" i="28" s="1"/>
  <c r="AT949" i="28"/>
  <c r="BA949" i="28" s="1"/>
  <c r="AY948" i="28"/>
  <c r="BF948" i="28" s="1"/>
  <c r="AX948" i="28"/>
  <c r="BE948" i="28" s="1"/>
  <c r="AW948" i="28"/>
  <c r="BD948" i="28" s="1"/>
  <c r="AV948" i="28"/>
  <c r="BC948" i="28" s="1"/>
  <c r="AU948" i="28"/>
  <c r="BB948" i="28" s="1"/>
  <c r="AT948" i="28"/>
  <c r="BA948" i="28" s="1"/>
  <c r="AY947" i="28"/>
  <c r="BF947" i="28" s="1"/>
  <c r="AX947" i="28"/>
  <c r="BE947" i="28" s="1"/>
  <c r="AW947" i="28"/>
  <c r="BD947" i="28" s="1"/>
  <c r="AV947" i="28"/>
  <c r="BC947" i="28" s="1"/>
  <c r="AU947" i="28"/>
  <c r="BB947" i="28" s="1"/>
  <c r="AT947" i="28"/>
  <c r="BA947" i="28" s="1"/>
  <c r="AY946" i="28"/>
  <c r="BF946" i="28" s="1"/>
  <c r="AX946" i="28"/>
  <c r="BE946" i="28" s="1"/>
  <c r="AW946" i="28"/>
  <c r="BD946" i="28" s="1"/>
  <c r="AV946" i="28"/>
  <c r="BC946" i="28" s="1"/>
  <c r="AU946" i="28"/>
  <c r="BB946" i="28" s="1"/>
  <c r="AT946" i="28"/>
  <c r="BA946" i="28" s="1"/>
  <c r="AY945" i="28"/>
  <c r="BF945" i="28" s="1"/>
  <c r="AX945" i="28"/>
  <c r="BE945" i="28" s="1"/>
  <c r="AW945" i="28"/>
  <c r="BD945" i="28" s="1"/>
  <c r="AV945" i="28"/>
  <c r="BC945" i="28" s="1"/>
  <c r="AU945" i="28"/>
  <c r="BB945" i="28" s="1"/>
  <c r="AT945" i="28"/>
  <c r="BA945" i="28" s="1"/>
  <c r="AX944" i="28"/>
  <c r="BE944" i="28" s="1"/>
  <c r="AW944" i="28"/>
  <c r="BD944" i="28" s="1"/>
  <c r="AV944" i="28"/>
  <c r="BC944" i="28" s="1"/>
  <c r="AU944" i="28"/>
  <c r="BB944" i="28" s="1"/>
  <c r="AT944" i="28"/>
  <c r="BA944" i="28" s="1"/>
  <c r="AY943" i="28"/>
  <c r="BF943" i="28" s="1"/>
  <c r="AX943" i="28"/>
  <c r="BE943" i="28" s="1"/>
  <c r="AW943" i="28"/>
  <c r="BD943" i="28" s="1"/>
  <c r="AV943" i="28"/>
  <c r="BC943" i="28" s="1"/>
  <c r="AU943" i="28"/>
  <c r="BB943" i="28" s="1"/>
  <c r="AT943" i="28"/>
  <c r="BA943" i="28" s="1"/>
  <c r="AX942" i="28"/>
  <c r="BE942" i="28" s="1"/>
  <c r="AW942" i="28"/>
  <c r="BD942" i="28" s="1"/>
  <c r="AV942" i="28"/>
  <c r="BC942" i="28" s="1"/>
  <c r="AU942" i="28"/>
  <c r="BB942" i="28" s="1"/>
  <c r="AT942" i="28"/>
  <c r="BA942" i="28" s="1"/>
  <c r="AY941" i="28"/>
  <c r="BF941" i="28" s="1"/>
  <c r="AX941" i="28"/>
  <c r="BE941" i="28" s="1"/>
  <c r="AW941" i="28"/>
  <c r="BD941" i="28" s="1"/>
  <c r="AV941" i="28"/>
  <c r="BC941" i="28" s="1"/>
  <c r="AU941" i="28"/>
  <c r="BB941" i="28" s="1"/>
  <c r="AT941" i="28"/>
  <c r="BA941" i="28" s="1"/>
  <c r="AY940" i="28"/>
  <c r="BF940" i="28" s="1"/>
  <c r="AX940" i="28"/>
  <c r="BE940" i="28" s="1"/>
  <c r="AW940" i="28"/>
  <c r="BD940" i="28" s="1"/>
  <c r="AV940" i="28"/>
  <c r="BC940" i="28" s="1"/>
  <c r="AU940" i="28"/>
  <c r="BB940" i="28" s="1"/>
  <c r="AT940" i="28"/>
  <c r="BA940" i="28" s="1"/>
  <c r="AX939" i="28"/>
  <c r="BE939" i="28" s="1"/>
  <c r="AW939" i="28"/>
  <c r="BD939" i="28" s="1"/>
  <c r="AV939" i="28"/>
  <c r="BC939" i="28" s="1"/>
  <c r="AU939" i="28"/>
  <c r="BB939" i="28" s="1"/>
  <c r="AT939" i="28"/>
  <c r="BA939" i="28" s="1"/>
  <c r="AY938" i="28"/>
  <c r="BF938" i="28" s="1"/>
  <c r="AX938" i="28"/>
  <c r="BE938" i="28" s="1"/>
  <c r="AW938" i="28"/>
  <c r="BD938" i="28" s="1"/>
  <c r="AV938" i="28"/>
  <c r="BC938" i="28" s="1"/>
  <c r="AU938" i="28"/>
  <c r="BB938" i="28" s="1"/>
  <c r="AT938" i="28"/>
  <c r="BA938" i="28" s="1"/>
  <c r="AX937" i="28"/>
  <c r="BE937" i="28" s="1"/>
  <c r="AW937" i="28"/>
  <c r="BD937" i="28" s="1"/>
  <c r="AV937" i="28"/>
  <c r="BC937" i="28" s="1"/>
  <c r="AU937" i="28"/>
  <c r="BB937" i="28" s="1"/>
  <c r="AT937" i="28"/>
  <c r="BA937" i="28" s="1"/>
  <c r="AX936" i="28"/>
  <c r="BE936" i="28" s="1"/>
  <c r="AW936" i="28"/>
  <c r="BD936" i="28" s="1"/>
  <c r="AV936" i="28"/>
  <c r="BC936" i="28" s="1"/>
  <c r="AU936" i="28"/>
  <c r="BB936" i="28" s="1"/>
  <c r="AT936" i="28"/>
  <c r="BA936" i="28" s="1"/>
  <c r="AX935" i="28"/>
  <c r="BE935" i="28" s="1"/>
  <c r="AW935" i="28"/>
  <c r="BD935" i="28" s="1"/>
  <c r="AV935" i="28"/>
  <c r="BC935" i="28" s="1"/>
  <c r="AU935" i="28"/>
  <c r="BB935" i="28" s="1"/>
  <c r="AT935" i="28"/>
  <c r="BA935" i="28" s="1"/>
  <c r="AX934" i="28"/>
  <c r="BE934" i="28" s="1"/>
  <c r="AW934" i="28"/>
  <c r="BD934" i="28" s="1"/>
  <c r="AV934" i="28"/>
  <c r="BC934" i="28" s="1"/>
  <c r="AU934" i="28"/>
  <c r="BB934" i="28" s="1"/>
  <c r="AT934" i="28"/>
  <c r="BA934" i="28" s="1"/>
  <c r="AY933" i="28"/>
  <c r="BF933" i="28" s="1"/>
  <c r="AX933" i="28"/>
  <c r="BE933" i="28" s="1"/>
  <c r="AW933" i="28"/>
  <c r="BD933" i="28" s="1"/>
  <c r="AV933" i="28"/>
  <c r="BC933" i="28" s="1"/>
  <c r="AU933" i="28"/>
  <c r="BB933" i="28" s="1"/>
  <c r="AT933" i="28"/>
  <c r="BA933" i="28" s="1"/>
  <c r="AY932" i="28"/>
  <c r="BF932" i="28" s="1"/>
  <c r="AX932" i="28"/>
  <c r="BE932" i="28" s="1"/>
  <c r="AW932" i="28"/>
  <c r="BD932" i="28" s="1"/>
  <c r="AV932" i="28"/>
  <c r="BC932" i="28" s="1"/>
  <c r="AU932" i="28"/>
  <c r="BB932" i="28" s="1"/>
  <c r="AT932" i="28"/>
  <c r="BA932" i="28" s="1"/>
  <c r="AY931" i="28"/>
  <c r="BF931" i="28" s="1"/>
  <c r="AX931" i="28"/>
  <c r="BE931" i="28" s="1"/>
  <c r="AW931" i="28"/>
  <c r="BD931" i="28" s="1"/>
  <c r="AV931" i="28"/>
  <c r="BC931" i="28" s="1"/>
  <c r="AU931" i="28"/>
  <c r="BB931" i="28" s="1"/>
  <c r="AT931" i="28"/>
  <c r="BA931" i="28" s="1"/>
  <c r="AY930" i="28"/>
  <c r="BF930" i="28" s="1"/>
  <c r="AX930" i="28"/>
  <c r="BE930" i="28" s="1"/>
  <c r="AW930" i="28"/>
  <c r="BD930" i="28" s="1"/>
  <c r="AV930" i="28"/>
  <c r="BC930" i="28" s="1"/>
  <c r="AU930" i="28"/>
  <c r="BB930" i="28" s="1"/>
  <c r="AT930" i="28"/>
  <c r="BA930" i="28" s="1"/>
  <c r="AY929" i="28"/>
  <c r="BF929" i="28" s="1"/>
  <c r="AX929" i="28"/>
  <c r="BE929" i="28" s="1"/>
  <c r="AW929" i="28"/>
  <c r="BD929" i="28" s="1"/>
  <c r="AV929" i="28"/>
  <c r="BC929" i="28" s="1"/>
  <c r="AU929" i="28"/>
  <c r="BB929" i="28" s="1"/>
  <c r="AT929" i="28"/>
  <c r="BA929" i="28" s="1"/>
  <c r="AX928" i="28"/>
  <c r="BE928" i="28" s="1"/>
  <c r="AW928" i="28"/>
  <c r="BD928" i="28" s="1"/>
  <c r="AV928" i="28"/>
  <c r="BC928" i="28" s="1"/>
  <c r="AU928" i="28"/>
  <c r="BB928" i="28" s="1"/>
  <c r="AT928" i="28"/>
  <c r="BA928" i="28" s="1"/>
  <c r="AY927" i="28"/>
  <c r="BF927" i="28" s="1"/>
  <c r="AX927" i="28"/>
  <c r="BE927" i="28" s="1"/>
  <c r="AW927" i="28"/>
  <c r="BD927" i="28" s="1"/>
  <c r="AV927" i="28"/>
  <c r="BC927" i="28" s="1"/>
  <c r="AU927" i="28"/>
  <c r="BB927" i="28" s="1"/>
  <c r="AT927" i="28"/>
  <c r="BA927" i="28" s="1"/>
  <c r="AX926" i="28"/>
  <c r="BE926" i="28" s="1"/>
  <c r="AW926" i="28"/>
  <c r="BD926" i="28" s="1"/>
  <c r="AV926" i="28"/>
  <c r="BC926" i="28" s="1"/>
  <c r="AU926" i="28"/>
  <c r="BB926" i="28" s="1"/>
  <c r="AT926" i="28"/>
  <c r="BA926" i="28" s="1"/>
  <c r="AY925" i="28"/>
  <c r="BF925" i="28" s="1"/>
  <c r="AX925" i="28"/>
  <c r="BE925" i="28" s="1"/>
  <c r="AW925" i="28"/>
  <c r="BD925" i="28" s="1"/>
  <c r="AV925" i="28"/>
  <c r="BC925" i="28" s="1"/>
  <c r="AU925" i="28"/>
  <c r="BB925" i="28" s="1"/>
  <c r="AT925" i="28"/>
  <c r="BA925" i="28" s="1"/>
  <c r="AY924" i="28"/>
  <c r="BF924" i="28" s="1"/>
  <c r="AX924" i="28"/>
  <c r="BE924" i="28" s="1"/>
  <c r="AW924" i="28"/>
  <c r="BD924" i="28" s="1"/>
  <c r="AV924" i="28"/>
  <c r="BC924" i="28" s="1"/>
  <c r="AU924" i="28"/>
  <c r="BB924" i="28" s="1"/>
  <c r="AT924" i="28"/>
  <c r="BA924" i="28" s="1"/>
  <c r="AX923" i="28"/>
  <c r="BE923" i="28" s="1"/>
  <c r="AW923" i="28"/>
  <c r="BD923" i="28" s="1"/>
  <c r="AV923" i="28"/>
  <c r="BC923" i="28" s="1"/>
  <c r="AU923" i="28"/>
  <c r="BB923" i="28" s="1"/>
  <c r="AT923" i="28"/>
  <c r="BA923" i="28" s="1"/>
  <c r="AY922" i="28"/>
  <c r="BF922" i="28" s="1"/>
  <c r="AX922" i="28"/>
  <c r="BE922" i="28" s="1"/>
  <c r="AW922" i="28"/>
  <c r="BD922" i="28" s="1"/>
  <c r="AV922" i="28"/>
  <c r="BC922" i="28" s="1"/>
  <c r="AU922" i="28"/>
  <c r="BB922" i="28" s="1"/>
  <c r="AT922" i="28"/>
  <c r="BA922" i="28" s="1"/>
  <c r="AY921" i="28"/>
  <c r="BF921" i="28" s="1"/>
  <c r="AX921" i="28"/>
  <c r="BE921" i="28" s="1"/>
  <c r="AW921" i="28"/>
  <c r="BD921" i="28" s="1"/>
  <c r="AV921" i="28"/>
  <c r="BC921" i="28" s="1"/>
  <c r="AU921" i="28"/>
  <c r="BB921" i="28" s="1"/>
  <c r="AT921" i="28"/>
  <c r="BA921" i="28" s="1"/>
  <c r="AX920" i="28"/>
  <c r="BE920" i="28" s="1"/>
  <c r="AW920" i="28"/>
  <c r="BD920" i="28" s="1"/>
  <c r="AV920" i="28"/>
  <c r="BC920" i="28" s="1"/>
  <c r="AU920" i="28"/>
  <c r="BB920" i="28" s="1"/>
  <c r="AT920" i="28"/>
  <c r="BA920" i="28" s="1"/>
  <c r="AY919" i="28"/>
  <c r="BF919" i="28" s="1"/>
  <c r="AX919" i="28"/>
  <c r="BE919" i="28" s="1"/>
  <c r="AW919" i="28"/>
  <c r="BD919" i="28" s="1"/>
  <c r="AV919" i="28"/>
  <c r="BC919" i="28" s="1"/>
  <c r="AU919" i="28"/>
  <c r="BB919" i="28" s="1"/>
  <c r="AT919" i="28"/>
  <c r="BA919" i="28" s="1"/>
  <c r="AX918" i="28"/>
  <c r="BE918" i="28" s="1"/>
  <c r="AW918" i="28"/>
  <c r="BD918" i="28" s="1"/>
  <c r="AV918" i="28"/>
  <c r="BC918" i="28" s="1"/>
  <c r="AU918" i="28"/>
  <c r="BB918" i="28" s="1"/>
  <c r="AT918" i="28"/>
  <c r="BA918" i="28" s="1"/>
  <c r="AY917" i="28"/>
  <c r="BF917" i="28" s="1"/>
  <c r="AX917" i="28"/>
  <c r="BE917" i="28" s="1"/>
  <c r="AW917" i="28"/>
  <c r="BD917" i="28" s="1"/>
  <c r="AV917" i="28"/>
  <c r="BC917" i="28" s="1"/>
  <c r="AU917" i="28"/>
  <c r="BB917" i="28" s="1"/>
  <c r="AT917" i="28"/>
  <c r="BA917" i="28" s="1"/>
  <c r="AY916" i="28"/>
  <c r="BF916" i="28" s="1"/>
  <c r="AX916" i="28"/>
  <c r="BE916" i="28" s="1"/>
  <c r="AW916" i="28"/>
  <c r="BD916" i="28" s="1"/>
  <c r="AV916" i="28"/>
  <c r="BC916" i="28" s="1"/>
  <c r="AU916" i="28"/>
  <c r="BB916" i="28" s="1"/>
  <c r="AT916" i="28"/>
  <c r="BA916" i="28" s="1"/>
  <c r="AX915" i="28"/>
  <c r="BE915" i="28" s="1"/>
  <c r="AW915" i="28"/>
  <c r="BD915" i="28" s="1"/>
  <c r="AV915" i="28"/>
  <c r="BC915" i="28" s="1"/>
  <c r="AU915" i="28"/>
  <c r="BB915" i="28" s="1"/>
  <c r="AT915" i="28"/>
  <c r="BA915" i="28" s="1"/>
  <c r="AY914" i="28"/>
  <c r="BF914" i="28" s="1"/>
  <c r="AX914" i="28"/>
  <c r="BE914" i="28" s="1"/>
  <c r="AW914" i="28"/>
  <c r="BD914" i="28" s="1"/>
  <c r="AV914" i="28"/>
  <c r="BC914" i="28" s="1"/>
  <c r="AU914" i="28"/>
  <c r="BB914" i="28" s="1"/>
  <c r="AT914" i="28"/>
  <c r="BA914" i="28" s="1"/>
  <c r="AY913" i="28"/>
  <c r="BF913" i="28" s="1"/>
  <c r="AX913" i="28"/>
  <c r="BE913" i="28" s="1"/>
  <c r="AW913" i="28"/>
  <c r="BD913" i="28" s="1"/>
  <c r="AV913" i="28"/>
  <c r="BC913" i="28" s="1"/>
  <c r="AU913" i="28"/>
  <c r="BB913" i="28" s="1"/>
  <c r="AT913" i="28"/>
  <c r="BA913" i="28" s="1"/>
  <c r="AX912" i="28"/>
  <c r="BE912" i="28" s="1"/>
  <c r="AW912" i="28"/>
  <c r="BD912" i="28" s="1"/>
  <c r="AV912" i="28"/>
  <c r="BC912" i="28" s="1"/>
  <c r="AU912" i="28"/>
  <c r="BB912" i="28" s="1"/>
  <c r="AT912" i="28"/>
  <c r="BA912" i="28" s="1"/>
  <c r="AY911" i="28"/>
  <c r="BF911" i="28" s="1"/>
  <c r="AX911" i="28"/>
  <c r="BE911" i="28" s="1"/>
  <c r="AW911" i="28"/>
  <c r="BD911" i="28" s="1"/>
  <c r="AV911" i="28"/>
  <c r="BC911" i="28" s="1"/>
  <c r="AU911" i="28"/>
  <c r="BB911" i="28" s="1"/>
  <c r="AT911" i="28"/>
  <c r="BA911" i="28" s="1"/>
  <c r="AX910" i="28"/>
  <c r="BE910" i="28" s="1"/>
  <c r="AW910" i="28"/>
  <c r="BD910" i="28" s="1"/>
  <c r="AV910" i="28"/>
  <c r="BC910" i="28" s="1"/>
  <c r="AU910" i="28"/>
  <c r="BB910" i="28" s="1"/>
  <c r="AT910" i="28"/>
  <c r="BA910" i="28" s="1"/>
  <c r="AY909" i="28"/>
  <c r="BF909" i="28" s="1"/>
  <c r="AX909" i="28"/>
  <c r="BE909" i="28" s="1"/>
  <c r="AW909" i="28"/>
  <c r="BD909" i="28" s="1"/>
  <c r="AV909" i="28"/>
  <c r="BC909" i="28" s="1"/>
  <c r="AU909" i="28"/>
  <c r="BB909" i="28" s="1"/>
  <c r="AT909" i="28"/>
  <c r="BA909" i="28" s="1"/>
  <c r="AY908" i="28"/>
  <c r="BF908" i="28" s="1"/>
  <c r="AX908" i="28"/>
  <c r="BE908" i="28" s="1"/>
  <c r="AW908" i="28"/>
  <c r="BD908" i="28" s="1"/>
  <c r="AV908" i="28"/>
  <c r="BC908" i="28" s="1"/>
  <c r="AU908" i="28"/>
  <c r="BB908" i="28" s="1"/>
  <c r="AT908" i="28"/>
  <c r="BA908" i="28" s="1"/>
  <c r="AY907" i="28"/>
  <c r="BF907" i="28" s="1"/>
  <c r="AX907" i="28"/>
  <c r="BE907" i="28" s="1"/>
  <c r="AW907" i="28"/>
  <c r="BD907" i="28" s="1"/>
  <c r="AV907" i="28"/>
  <c r="BC907" i="28" s="1"/>
  <c r="AU907" i="28"/>
  <c r="BB907" i="28" s="1"/>
  <c r="AT907" i="28"/>
  <c r="BA907" i="28" s="1"/>
  <c r="AY906" i="28"/>
  <c r="BF906" i="28" s="1"/>
  <c r="AX906" i="28"/>
  <c r="BE906" i="28" s="1"/>
  <c r="AW906" i="28"/>
  <c r="BD906" i="28" s="1"/>
  <c r="AV906" i="28"/>
  <c r="BC906" i="28" s="1"/>
  <c r="AU906" i="28"/>
  <c r="BB906" i="28" s="1"/>
  <c r="AT906" i="28"/>
  <c r="BA906" i="28" s="1"/>
  <c r="AX905" i="28"/>
  <c r="BE905" i="28" s="1"/>
  <c r="AW905" i="28"/>
  <c r="BD905" i="28" s="1"/>
  <c r="AV905" i="28"/>
  <c r="BC905" i="28" s="1"/>
  <c r="AU905" i="28"/>
  <c r="BB905" i="28" s="1"/>
  <c r="AT905" i="28"/>
  <c r="BA905" i="28" s="1"/>
  <c r="AX904" i="28"/>
  <c r="BE904" i="28" s="1"/>
  <c r="AW904" i="28"/>
  <c r="BD904" i="28" s="1"/>
  <c r="AV904" i="28"/>
  <c r="BC904" i="28" s="1"/>
  <c r="AU904" i="28"/>
  <c r="BB904" i="28" s="1"/>
  <c r="AT904" i="28"/>
  <c r="BA904" i="28" s="1"/>
  <c r="AX903" i="28"/>
  <c r="BE903" i="28" s="1"/>
  <c r="AW903" i="28"/>
  <c r="BD903" i="28" s="1"/>
  <c r="AV903" i="28"/>
  <c r="BC903" i="28" s="1"/>
  <c r="AU903" i="28"/>
  <c r="BB903" i="28" s="1"/>
  <c r="AT903" i="28"/>
  <c r="BA903" i="28" s="1"/>
  <c r="AX902" i="28"/>
  <c r="BE902" i="28" s="1"/>
  <c r="AW902" i="28"/>
  <c r="BD902" i="28" s="1"/>
  <c r="AV902" i="28"/>
  <c r="BC902" i="28" s="1"/>
  <c r="AU902" i="28"/>
  <c r="BB902" i="28" s="1"/>
  <c r="AT902" i="28"/>
  <c r="BA902" i="28" s="1"/>
  <c r="AY901" i="28"/>
  <c r="BF901" i="28" s="1"/>
  <c r="AX901" i="28"/>
  <c r="BE901" i="28" s="1"/>
  <c r="AW901" i="28"/>
  <c r="BD901" i="28" s="1"/>
  <c r="AV901" i="28"/>
  <c r="BC901" i="28" s="1"/>
  <c r="AU901" i="28"/>
  <c r="BB901" i="28" s="1"/>
  <c r="AT901" i="28"/>
  <c r="BA901" i="28" s="1"/>
  <c r="AY900" i="28"/>
  <c r="BF900" i="28" s="1"/>
  <c r="AX900" i="28"/>
  <c r="BE900" i="28" s="1"/>
  <c r="AW900" i="28"/>
  <c r="BD900" i="28" s="1"/>
  <c r="AV900" i="28"/>
  <c r="BC900" i="28" s="1"/>
  <c r="AU900" i="28"/>
  <c r="BB900" i="28" s="1"/>
  <c r="AT900" i="28"/>
  <c r="BA900" i="28" s="1"/>
  <c r="AX899" i="28"/>
  <c r="BE899" i="28" s="1"/>
  <c r="AW899" i="28"/>
  <c r="BD899" i="28" s="1"/>
  <c r="AV899" i="28"/>
  <c r="BC899" i="28" s="1"/>
  <c r="AU899" i="28"/>
  <c r="BB899" i="28" s="1"/>
  <c r="AT899" i="28"/>
  <c r="BA899" i="28" s="1"/>
  <c r="AY898" i="28"/>
  <c r="BF898" i="28" s="1"/>
  <c r="AX898" i="28"/>
  <c r="BE898" i="28" s="1"/>
  <c r="AW898" i="28"/>
  <c r="BD898" i="28" s="1"/>
  <c r="AV898" i="28"/>
  <c r="BC898" i="28" s="1"/>
  <c r="AU898" i="28"/>
  <c r="BB898" i="28" s="1"/>
  <c r="AT898" i="28"/>
  <c r="BA898" i="28" s="1"/>
  <c r="AX897" i="28"/>
  <c r="BE897" i="28" s="1"/>
  <c r="AW897" i="28"/>
  <c r="BD897" i="28" s="1"/>
  <c r="AV897" i="28"/>
  <c r="BC897" i="28" s="1"/>
  <c r="AU897" i="28"/>
  <c r="BB897" i="28" s="1"/>
  <c r="AT897" i="28"/>
  <c r="BA897" i="28" s="1"/>
  <c r="AX896" i="28"/>
  <c r="BE896" i="28" s="1"/>
  <c r="AW896" i="28"/>
  <c r="BD896" i="28" s="1"/>
  <c r="AV896" i="28"/>
  <c r="BC896" i="28" s="1"/>
  <c r="AU896" i="28"/>
  <c r="BB896" i="28" s="1"/>
  <c r="AT896" i="28"/>
  <c r="BA896" i="28" s="1"/>
  <c r="AY895" i="28"/>
  <c r="BF895" i="28" s="1"/>
  <c r="AX895" i="28"/>
  <c r="BE895" i="28" s="1"/>
  <c r="AW895" i="28"/>
  <c r="BD895" i="28" s="1"/>
  <c r="AV895" i="28"/>
  <c r="BC895" i="28" s="1"/>
  <c r="AU895" i="28"/>
  <c r="BB895" i="28" s="1"/>
  <c r="AT895" i="28"/>
  <c r="BA895" i="28" s="1"/>
  <c r="AX894" i="28"/>
  <c r="BE894" i="28" s="1"/>
  <c r="AW894" i="28"/>
  <c r="BD894" i="28" s="1"/>
  <c r="AV894" i="28"/>
  <c r="BC894" i="28" s="1"/>
  <c r="AU894" i="28"/>
  <c r="BB894" i="28" s="1"/>
  <c r="AT894" i="28"/>
  <c r="BA894" i="28" s="1"/>
  <c r="AY893" i="28"/>
  <c r="BF893" i="28" s="1"/>
  <c r="AX893" i="28"/>
  <c r="BE893" i="28" s="1"/>
  <c r="AW893" i="28"/>
  <c r="BD893" i="28" s="1"/>
  <c r="AV893" i="28"/>
  <c r="BC893" i="28" s="1"/>
  <c r="AU893" i="28"/>
  <c r="BB893" i="28" s="1"/>
  <c r="AT893" i="28"/>
  <c r="BA893" i="28" s="1"/>
  <c r="AY892" i="28"/>
  <c r="BF892" i="28" s="1"/>
  <c r="AX892" i="28"/>
  <c r="BE892" i="28" s="1"/>
  <c r="AW892" i="28"/>
  <c r="BD892" i="28" s="1"/>
  <c r="AV892" i="28"/>
  <c r="BC892" i="28" s="1"/>
  <c r="AU892" i="28"/>
  <c r="BB892" i="28" s="1"/>
  <c r="AT892" i="28"/>
  <c r="BA892" i="28" s="1"/>
  <c r="AY891" i="28"/>
  <c r="BF891" i="28" s="1"/>
  <c r="AX891" i="28"/>
  <c r="BE891" i="28" s="1"/>
  <c r="AW891" i="28"/>
  <c r="BD891" i="28" s="1"/>
  <c r="AV891" i="28"/>
  <c r="BC891" i="28" s="1"/>
  <c r="AU891" i="28"/>
  <c r="BB891" i="28" s="1"/>
  <c r="AT891" i="28"/>
  <c r="BA891" i="28" s="1"/>
  <c r="AY890" i="28"/>
  <c r="BF890" i="28" s="1"/>
  <c r="AX890" i="28"/>
  <c r="BE890" i="28" s="1"/>
  <c r="AW890" i="28"/>
  <c r="BD890" i="28" s="1"/>
  <c r="AV890" i="28"/>
  <c r="BC890" i="28" s="1"/>
  <c r="AU890" i="28"/>
  <c r="BB890" i="28" s="1"/>
  <c r="AT890" i="28"/>
  <c r="BA890" i="28" s="1"/>
  <c r="AY889" i="28"/>
  <c r="BF889" i="28" s="1"/>
  <c r="AX889" i="28"/>
  <c r="BE889" i="28" s="1"/>
  <c r="AW889" i="28"/>
  <c r="BD889" i="28" s="1"/>
  <c r="AV889" i="28"/>
  <c r="BC889" i="28" s="1"/>
  <c r="AU889" i="28"/>
  <c r="BB889" i="28" s="1"/>
  <c r="AT889" i="28"/>
  <c r="BA889" i="28" s="1"/>
  <c r="AX888" i="28"/>
  <c r="BE888" i="28" s="1"/>
  <c r="AW888" i="28"/>
  <c r="BD888" i="28" s="1"/>
  <c r="AV888" i="28"/>
  <c r="BC888" i="28" s="1"/>
  <c r="AU888" i="28"/>
  <c r="BB888" i="28" s="1"/>
  <c r="AT888" i="28"/>
  <c r="BA888" i="28" s="1"/>
  <c r="AX887" i="28"/>
  <c r="BE887" i="28" s="1"/>
  <c r="AW887" i="28"/>
  <c r="BD887" i="28" s="1"/>
  <c r="AV887" i="28"/>
  <c r="BC887" i="28" s="1"/>
  <c r="AU887" i="28"/>
  <c r="BB887" i="28" s="1"/>
  <c r="AT887" i="28"/>
  <c r="BA887" i="28" s="1"/>
  <c r="AX886" i="28"/>
  <c r="BE886" i="28" s="1"/>
  <c r="AW886" i="28"/>
  <c r="BD886" i="28" s="1"/>
  <c r="AV886" i="28"/>
  <c r="BC886" i="28" s="1"/>
  <c r="AU886" i="28"/>
  <c r="BB886" i="28" s="1"/>
  <c r="AT886" i="28"/>
  <c r="BA886" i="28" s="1"/>
  <c r="AY885" i="28"/>
  <c r="BF885" i="28" s="1"/>
  <c r="AX885" i="28"/>
  <c r="BE885" i="28" s="1"/>
  <c r="AW885" i="28"/>
  <c r="BD885" i="28" s="1"/>
  <c r="AV885" i="28"/>
  <c r="BC885" i="28" s="1"/>
  <c r="AU885" i="28"/>
  <c r="BB885" i="28" s="1"/>
  <c r="AT885" i="28"/>
  <c r="BA885" i="28" s="1"/>
  <c r="AY884" i="28"/>
  <c r="BF884" i="28" s="1"/>
  <c r="AX884" i="28"/>
  <c r="BE884" i="28" s="1"/>
  <c r="AW884" i="28"/>
  <c r="BD884" i="28" s="1"/>
  <c r="AV884" i="28"/>
  <c r="BC884" i="28" s="1"/>
  <c r="AU884" i="28"/>
  <c r="BB884" i="28" s="1"/>
  <c r="AT884" i="28"/>
  <c r="BA884" i="28" s="1"/>
  <c r="AY883" i="28"/>
  <c r="BF883" i="28" s="1"/>
  <c r="AX883" i="28"/>
  <c r="BE883" i="28" s="1"/>
  <c r="AW883" i="28"/>
  <c r="BD883" i="28" s="1"/>
  <c r="AV883" i="28"/>
  <c r="BC883" i="28" s="1"/>
  <c r="AU883" i="28"/>
  <c r="BB883" i="28" s="1"/>
  <c r="AT883" i="28"/>
  <c r="BA883" i="28" s="1"/>
  <c r="AY882" i="28"/>
  <c r="BF882" i="28" s="1"/>
  <c r="AX882" i="28"/>
  <c r="BE882" i="28" s="1"/>
  <c r="AW882" i="28"/>
  <c r="BD882" i="28" s="1"/>
  <c r="AV882" i="28"/>
  <c r="BC882" i="28" s="1"/>
  <c r="AU882" i="28"/>
  <c r="BB882" i="28" s="1"/>
  <c r="AT882" i="28"/>
  <c r="BA882" i="28" s="1"/>
  <c r="AY881" i="28"/>
  <c r="BF881" i="28" s="1"/>
  <c r="AX881" i="28"/>
  <c r="BE881" i="28" s="1"/>
  <c r="AW881" i="28"/>
  <c r="BD881" i="28" s="1"/>
  <c r="AV881" i="28"/>
  <c r="BC881" i="28" s="1"/>
  <c r="AU881" i="28"/>
  <c r="BB881" i="28" s="1"/>
  <c r="AT881" i="28"/>
  <c r="BA881" i="28" s="1"/>
  <c r="AX880" i="28"/>
  <c r="BE880" i="28" s="1"/>
  <c r="AW880" i="28"/>
  <c r="BD880" i="28" s="1"/>
  <c r="AV880" i="28"/>
  <c r="BC880" i="28" s="1"/>
  <c r="AU880" i="28"/>
  <c r="BB880" i="28" s="1"/>
  <c r="AT880" i="28"/>
  <c r="BA880" i="28" s="1"/>
  <c r="AX879" i="28"/>
  <c r="BE879" i="28" s="1"/>
  <c r="AW879" i="28"/>
  <c r="BD879" i="28" s="1"/>
  <c r="AV879" i="28"/>
  <c r="BC879" i="28" s="1"/>
  <c r="AU879" i="28"/>
  <c r="BB879" i="28" s="1"/>
  <c r="AT879" i="28"/>
  <c r="BA879" i="28" s="1"/>
  <c r="AX878" i="28"/>
  <c r="BE878" i="28" s="1"/>
  <c r="AW878" i="28"/>
  <c r="BD878" i="28" s="1"/>
  <c r="AV878" i="28"/>
  <c r="BC878" i="28" s="1"/>
  <c r="AU878" i="28"/>
  <c r="BB878" i="28" s="1"/>
  <c r="AT878" i="28"/>
  <c r="BA878" i="28" s="1"/>
  <c r="AY877" i="28"/>
  <c r="BF877" i="28" s="1"/>
  <c r="AX877" i="28"/>
  <c r="BE877" i="28" s="1"/>
  <c r="AW877" i="28"/>
  <c r="BD877" i="28" s="1"/>
  <c r="AV877" i="28"/>
  <c r="BC877" i="28" s="1"/>
  <c r="AU877" i="28"/>
  <c r="BB877" i="28" s="1"/>
  <c r="AT877" i="28"/>
  <c r="BA877" i="28" s="1"/>
  <c r="AY876" i="28"/>
  <c r="BF876" i="28" s="1"/>
  <c r="AX876" i="28"/>
  <c r="BE876" i="28" s="1"/>
  <c r="AW876" i="28"/>
  <c r="BD876" i="28" s="1"/>
  <c r="AV876" i="28"/>
  <c r="BC876" i="28" s="1"/>
  <c r="AU876" i="28"/>
  <c r="BB876" i="28" s="1"/>
  <c r="AT876" i="28"/>
  <c r="BA876" i="28" s="1"/>
  <c r="AY875" i="28"/>
  <c r="BF875" i="28" s="1"/>
  <c r="AX875" i="28"/>
  <c r="BE875" i="28" s="1"/>
  <c r="AW875" i="28"/>
  <c r="BD875" i="28" s="1"/>
  <c r="AV875" i="28"/>
  <c r="BC875" i="28" s="1"/>
  <c r="AU875" i="28"/>
  <c r="BB875" i="28" s="1"/>
  <c r="AT875" i="28"/>
  <c r="BA875" i="28" s="1"/>
  <c r="AY874" i="28"/>
  <c r="BF874" i="28" s="1"/>
  <c r="AX874" i="28"/>
  <c r="BE874" i="28" s="1"/>
  <c r="AW874" i="28"/>
  <c r="BD874" i="28" s="1"/>
  <c r="AV874" i="28"/>
  <c r="BC874" i="28" s="1"/>
  <c r="AU874" i="28"/>
  <c r="BB874" i="28" s="1"/>
  <c r="AT874" i="28"/>
  <c r="BA874" i="28" s="1"/>
  <c r="AX873" i="28"/>
  <c r="BE873" i="28" s="1"/>
  <c r="AW873" i="28"/>
  <c r="BD873" i="28" s="1"/>
  <c r="AV873" i="28"/>
  <c r="BC873" i="28" s="1"/>
  <c r="AU873" i="28"/>
  <c r="BB873" i="28" s="1"/>
  <c r="AT873" i="28"/>
  <c r="BA873" i="28" s="1"/>
  <c r="AX872" i="28"/>
  <c r="BE872" i="28" s="1"/>
  <c r="AW872" i="28"/>
  <c r="BD872" i="28" s="1"/>
  <c r="AV872" i="28"/>
  <c r="BC872" i="28" s="1"/>
  <c r="AU872" i="28"/>
  <c r="BB872" i="28" s="1"/>
  <c r="AT872" i="28"/>
  <c r="BA872" i="28" s="1"/>
  <c r="AY871" i="28"/>
  <c r="BF871" i="28" s="1"/>
  <c r="AX871" i="28"/>
  <c r="BE871" i="28" s="1"/>
  <c r="AW871" i="28"/>
  <c r="BD871" i="28" s="1"/>
  <c r="AV871" i="28"/>
  <c r="BC871" i="28" s="1"/>
  <c r="AU871" i="28"/>
  <c r="BB871" i="28" s="1"/>
  <c r="AT871" i="28"/>
  <c r="BA871" i="28" s="1"/>
  <c r="AX870" i="28"/>
  <c r="BE870" i="28" s="1"/>
  <c r="AW870" i="28"/>
  <c r="BD870" i="28" s="1"/>
  <c r="AV870" i="28"/>
  <c r="BC870" i="28" s="1"/>
  <c r="AU870" i="28"/>
  <c r="BB870" i="28" s="1"/>
  <c r="AT870" i="28"/>
  <c r="BA870" i="28" s="1"/>
  <c r="AY869" i="28"/>
  <c r="BF869" i="28" s="1"/>
  <c r="AX869" i="28"/>
  <c r="BE869" i="28" s="1"/>
  <c r="AW869" i="28"/>
  <c r="BD869" i="28" s="1"/>
  <c r="AV869" i="28"/>
  <c r="BC869" i="28" s="1"/>
  <c r="AU869" i="28"/>
  <c r="BB869" i="28" s="1"/>
  <c r="AT869" i="28"/>
  <c r="BA869" i="28" s="1"/>
  <c r="AY868" i="28"/>
  <c r="BF868" i="28" s="1"/>
  <c r="AX868" i="28"/>
  <c r="BE868" i="28" s="1"/>
  <c r="AW868" i="28"/>
  <c r="BD868" i="28" s="1"/>
  <c r="AV868" i="28"/>
  <c r="BC868" i="28" s="1"/>
  <c r="AU868" i="28"/>
  <c r="BB868" i="28" s="1"/>
  <c r="AT868" i="28"/>
  <c r="BA868" i="28" s="1"/>
  <c r="AX867" i="28"/>
  <c r="BE867" i="28" s="1"/>
  <c r="AW867" i="28"/>
  <c r="BD867" i="28" s="1"/>
  <c r="AV867" i="28"/>
  <c r="BC867" i="28" s="1"/>
  <c r="AU867" i="28"/>
  <c r="BB867" i="28" s="1"/>
  <c r="AT867" i="28"/>
  <c r="BA867" i="28" s="1"/>
  <c r="AY866" i="28"/>
  <c r="BF866" i="28" s="1"/>
  <c r="AX866" i="28"/>
  <c r="BE866" i="28" s="1"/>
  <c r="AW866" i="28"/>
  <c r="BD866" i="28" s="1"/>
  <c r="AV866" i="28"/>
  <c r="BC866" i="28" s="1"/>
  <c r="AU866" i="28"/>
  <c r="BB866" i="28" s="1"/>
  <c r="AT866" i="28"/>
  <c r="BA866" i="28" s="1"/>
  <c r="AY865" i="28"/>
  <c r="BF865" i="28" s="1"/>
  <c r="AX865" i="28"/>
  <c r="BE865" i="28" s="1"/>
  <c r="AW865" i="28"/>
  <c r="BD865" i="28" s="1"/>
  <c r="AV865" i="28"/>
  <c r="BC865" i="28" s="1"/>
  <c r="AU865" i="28"/>
  <c r="BB865" i="28" s="1"/>
  <c r="AT865" i="28"/>
  <c r="BA865" i="28" s="1"/>
  <c r="AX864" i="28"/>
  <c r="BE864" i="28" s="1"/>
  <c r="AW864" i="28"/>
  <c r="BD864" i="28" s="1"/>
  <c r="AV864" i="28"/>
  <c r="BC864" i="28" s="1"/>
  <c r="AU864" i="28"/>
  <c r="BB864" i="28" s="1"/>
  <c r="AT864" i="28"/>
  <c r="BA864" i="28" s="1"/>
  <c r="AX863" i="28"/>
  <c r="BE863" i="28" s="1"/>
  <c r="AW863" i="28"/>
  <c r="BD863" i="28" s="1"/>
  <c r="AV863" i="28"/>
  <c r="BC863" i="28" s="1"/>
  <c r="AU863" i="28"/>
  <c r="BB863" i="28" s="1"/>
  <c r="AT863" i="28"/>
  <c r="BA863" i="28" s="1"/>
  <c r="AX862" i="28"/>
  <c r="BE862" i="28" s="1"/>
  <c r="AW862" i="28"/>
  <c r="BD862" i="28" s="1"/>
  <c r="AV862" i="28"/>
  <c r="BC862" i="28" s="1"/>
  <c r="AU862" i="28"/>
  <c r="BB862" i="28" s="1"/>
  <c r="AT862" i="28"/>
  <c r="BA862" i="28" s="1"/>
  <c r="AY861" i="28"/>
  <c r="BF861" i="28" s="1"/>
  <c r="AX861" i="28"/>
  <c r="BE861" i="28" s="1"/>
  <c r="AW861" i="28"/>
  <c r="BD861" i="28" s="1"/>
  <c r="AV861" i="28"/>
  <c r="BC861" i="28" s="1"/>
  <c r="AU861" i="28"/>
  <c r="BB861" i="28" s="1"/>
  <c r="AT861" i="28"/>
  <c r="BA861" i="28" s="1"/>
  <c r="AY860" i="28"/>
  <c r="BF860" i="28" s="1"/>
  <c r="AX860" i="28"/>
  <c r="BE860" i="28" s="1"/>
  <c r="AW860" i="28"/>
  <c r="BD860" i="28" s="1"/>
  <c r="AV860" i="28"/>
  <c r="BC860" i="28" s="1"/>
  <c r="AU860" i="28"/>
  <c r="BB860" i="28" s="1"/>
  <c r="AT860" i="28"/>
  <c r="BA860" i="28" s="1"/>
  <c r="AY859" i="28"/>
  <c r="BF859" i="28" s="1"/>
  <c r="AX859" i="28"/>
  <c r="BE859" i="28" s="1"/>
  <c r="AW859" i="28"/>
  <c r="BD859" i="28" s="1"/>
  <c r="AV859" i="28"/>
  <c r="BC859" i="28" s="1"/>
  <c r="AU859" i="28"/>
  <c r="BB859" i="28" s="1"/>
  <c r="AT859" i="28"/>
  <c r="BA859" i="28" s="1"/>
  <c r="AY858" i="28"/>
  <c r="BF858" i="28" s="1"/>
  <c r="AX858" i="28"/>
  <c r="BE858" i="28" s="1"/>
  <c r="AW858" i="28"/>
  <c r="BD858" i="28" s="1"/>
  <c r="AV858" i="28"/>
  <c r="BC858" i="28" s="1"/>
  <c r="AU858" i="28"/>
  <c r="BB858" i="28" s="1"/>
  <c r="AT858" i="28"/>
  <c r="BA858" i="28" s="1"/>
  <c r="AX857" i="28"/>
  <c r="BE857" i="28" s="1"/>
  <c r="AW857" i="28"/>
  <c r="BD857" i="28" s="1"/>
  <c r="AV857" i="28"/>
  <c r="BC857" i="28" s="1"/>
  <c r="AU857" i="28"/>
  <c r="BB857" i="28" s="1"/>
  <c r="AT857" i="28"/>
  <c r="BA857" i="28" s="1"/>
  <c r="AX856" i="28"/>
  <c r="BE856" i="28" s="1"/>
  <c r="AW856" i="28"/>
  <c r="BD856" i="28" s="1"/>
  <c r="AV856" i="28"/>
  <c r="BC856" i="28" s="1"/>
  <c r="AU856" i="28"/>
  <c r="BB856" i="28" s="1"/>
  <c r="AT856" i="28"/>
  <c r="BA856" i="28" s="1"/>
  <c r="AX855" i="28"/>
  <c r="BE855" i="28" s="1"/>
  <c r="AW855" i="28"/>
  <c r="BD855" i="28" s="1"/>
  <c r="AV855" i="28"/>
  <c r="BC855" i="28" s="1"/>
  <c r="AU855" i="28"/>
  <c r="BB855" i="28" s="1"/>
  <c r="AT855" i="28"/>
  <c r="BA855" i="28" s="1"/>
  <c r="AX854" i="28"/>
  <c r="BE854" i="28" s="1"/>
  <c r="AW854" i="28"/>
  <c r="BD854" i="28" s="1"/>
  <c r="AV854" i="28"/>
  <c r="BC854" i="28" s="1"/>
  <c r="AU854" i="28"/>
  <c r="BB854" i="28" s="1"/>
  <c r="AT854" i="28"/>
  <c r="BA854" i="28" s="1"/>
  <c r="AY853" i="28"/>
  <c r="BF853" i="28" s="1"/>
  <c r="AX853" i="28"/>
  <c r="BE853" i="28" s="1"/>
  <c r="AW853" i="28"/>
  <c r="BD853" i="28" s="1"/>
  <c r="AV853" i="28"/>
  <c r="BC853" i="28" s="1"/>
  <c r="AU853" i="28"/>
  <c r="BB853" i="28" s="1"/>
  <c r="AT853" i="28"/>
  <c r="BA853" i="28" s="1"/>
  <c r="AY852" i="28"/>
  <c r="BF852" i="28" s="1"/>
  <c r="AX852" i="28"/>
  <c r="BE852" i="28" s="1"/>
  <c r="AW852" i="28"/>
  <c r="BD852" i="28" s="1"/>
  <c r="AV852" i="28"/>
  <c r="BC852" i="28" s="1"/>
  <c r="AU852" i="28"/>
  <c r="BB852" i="28" s="1"/>
  <c r="AT852" i="28"/>
  <c r="BA852" i="28" s="1"/>
  <c r="AX851" i="28"/>
  <c r="BE851" i="28" s="1"/>
  <c r="AW851" i="28"/>
  <c r="BD851" i="28" s="1"/>
  <c r="AV851" i="28"/>
  <c r="BC851" i="28" s="1"/>
  <c r="AU851" i="28"/>
  <c r="BB851" i="28" s="1"/>
  <c r="AT851" i="28"/>
  <c r="BA851" i="28" s="1"/>
  <c r="AY850" i="28"/>
  <c r="BF850" i="28" s="1"/>
  <c r="AX850" i="28"/>
  <c r="BE850" i="28" s="1"/>
  <c r="AW850" i="28"/>
  <c r="BD850" i="28" s="1"/>
  <c r="AV850" i="28"/>
  <c r="BC850" i="28" s="1"/>
  <c r="AU850" i="28"/>
  <c r="BB850" i="28" s="1"/>
  <c r="AT850" i="28"/>
  <c r="BA850" i="28" s="1"/>
  <c r="AY849" i="28"/>
  <c r="BF849" i="28" s="1"/>
  <c r="AX849" i="28"/>
  <c r="BE849" i="28" s="1"/>
  <c r="AW849" i="28"/>
  <c r="BD849" i="28" s="1"/>
  <c r="AV849" i="28"/>
  <c r="BC849" i="28" s="1"/>
  <c r="AU849" i="28"/>
  <c r="BB849" i="28" s="1"/>
  <c r="AT849" i="28"/>
  <c r="BA849" i="28" s="1"/>
  <c r="AX848" i="28"/>
  <c r="BE848" i="28" s="1"/>
  <c r="AW848" i="28"/>
  <c r="BD848" i="28" s="1"/>
  <c r="AV848" i="28"/>
  <c r="BC848" i="28" s="1"/>
  <c r="AU848" i="28"/>
  <c r="BB848" i="28" s="1"/>
  <c r="AT848" i="28"/>
  <c r="BA848" i="28" s="1"/>
  <c r="AY847" i="28"/>
  <c r="BF847" i="28" s="1"/>
  <c r="AX847" i="28"/>
  <c r="BE847" i="28" s="1"/>
  <c r="AW847" i="28"/>
  <c r="BD847" i="28" s="1"/>
  <c r="AV847" i="28"/>
  <c r="BC847" i="28" s="1"/>
  <c r="AU847" i="28"/>
  <c r="BB847" i="28" s="1"/>
  <c r="AT847" i="28"/>
  <c r="BA847" i="28" s="1"/>
  <c r="AX846" i="28"/>
  <c r="BE846" i="28" s="1"/>
  <c r="AW846" i="28"/>
  <c r="BD846" i="28" s="1"/>
  <c r="AV846" i="28"/>
  <c r="BC846" i="28" s="1"/>
  <c r="AU846" i="28"/>
  <c r="BB846" i="28" s="1"/>
  <c r="AT846" i="28"/>
  <c r="BA846" i="28" s="1"/>
  <c r="AY845" i="28"/>
  <c r="BF845" i="28" s="1"/>
  <c r="AX845" i="28"/>
  <c r="BE845" i="28" s="1"/>
  <c r="AW845" i="28"/>
  <c r="BD845" i="28" s="1"/>
  <c r="AV845" i="28"/>
  <c r="BC845" i="28" s="1"/>
  <c r="AU845" i="28"/>
  <c r="BB845" i="28" s="1"/>
  <c r="AT845" i="28"/>
  <c r="BA845" i="28" s="1"/>
  <c r="AY844" i="28"/>
  <c r="BF844" i="28" s="1"/>
  <c r="AX844" i="28"/>
  <c r="BE844" i="28" s="1"/>
  <c r="AW844" i="28"/>
  <c r="BD844" i="28" s="1"/>
  <c r="AV844" i="28"/>
  <c r="BC844" i="28" s="1"/>
  <c r="AU844" i="28"/>
  <c r="BB844" i="28" s="1"/>
  <c r="AT844" i="28"/>
  <c r="BA844" i="28" s="1"/>
  <c r="AX843" i="28"/>
  <c r="BE843" i="28" s="1"/>
  <c r="AW843" i="28"/>
  <c r="BD843" i="28" s="1"/>
  <c r="AV843" i="28"/>
  <c r="BC843" i="28" s="1"/>
  <c r="AU843" i="28"/>
  <c r="BB843" i="28" s="1"/>
  <c r="AT843" i="28"/>
  <c r="BA843" i="28" s="1"/>
  <c r="AY842" i="28"/>
  <c r="BF842" i="28" s="1"/>
  <c r="AX842" i="28"/>
  <c r="BE842" i="28" s="1"/>
  <c r="AW842" i="28"/>
  <c r="BD842" i="28" s="1"/>
  <c r="AV842" i="28"/>
  <c r="BC842" i="28" s="1"/>
  <c r="AU842" i="28"/>
  <c r="BB842" i="28" s="1"/>
  <c r="AT842" i="28"/>
  <c r="BA842" i="28" s="1"/>
  <c r="AY841" i="28"/>
  <c r="BF841" i="28" s="1"/>
  <c r="AX841" i="28"/>
  <c r="BE841" i="28" s="1"/>
  <c r="AW841" i="28"/>
  <c r="BD841" i="28" s="1"/>
  <c r="AV841" i="28"/>
  <c r="BC841" i="28" s="1"/>
  <c r="AU841" i="28"/>
  <c r="BB841" i="28" s="1"/>
  <c r="AT841" i="28"/>
  <c r="BA841" i="28" s="1"/>
  <c r="AX840" i="28"/>
  <c r="BE840" i="28" s="1"/>
  <c r="AW840" i="28"/>
  <c r="BD840" i="28" s="1"/>
  <c r="AV840" i="28"/>
  <c r="BC840" i="28" s="1"/>
  <c r="AU840" i="28"/>
  <c r="BB840" i="28" s="1"/>
  <c r="AT840" i="28"/>
  <c r="BA840" i="28" s="1"/>
  <c r="AX839" i="28"/>
  <c r="BE839" i="28" s="1"/>
  <c r="AW839" i="28"/>
  <c r="BD839" i="28" s="1"/>
  <c r="AV839" i="28"/>
  <c r="BC839" i="28" s="1"/>
  <c r="AU839" i="28"/>
  <c r="BB839" i="28" s="1"/>
  <c r="AT839" i="28"/>
  <c r="BA839" i="28" s="1"/>
  <c r="AX838" i="28"/>
  <c r="BE838" i="28" s="1"/>
  <c r="AW838" i="28"/>
  <c r="BD838" i="28" s="1"/>
  <c r="AV838" i="28"/>
  <c r="BC838" i="28" s="1"/>
  <c r="AU838" i="28"/>
  <c r="BB838" i="28" s="1"/>
  <c r="AT838" i="28"/>
  <c r="BA838" i="28" s="1"/>
  <c r="AY837" i="28"/>
  <c r="BF837" i="28" s="1"/>
  <c r="AX837" i="28"/>
  <c r="BE837" i="28" s="1"/>
  <c r="AW837" i="28"/>
  <c r="BD837" i="28" s="1"/>
  <c r="AV837" i="28"/>
  <c r="BC837" i="28" s="1"/>
  <c r="AU837" i="28"/>
  <c r="BB837" i="28" s="1"/>
  <c r="AT837" i="28"/>
  <c r="BA837" i="28" s="1"/>
  <c r="AY836" i="28"/>
  <c r="BF836" i="28" s="1"/>
  <c r="AX836" i="28"/>
  <c r="BE836" i="28" s="1"/>
  <c r="AW836" i="28"/>
  <c r="BD836" i="28" s="1"/>
  <c r="AV836" i="28"/>
  <c r="BC836" i="28" s="1"/>
  <c r="AU836" i="28"/>
  <c r="BB836" i="28" s="1"/>
  <c r="AT836" i="28"/>
  <c r="BA836" i="28" s="1"/>
  <c r="AY835" i="28"/>
  <c r="BF835" i="28" s="1"/>
  <c r="AX835" i="28"/>
  <c r="BE835" i="28" s="1"/>
  <c r="AW835" i="28"/>
  <c r="BD835" i="28" s="1"/>
  <c r="AV835" i="28"/>
  <c r="BC835" i="28" s="1"/>
  <c r="AU835" i="28"/>
  <c r="BB835" i="28" s="1"/>
  <c r="AT835" i="28"/>
  <c r="BA835" i="28" s="1"/>
  <c r="AY834" i="28"/>
  <c r="BF834" i="28" s="1"/>
  <c r="AX834" i="28"/>
  <c r="BE834" i="28" s="1"/>
  <c r="AW834" i="28"/>
  <c r="BD834" i="28" s="1"/>
  <c r="AV834" i="28"/>
  <c r="BC834" i="28" s="1"/>
  <c r="AU834" i="28"/>
  <c r="BB834" i="28" s="1"/>
  <c r="AT834" i="28"/>
  <c r="BA834" i="28" s="1"/>
  <c r="AY833" i="28"/>
  <c r="BF833" i="28" s="1"/>
  <c r="AX833" i="28"/>
  <c r="BE833" i="28" s="1"/>
  <c r="AW833" i="28"/>
  <c r="BD833" i="28" s="1"/>
  <c r="AV833" i="28"/>
  <c r="BC833" i="28" s="1"/>
  <c r="AU833" i="28"/>
  <c r="BB833" i="28" s="1"/>
  <c r="AT833" i="28"/>
  <c r="BA833" i="28" s="1"/>
  <c r="AX832" i="28"/>
  <c r="BE832" i="28" s="1"/>
  <c r="AW832" i="28"/>
  <c r="BD832" i="28" s="1"/>
  <c r="AV832" i="28"/>
  <c r="BC832" i="28" s="1"/>
  <c r="AU832" i="28"/>
  <c r="BB832" i="28" s="1"/>
  <c r="AT832" i="28"/>
  <c r="BA832" i="28" s="1"/>
  <c r="AX831" i="28"/>
  <c r="BE831" i="28" s="1"/>
  <c r="AW831" i="28"/>
  <c r="BD831" i="28" s="1"/>
  <c r="AV831" i="28"/>
  <c r="BC831" i="28" s="1"/>
  <c r="AU831" i="28"/>
  <c r="BB831" i="28" s="1"/>
  <c r="AT831" i="28"/>
  <c r="BA831" i="28" s="1"/>
  <c r="AY830" i="28"/>
  <c r="BF830" i="28" s="1"/>
  <c r="AX830" i="28"/>
  <c r="BE830" i="28" s="1"/>
  <c r="AW830" i="28"/>
  <c r="BD830" i="28" s="1"/>
  <c r="AV830" i="28"/>
  <c r="BC830" i="28" s="1"/>
  <c r="AU830" i="28"/>
  <c r="BB830" i="28" s="1"/>
  <c r="AT830" i="28"/>
  <c r="BA830" i="28" s="1"/>
  <c r="AY829" i="28"/>
  <c r="BF829" i="28" s="1"/>
  <c r="AX829" i="28"/>
  <c r="BE829" i="28" s="1"/>
  <c r="AW829" i="28"/>
  <c r="BD829" i="28" s="1"/>
  <c r="AV829" i="28"/>
  <c r="BC829" i="28" s="1"/>
  <c r="AU829" i="28"/>
  <c r="BB829" i="28" s="1"/>
  <c r="AT829" i="28"/>
  <c r="BA829" i="28" s="1"/>
  <c r="AY828" i="28"/>
  <c r="BF828" i="28" s="1"/>
  <c r="AX828" i="28"/>
  <c r="BE828" i="28" s="1"/>
  <c r="AW828" i="28"/>
  <c r="BD828" i="28" s="1"/>
  <c r="AV828" i="28"/>
  <c r="BC828" i="28" s="1"/>
  <c r="AU828" i="28"/>
  <c r="BB828" i="28" s="1"/>
  <c r="AT828" i="28"/>
  <c r="BA828" i="28" s="1"/>
  <c r="AY827" i="28"/>
  <c r="BF827" i="28" s="1"/>
  <c r="AX827" i="28"/>
  <c r="BE827" i="28" s="1"/>
  <c r="AW827" i="28"/>
  <c r="BD827" i="28" s="1"/>
  <c r="AV827" i="28"/>
  <c r="BC827" i="28" s="1"/>
  <c r="AU827" i="28"/>
  <c r="BB827" i="28" s="1"/>
  <c r="AT827" i="28"/>
  <c r="BA827" i="28" s="1"/>
  <c r="AY826" i="28"/>
  <c r="BF826" i="28" s="1"/>
  <c r="AX826" i="28"/>
  <c r="BE826" i="28" s="1"/>
  <c r="AW826" i="28"/>
  <c r="BD826" i="28" s="1"/>
  <c r="AV826" i="28"/>
  <c r="BC826" i="28" s="1"/>
  <c r="AU826" i="28"/>
  <c r="BB826" i="28" s="1"/>
  <c r="AT826" i="28"/>
  <c r="BA826" i="28" s="1"/>
  <c r="AX825" i="28"/>
  <c r="BE825" i="28" s="1"/>
  <c r="AW825" i="28"/>
  <c r="BD825" i="28" s="1"/>
  <c r="AV825" i="28"/>
  <c r="BC825" i="28" s="1"/>
  <c r="AU825" i="28"/>
  <c r="BB825" i="28" s="1"/>
  <c r="AT825" i="28"/>
  <c r="BA825" i="28" s="1"/>
  <c r="AX824" i="28"/>
  <c r="BE824" i="28" s="1"/>
  <c r="AW824" i="28"/>
  <c r="BD824" i="28" s="1"/>
  <c r="AV824" i="28"/>
  <c r="BC824" i="28" s="1"/>
  <c r="AU824" i="28"/>
  <c r="BB824" i="28" s="1"/>
  <c r="AT824" i="28"/>
  <c r="BA824" i="28" s="1"/>
  <c r="AY823" i="28"/>
  <c r="BF823" i="28" s="1"/>
  <c r="AX823" i="28"/>
  <c r="BE823" i="28" s="1"/>
  <c r="AW823" i="28"/>
  <c r="BD823" i="28" s="1"/>
  <c r="AV823" i="28"/>
  <c r="BC823" i="28" s="1"/>
  <c r="AU823" i="28"/>
  <c r="BB823" i="28" s="1"/>
  <c r="AT823" i="28"/>
  <c r="BA823" i="28" s="1"/>
  <c r="AX822" i="28"/>
  <c r="BE822" i="28" s="1"/>
  <c r="AW822" i="28"/>
  <c r="BD822" i="28" s="1"/>
  <c r="AV822" i="28"/>
  <c r="BC822" i="28" s="1"/>
  <c r="AU822" i="28"/>
  <c r="BB822" i="28" s="1"/>
  <c r="AT822" i="28"/>
  <c r="BA822" i="28" s="1"/>
  <c r="AY821" i="28"/>
  <c r="BF821" i="28" s="1"/>
  <c r="AX821" i="28"/>
  <c r="BE821" i="28" s="1"/>
  <c r="AW821" i="28"/>
  <c r="BD821" i="28" s="1"/>
  <c r="AV821" i="28"/>
  <c r="BC821" i="28" s="1"/>
  <c r="AU821" i="28"/>
  <c r="BB821" i="28" s="1"/>
  <c r="AT821" i="28"/>
  <c r="BA821" i="28" s="1"/>
  <c r="AY820" i="28"/>
  <c r="BF820" i="28" s="1"/>
  <c r="AX820" i="28"/>
  <c r="BE820" i="28" s="1"/>
  <c r="AW820" i="28"/>
  <c r="BD820" i="28" s="1"/>
  <c r="AV820" i="28"/>
  <c r="BC820" i="28" s="1"/>
  <c r="AU820" i="28"/>
  <c r="BB820" i="28" s="1"/>
  <c r="AT820" i="28"/>
  <c r="BA820" i="28" s="1"/>
  <c r="AY819" i="28"/>
  <c r="BF819" i="28" s="1"/>
  <c r="AX819" i="28"/>
  <c r="BE819" i="28" s="1"/>
  <c r="AW819" i="28"/>
  <c r="BD819" i="28" s="1"/>
  <c r="AV819" i="28"/>
  <c r="BC819" i="28" s="1"/>
  <c r="AU819" i="28"/>
  <c r="BB819" i="28" s="1"/>
  <c r="AT819" i="28"/>
  <c r="BA819" i="28" s="1"/>
  <c r="AY818" i="28"/>
  <c r="BF818" i="28" s="1"/>
  <c r="AX818" i="28"/>
  <c r="BE818" i="28" s="1"/>
  <c r="AW818" i="28"/>
  <c r="BD818" i="28" s="1"/>
  <c r="AV818" i="28"/>
  <c r="BC818" i="28" s="1"/>
  <c r="AU818" i="28"/>
  <c r="BB818" i="28" s="1"/>
  <c r="AT818" i="28"/>
  <c r="BA818" i="28" s="1"/>
  <c r="AY817" i="28"/>
  <c r="BF817" i="28" s="1"/>
  <c r="AX817" i="28"/>
  <c r="BE817" i="28" s="1"/>
  <c r="AW817" i="28"/>
  <c r="BD817" i="28" s="1"/>
  <c r="AV817" i="28"/>
  <c r="BC817" i="28" s="1"/>
  <c r="AU817" i="28"/>
  <c r="BB817" i="28" s="1"/>
  <c r="AT817" i="28"/>
  <c r="BA817" i="28" s="1"/>
  <c r="AX816" i="28"/>
  <c r="BE816" i="28" s="1"/>
  <c r="AW816" i="28"/>
  <c r="BD816" i="28" s="1"/>
  <c r="AV816" i="28"/>
  <c r="BC816" i="28" s="1"/>
  <c r="AU816" i="28"/>
  <c r="BB816" i="28" s="1"/>
  <c r="AT816" i="28"/>
  <c r="BA816" i="28" s="1"/>
  <c r="AY815" i="28"/>
  <c r="BF815" i="28" s="1"/>
  <c r="AX815" i="28"/>
  <c r="BE815" i="28" s="1"/>
  <c r="AW815" i="28"/>
  <c r="BD815" i="28" s="1"/>
  <c r="AV815" i="28"/>
  <c r="BC815" i="28" s="1"/>
  <c r="AU815" i="28"/>
  <c r="BB815" i="28" s="1"/>
  <c r="AT815" i="28"/>
  <c r="BA815" i="28" s="1"/>
  <c r="AX814" i="28"/>
  <c r="BE814" i="28" s="1"/>
  <c r="AW814" i="28"/>
  <c r="BD814" i="28" s="1"/>
  <c r="AV814" i="28"/>
  <c r="BC814" i="28" s="1"/>
  <c r="AU814" i="28"/>
  <c r="BB814" i="28" s="1"/>
  <c r="AT814" i="28"/>
  <c r="BA814" i="28" s="1"/>
  <c r="AY813" i="28"/>
  <c r="BF813" i="28" s="1"/>
  <c r="AX813" i="28"/>
  <c r="BE813" i="28" s="1"/>
  <c r="AW813" i="28"/>
  <c r="BD813" i="28" s="1"/>
  <c r="AV813" i="28"/>
  <c r="BC813" i="28" s="1"/>
  <c r="AU813" i="28"/>
  <c r="BB813" i="28" s="1"/>
  <c r="AT813" i="28"/>
  <c r="BA813" i="28" s="1"/>
  <c r="AY812" i="28"/>
  <c r="BF812" i="28" s="1"/>
  <c r="AX812" i="28"/>
  <c r="BE812" i="28" s="1"/>
  <c r="AW812" i="28"/>
  <c r="BD812" i="28" s="1"/>
  <c r="AV812" i="28"/>
  <c r="BC812" i="28" s="1"/>
  <c r="AU812" i="28"/>
  <c r="BB812" i="28" s="1"/>
  <c r="AT812" i="28"/>
  <c r="BA812" i="28" s="1"/>
  <c r="AX811" i="28"/>
  <c r="BE811" i="28" s="1"/>
  <c r="AW811" i="28"/>
  <c r="BD811" i="28" s="1"/>
  <c r="AV811" i="28"/>
  <c r="BC811" i="28" s="1"/>
  <c r="AU811" i="28"/>
  <c r="BB811" i="28" s="1"/>
  <c r="AT811" i="28"/>
  <c r="BA811" i="28" s="1"/>
  <c r="AY810" i="28"/>
  <c r="BF810" i="28" s="1"/>
  <c r="AX810" i="28"/>
  <c r="BE810" i="28" s="1"/>
  <c r="AW810" i="28"/>
  <c r="BD810" i="28" s="1"/>
  <c r="AV810" i="28"/>
  <c r="BC810" i="28" s="1"/>
  <c r="AU810" i="28"/>
  <c r="BB810" i="28" s="1"/>
  <c r="AT810" i="28"/>
  <c r="BA810" i="28" s="1"/>
  <c r="AX809" i="28"/>
  <c r="BE809" i="28" s="1"/>
  <c r="AW809" i="28"/>
  <c r="BD809" i="28" s="1"/>
  <c r="AV809" i="28"/>
  <c r="BC809" i="28" s="1"/>
  <c r="AU809" i="28"/>
  <c r="BB809" i="28" s="1"/>
  <c r="AT809" i="28"/>
  <c r="BA809" i="28" s="1"/>
  <c r="AX808" i="28"/>
  <c r="BE808" i="28" s="1"/>
  <c r="AW808" i="28"/>
  <c r="BD808" i="28" s="1"/>
  <c r="AV808" i="28"/>
  <c r="BC808" i="28" s="1"/>
  <c r="AU808" i="28"/>
  <c r="BB808" i="28" s="1"/>
  <c r="AT808" i="28"/>
  <c r="BA808" i="28" s="1"/>
  <c r="AX807" i="28"/>
  <c r="BE807" i="28" s="1"/>
  <c r="AW807" i="28"/>
  <c r="BD807" i="28" s="1"/>
  <c r="AV807" i="28"/>
  <c r="BC807" i="28" s="1"/>
  <c r="AU807" i="28"/>
  <c r="BB807" i="28" s="1"/>
  <c r="AT807" i="28"/>
  <c r="BA807" i="28" s="1"/>
  <c r="AX806" i="28"/>
  <c r="BE806" i="28" s="1"/>
  <c r="AW806" i="28"/>
  <c r="BD806" i="28" s="1"/>
  <c r="AV806" i="28"/>
  <c r="BC806" i="28" s="1"/>
  <c r="AU806" i="28"/>
  <c r="BB806" i="28" s="1"/>
  <c r="AT806" i="28"/>
  <c r="BA806" i="28" s="1"/>
  <c r="AY805" i="28"/>
  <c r="BF805" i="28" s="1"/>
  <c r="AX805" i="28"/>
  <c r="BE805" i="28" s="1"/>
  <c r="AW805" i="28"/>
  <c r="BD805" i="28" s="1"/>
  <c r="AV805" i="28"/>
  <c r="BC805" i="28" s="1"/>
  <c r="AU805" i="28"/>
  <c r="BB805" i="28" s="1"/>
  <c r="AT805" i="28"/>
  <c r="BA805" i="28" s="1"/>
  <c r="AY804" i="28"/>
  <c r="BF804" i="28" s="1"/>
  <c r="AX804" i="28"/>
  <c r="BE804" i="28" s="1"/>
  <c r="AW804" i="28"/>
  <c r="BD804" i="28" s="1"/>
  <c r="AV804" i="28"/>
  <c r="BC804" i="28" s="1"/>
  <c r="AU804" i="28"/>
  <c r="BB804" i="28" s="1"/>
  <c r="AT804" i="28"/>
  <c r="BA804" i="28" s="1"/>
  <c r="AX803" i="28"/>
  <c r="BE803" i="28" s="1"/>
  <c r="AW803" i="28"/>
  <c r="BD803" i="28" s="1"/>
  <c r="AV803" i="28"/>
  <c r="BC803" i="28" s="1"/>
  <c r="AU803" i="28"/>
  <c r="BB803" i="28" s="1"/>
  <c r="AT803" i="28"/>
  <c r="BA803" i="28" s="1"/>
  <c r="AY802" i="28"/>
  <c r="BF802" i="28" s="1"/>
  <c r="AX802" i="28"/>
  <c r="BE802" i="28" s="1"/>
  <c r="AW802" i="28"/>
  <c r="BD802" i="28" s="1"/>
  <c r="AV802" i="28"/>
  <c r="BC802" i="28" s="1"/>
  <c r="AU802" i="28"/>
  <c r="BB802" i="28" s="1"/>
  <c r="AT802" i="28"/>
  <c r="BA802" i="28" s="1"/>
  <c r="AY801" i="28"/>
  <c r="BF801" i="28" s="1"/>
  <c r="AX801" i="28"/>
  <c r="BE801" i="28" s="1"/>
  <c r="AW801" i="28"/>
  <c r="BD801" i="28" s="1"/>
  <c r="AV801" i="28"/>
  <c r="BC801" i="28" s="1"/>
  <c r="AU801" i="28"/>
  <c r="BB801" i="28" s="1"/>
  <c r="AT801" i="28"/>
  <c r="BA801" i="28" s="1"/>
  <c r="AX800" i="28"/>
  <c r="BE800" i="28" s="1"/>
  <c r="AW800" i="28"/>
  <c r="BD800" i="28" s="1"/>
  <c r="AV800" i="28"/>
  <c r="BC800" i="28" s="1"/>
  <c r="AU800" i="28"/>
  <c r="BB800" i="28" s="1"/>
  <c r="AT800" i="28"/>
  <c r="BA800" i="28" s="1"/>
  <c r="AX799" i="28"/>
  <c r="BE799" i="28" s="1"/>
  <c r="AW799" i="28"/>
  <c r="BD799" i="28" s="1"/>
  <c r="AV799" i="28"/>
  <c r="BC799" i="28" s="1"/>
  <c r="AU799" i="28"/>
  <c r="BB799" i="28" s="1"/>
  <c r="AT799" i="28"/>
  <c r="BA799" i="28" s="1"/>
  <c r="AX798" i="28"/>
  <c r="BE798" i="28" s="1"/>
  <c r="AW798" i="28"/>
  <c r="BD798" i="28" s="1"/>
  <c r="AV798" i="28"/>
  <c r="BC798" i="28" s="1"/>
  <c r="AU798" i="28"/>
  <c r="BB798" i="28" s="1"/>
  <c r="AT798" i="28"/>
  <c r="BA798" i="28" s="1"/>
  <c r="AY797" i="28"/>
  <c r="BF797" i="28" s="1"/>
  <c r="AX797" i="28"/>
  <c r="BE797" i="28" s="1"/>
  <c r="AW797" i="28"/>
  <c r="BD797" i="28" s="1"/>
  <c r="AV797" i="28"/>
  <c r="BC797" i="28" s="1"/>
  <c r="AU797" i="28"/>
  <c r="BB797" i="28" s="1"/>
  <c r="AT797" i="28"/>
  <c r="BA797" i="28" s="1"/>
  <c r="AY796" i="28"/>
  <c r="BF796" i="28" s="1"/>
  <c r="AX796" i="28"/>
  <c r="BE796" i="28" s="1"/>
  <c r="AW796" i="28"/>
  <c r="BD796" i="28" s="1"/>
  <c r="AV796" i="28"/>
  <c r="BC796" i="28" s="1"/>
  <c r="AU796" i="28"/>
  <c r="BB796" i="28" s="1"/>
  <c r="AT796" i="28"/>
  <c r="BA796" i="28" s="1"/>
  <c r="AX795" i="28"/>
  <c r="BE795" i="28" s="1"/>
  <c r="AW795" i="28"/>
  <c r="BD795" i="28" s="1"/>
  <c r="AV795" i="28"/>
  <c r="BC795" i="28" s="1"/>
  <c r="AU795" i="28"/>
  <c r="BB795" i="28" s="1"/>
  <c r="AT795" i="28"/>
  <c r="BA795" i="28" s="1"/>
  <c r="AY794" i="28"/>
  <c r="BF794" i="28" s="1"/>
  <c r="AX794" i="28"/>
  <c r="BE794" i="28" s="1"/>
  <c r="AW794" i="28"/>
  <c r="BD794" i="28" s="1"/>
  <c r="AV794" i="28"/>
  <c r="BC794" i="28" s="1"/>
  <c r="AU794" i="28"/>
  <c r="BB794" i="28" s="1"/>
  <c r="AT794" i="28"/>
  <c r="BA794" i="28" s="1"/>
  <c r="AY793" i="28"/>
  <c r="BF793" i="28" s="1"/>
  <c r="AX793" i="28"/>
  <c r="BE793" i="28" s="1"/>
  <c r="AW793" i="28"/>
  <c r="BD793" i="28" s="1"/>
  <c r="AV793" i="28"/>
  <c r="BC793" i="28" s="1"/>
  <c r="AU793" i="28"/>
  <c r="BB793" i="28" s="1"/>
  <c r="AT793" i="28"/>
  <c r="BA793" i="28" s="1"/>
  <c r="AX792" i="28"/>
  <c r="BE792" i="28" s="1"/>
  <c r="AW792" i="28"/>
  <c r="BD792" i="28" s="1"/>
  <c r="AV792" i="28"/>
  <c r="BC792" i="28" s="1"/>
  <c r="AU792" i="28"/>
  <c r="BB792" i="28" s="1"/>
  <c r="AT792" i="28"/>
  <c r="BA792" i="28" s="1"/>
  <c r="AY791" i="28"/>
  <c r="BF791" i="28" s="1"/>
  <c r="AX791" i="28"/>
  <c r="BE791" i="28" s="1"/>
  <c r="AW791" i="28"/>
  <c r="BD791" i="28" s="1"/>
  <c r="AV791" i="28"/>
  <c r="BC791" i="28" s="1"/>
  <c r="AU791" i="28"/>
  <c r="BB791" i="28" s="1"/>
  <c r="AT791" i="28"/>
  <c r="BA791" i="28" s="1"/>
  <c r="AX790" i="28"/>
  <c r="BE790" i="28" s="1"/>
  <c r="AW790" i="28"/>
  <c r="BD790" i="28" s="1"/>
  <c r="AV790" i="28"/>
  <c r="BC790" i="28" s="1"/>
  <c r="AU790" i="28"/>
  <c r="BB790" i="28" s="1"/>
  <c r="AT790" i="28"/>
  <c r="BA790" i="28" s="1"/>
  <c r="AY789" i="28"/>
  <c r="BF789" i="28" s="1"/>
  <c r="AX789" i="28"/>
  <c r="BE789" i="28" s="1"/>
  <c r="AW789" i="28"/>
  <c r="BD789" i="28" s="1"/>
  <c r="AV789" i="28"/>
  <c r="BC789" i="28" s="1"/>
  <c r="AU789" i="28"/>
  <c r="BB789" i="28" s="1"/>
  <c r="AT789" i="28"/>
  <c r="BA789" i="28" s="1"/>
  <c r="AY788" i="28"/>
  <c r="BF788" i="28" s="1"/>
  <c r="AX788" i="28"/>
  <c r="BE788" i="28" s="1"/>
  <c r="AW788" i="28"/>
  <c r="BD788" i="28" s="1"/>
  <c r="AV788" i="28"/>
  <c r="BC788" i="28" s="1"/>
  <c r="AU788" i="28"/>
  <c r="BB788" i="28" s="1"/>
  <c r="AT788" i="28"/>
  <c r="BA788" i="28" s="1"/>
  <c r="AY787" i="28"/>
  <c r="BF787" i="28" s="1"/>
  <c r="AX787" i="28"/>
  <c r="BE787" i="28" s="1"/>
  <c r="AW787" i="28"/>
  <c r="BD787" i="28" s="1"/>
  <c r="AV787" i="28"/>
  <c r="BC787" i="28" s="1"/>
  <c r="AU787" i="28"/>
  <c r="BB787" i="28" s="1"/>
  <c r="AT787" i="28"/>
  <c r="BA787" i="28" s="1"/>
  <c r="AY786" i="28"/>
  <c r="BF786" i="28" s="1"/>
  <c r="AX786" i="28"/>
  <c r="BE786" i="28" s="1"/>
  <c r="AW786" i="28"/>
  <c r="BD786" i="28" s="1"/>
  <c r="AV786" i="28"/>
  <c r="BC786" i="28" s="1"/>
  <c r="AU786" i="28"/>
  <c r="BB786" i="28" s="1"/>
  <c r="AT786" i="28"/>
  <c r="BA786" i="28" s="1"/>
  <c r="AY785" i="28"/>
  <c r="BF785" i="28" s="1"/>
  <c r="AX785" i="28"/>
  <c r="BE785" i="28" s="1"/>
  <c r="AW785" i="28"/>
  <c r="BD785" i="28" s="1"/>
  <c r="AV785" i="28"/>
  <c r="BC785" i="28" s="1"/>
  <c r="AU785" i="28"/>
  <c r="BB785" i="28" s="1"/>
  <c r="AT785" i="28"/>
  <c r="BA785" i="28" s="1"/>
  <c r="AX784" i="28"/>
  <c r="BE784" i="28" s="1"/>
  <c r="AW784" i="28"/>
  <c r="BD784" i="28" s="1"/>
  <c r="AV784" i="28"/>
  <c r="BC784" i="28" s="1"/>
  <c r="AU784" i="28"/>
  <c r="BB784" i="28" s="1"/>
  <c r="AT784" i="28"/>
  <c r="BA784" i="28" s="1"/>
  <c r="AX783" i="28"/>
  <c r="BE783" i="28" s="1"/>
  <c r="AW783" i="28"/>
  <c r="BD783" i="28" s="1"/>
  <c r="AV783" i="28"/>
  <c r="BC783" i="28" s="1"/>
  <c r="AU783" i="28"/>
  <c r="BB783" i="28" s="1"/>
  <c r="AT783" i="28"/>
  <c r="BA783" i="28" s="1"/>
  <c r="AX782" i="28"/>
  <c r="BE782" i="28" s="1"/>
  <c r="AW782" i="28"/>
  <c r="BD782" i="28" s="1"/>
  <c r="AV782" i="28"/>
  <c r="BC782" i="28" s="1"/>
  <c r="AU782" i="28"/>
  <c r="BB782" i="28" s="1"/>
  <c r="AT782" i="28"/>
  <c r="BA782" i="28" s="1"/>
  <c r="AY781" i="28"/>
  <c r="BF781" i="28" s="1"/>
  <c r="AX781" i="28"/>
  <c r="BE781" i="28" s="1"/>
  <c r="AW781" i="28"/>
  <c r="BD781" i="28" s="1"/>
  <c r="AV781" i="28"/>
  <c r="BC781" i="28" s="1"/>
  <c r="AU781" i="28"/>
  <c r="BB781" i="28" s="1"/>
  <c r="AT781" i="28"/>
  <c r="BA781" i="28" s="1"/>
  <c r="AY780" i="28"/>
  <c r="BF780" i="28" s="1"/>
  <c r="AX780" i="28"/>
  <c r="BE780" i="28" s="1"/>
  <c r="AW780" i="28"/>
  <c r="BD780" i="28" s="1"/>
  <c r="AV780" i="28"/>
  <c r="BC780" i="28" s="1"/>
  <c r="AU780" i="28"/>
  <c r="BB780" i="28" s="1"/>
  <c r="AT780" i="28"/>
  <c r="BA780" i="28" s="1"/>
  <c r="AY779" i="28"/>
  <c r="BF779" i="28" s="1"/>
  <c r="AX779" i="28"/>
  <c r="BE779" i="28" s="1"/>
  <c r="AW779" i="28"/>
  <c r="BD779" i="28" s="1"/>
  <c r="AV779" i="28"/>
  <c r="BC779" i="28" s="1"/>
  <c r="AU779" i="28"/>
  <c r="BB779" i="28" s="1"/>
  <c r="AT779" i="28"/>
  <c r="BA779" i="28" s="1"/>
  <c r="AY778" i="28"/>
  <c r="BF778" i="28" s="1"/>
  <c r="AX778" i="28"/>
  <c r="BE778" i="28" s="1"/>
  <c r="AW778" i="28"/>
  <c r="BD778" i="28" s="1"/>
  <c r="AV778" i="28"/>
  <c r="BC778" i="28" s="1"/>
  <c r="AU778" i="28"/>
  <c r="BB778" i="28" s="1"/>
  <c r="AT778" i="28"/>
  <c r="BA778" i="28" s="1"/>
  <c r="AY777" i="28"/>
  <c r="BF777" i="28" s="1"/>
  <c r="AX777" i="28"/>
  <c r="BE777" i="28" s="1"/>
  <c r="AW777" i="28"/>
  <c r="BD777" i="28" s="1"/>
  <c r="AV777" i="28"/>
  <c r="BC777" i="28" s="1"/>
  <c r="AU777" i="28"/>
  <c r="BB777" i="28" s="1"/>
  <c r="AT777" i="28"/>
  <c r="BA777" i="28" s="1"/>
  <c r="AX776" i="28"/>
  <c r="BE776" i="28" s="1"/>
  <c r="AW776" i="28"/>
  <c r="BD776" i="28" s="1"/>
  <c r="AV776" i="28"/>
  <c r="BC776" i="28" s="1"/>
  <c r="AU776" i="28"/>
  <c r="BB776" i="28" s="1"/>
  <c r="AT776" i="28"/>
  <c r="BA776" i="28" s="1"/>
  <c r="AX775" i="28"/>
  <c r="BE775" i="28" s="1"/>
  <c r="AW775" i="28"/>
  <c r="BD775" i="28" s="1"/>
  <c r="AV775" i="28"/>
  <c r="BC775" i="28" s="1"/>
  <c r="AU775" i="28"/>
  <c r="BB775" i="28" s="1"/>
  <c r="AT775" i="28"/>
  <c r="BA775" i="28" s="1"/>
  <c r="AX774" i="28"/>
  <c r="BE774" i="28" s="1"/>
  <c r="AW774" i="28"/>
  <c r="BD774" i="28" s="1"/>
  <c r="AV774" i="28"/>
  <c r="BC774" i="28" s="1"/>
  <c r="AU774" i="28"/>
  <c r="BB774" i="28" s="1"/>
  <c r="AT774" i="28"/>
  <c r="BA774" i="28" s="1"/>
  <c r="AY773" i="28"/>
  <c r="BF773" i="28" s="1"/>
  <c r="AX773" i="28"/>
  <c r="BE773" i="28" s="1"/>
  <c r="AW773" i="28"/>
  <c r="BD773" i="28" s="1"/>
  <c r="AV773" i="28"/>
  <c r="BC773" i="28" s="1"/>
  <c r="AU773" i="28"/>
  <c r="BB773" i="28" s="1"/>
  <c r="AT773" i="28"/>
  <c r="BA773" i="28" s="1"/>
  <c r="AY772" i="28"/>
  <c r="BF772" i="28" s="1"/>
  <c r="AX772" i="28"/>
  <c r="BE772" i="28" s="1"/>
  <c r="AW772" i="28"/>
  <c r="BD772" i="28" s="1"/>
  <c r="AV772" i="28"/>
  <c r="BC772" i="28" s="1"/>
  <c r="AU772" i="28"/>
  <c r="BB772" i="28" s="1"/>
  <c r="AT772" i="28"/>
  <c r="BA772" i="28" s="1"/>
  <c r="AY771" i="28"/>
  <c r="BF771" i="28" s="1"/>
  <c r="AX771" i="28"/>
  <c r="BE771" i="28" s="1"/>
  <c r="AW771" i="28"/>
  <c r="BD771" i="28" s="1"/>
  <c r="AV771" i="28"/>
  <c r="BC771" i="28" s="1"/>
  <c r="AU771" i="28"/>
  <c r="BB771" i="28" s="1"/>
  <c r="AT771" i="28"/>
  <c r="BA771" i="28" s="1"/>
  <c r="AY770" i="28"/>
  <c r="BF770" i="28" s="1"/>
  <c r="AX770" i="28"/>
  <c r="BE770" i="28" s="1"/>
  <c r="AW770" i="28"/>
  <c r="BD770" i="28" s="1"/>
  <c r="AV770" i="28"/>
  <c r="BC770" i="28" s="1"/>
  <c r="AU770" i="28"/>
  <c r="BB770" i="28" s="1"/>
  <c r="AT770" i="28"/>
  <c r="BA770" i="28" s="1"/>
  <c r="AY769" i="28"/>
  <c r="BF769" i="28" s="1"/>
  <c r="AX769" i="28"/>
  <c r="BE769" i="28" s="1"/>
  <c r="AW769" i="28"/>
  <c r="BD769" i="28" s="1"/>
  <c r="AV769" i="28"/>
  <c r="BC769" i="28" s="1"/>
  <c r="AU769" i="28"/>
  <c r="BB769" i="28" s="1"/>
  <c r="AT769" i="28"/>
  <c r="BA769" i="28" s="1"/>
  <c r="AX768" i="28"/>
  <c r="BE768" i="28" s="1"/>
  <c r="AW768" i="28"/>
  <c r="BD768" i="28" s="1"/>
  <c r="AV768" i="28"/>
  <c r="BC768" i="28" s="1"/>
  <c r="AU768" i="28"/>
  <c r="BB768" i="28" s="1"/>
  <c r="AT768" i="28"/>
  <c r="BA768" i="28" s="1"/>
  <c r="AX767" i="28"/>
  <c r="BE767" i="28" s="1"/>
  <c r="AW767" i="28"/>
  <c r="BD767" i="28" s="1"/>
  <c r="AV767" i="28"/>
  <c r="BC767" i="28" s="1"/>
  <c r="AU767" i="28"/>
  <c r="BB767" i="28" s="1"/>
  <c r="AT767" i="28"/>
  <c r="BA767" i="28" s="1"/>
  <c r="AX766" i="28"/>
  <c r="BE766" i="28" s="1"/>
  <c r="AW766" i="28"/>
  <c r="BD766" i="28" s="1"/>
  <c r="AV766" i="28"/>
  <c r="BC766" i="28" s="1"/>
  <c r="AU766" i="28"/>
  <c r="BB766" i="28" s="1"/>
  <c r="AT766" i="28"/>
  <c r="BA766" i="28" s="1"/>
  <c r="AY765" i="28"/>
  <c r="BF765" i="28" s="1"/>
  <c r="AX765" i="28"/>
  <c r="BE765" i="28" s="1"/>
  <c r="AW765" i="28"/>
  <c r="BD765" i="28" s="1"/>
  <c r="AV765" i="28"/>
  <c r="BC765" i="28" s="1"/>
  <c r="AU765" i="28"/>
  <c r="BB765" i="28" s="1"/>
  <c r="AT765" i="28"/>
  <c r="BA765" i="28" s="1"/>
  <c r="AY764" i="28"/>
  <c r="BF764" i="28" s="1"/>
  <c r="AX764" i="28"/>
  <c r="BE764" i="28" s="1"/>
  <c r="AW764" i="28"/>
  <c r="BD764" i="28" s="1"/>
  <c r="AV764" i="28"/>
  <c r="BC764" i="28" s="1"/>
  <c r="AU764" i="28"/>
  <c r="BB764" i="28" s="1"/>
  <c r="AT764" i="28"/>
  <c r="BA764" i="28" s="1"/>
  <c r="AY763" i="28"/>
  <c r="BF763" i="28" s="1"/>
  <c r="AX763" i="28"/>
  <c r="BE763" i="28" s="1"/>
  <c r="AW763" i="28"/>
  <c r="BD763" i="28" s="1"/>
  <c r="AV763" i="28"/>
  <c r="BC763" i="28" s="1"/>
  <c r="AU763" i="28"/>
  <c r="BB763" i="28" s="1"/>
  <c r="AT763" i="28"/>
  <c r="BA763" i="28" s="1"/>
  <c r="AY762" i="28"/>
  <c r="BF762" i="28" s="1"/>
  <c r="AX762" i="28"/>
  <c r="BE762" i="28" s="1"/>
  <c r="AW762" i="28"/>
  <c r="BD762" i="28" s="1"/>
  <c r="AV762" i="28"/>
  <c r="BC762" i="28" s="1"/>
  <c r="AU762" i="28"/>
  <c r="BB762" i="28" s="1"/>
  <c r="AT762" i="28"/>
  <c r="BA762" i="28" s="1"/>
  <c r="AY761" i="28"/>
  <c r="BF761" i="28" s="1"/>
  <c r="AX761" i="28"/>
  <c r="BE761" i="28" s="1"/>
  <c r="AW761" i="28"/>
  <c r="BD761" i="28" s="1"/>
  <c r="AV761" i="28"/>
  <c r="BC761" i="28" s="1"/>
  <c r="AU761" i="28"/>
  <c r="BB761" i="28" s="1"/>
  <c r="AT761" i="28"/>
  <c r="BA761" i="28" s="1"/>
  <c r="AX760" i="28"/>
  <c r="BE760" i="28" s="1"/>
  <c r="AW760" i="28"/>
  <c r="BD760" i="28" s="1"/>
  <c r="AV760" i="28"/>
  <c r="BC760" i="28" s="1"/>
  <c r="AU760" i="28"/>
  <c r="BB760" i="28" s="1"/>
  <c r="AT760" i="28"/>
  <c r="BA760" i="28" s="1"/>
  <c r="AX759" i="28"/>
  <c r="BE759" i="28" s="1"/>
  <c r="AW759" i="28"/>
  <c r="BD759" i="28" s="1"/>
  <c r="AV759" i="28"/>
  <c r="BC759" i="28" s="1"/>
  <c r="AU759" i="28"/>
  <c r="BB759" i="28" s="1"/>
  <c r="AT759" i="28"/>
  <c r="BA759" i="28" s="1"/>
  <c r="AX758" i="28"/>
  <c r="BE758" i="28" s="1"/>
  <c r="AW758" i="28"/>
  <c r="BD758" i="28" s="1"/>
  <c r="AV758" i="28"/>
  <c r="BC758" i="28" s="1"/>
  <c r="AU758" i="28"/>
  <c r="BB758" i="28" s="1"/>
  <c r="AT758" i="28"/>
  <c r="BA758" i="28" s="1"/>
  <c r="AY757" i="28"/>
  <c r="BF757" i="28" s="1"/>
  <c r="AX757" i="28"/>
  <c r="BE757" i="28" s="1"/>
  <c r="AW757" i="28"/>
  <c r="BD757" i="28" s="1"/>
  <c r="AV757" i="28"/>
  <c r="BC757" i="28" s="1"/>
  <c r="AU757" i="28"/>
  <c r="BB757" i="28" s="1"/>
  <c r="AT757" i="28"/>
  <c r="BA757" i="28" s="1"/>
  <c r="AY756" i="28"/>
  <c r="BF756" i="28" s="1"/>
  <c r="AX756" i="28"/>
  <c r="BE756" i="28" s="1"/>
  <c r="AW756" i="28"/>
  <c r="BD756" i="28" s="1"/>
  <c r="AV756" i="28"/>
  <c r="BC756" i="28" s="1"/>
  <c r="AU756" i="28"/>
  <c r="BB756" i="28" s="1"/>
  <c r="AT756" i="28"/>
  <c r="BA756" i="28" s="1"/>
  <c r="AY755" i="28"/>
  <c r="BF755" i="28" s="1"/>
  <c r="AX755" i="28"/>
  <c r="BE755" i="28" s="1"/>
  <c r="AW755" i="28"/>
  <c r="BD755" i="28" s="1"/>
  <c r="AV755" i="28"/>
  <c r="BC755" i="28" s="1"/>
  <c r="AU755" i="28"/>
  <c r="BB755" i="28" s="1"/>
  <c r="AT755" i="28"/>
  <c r="BA755" i="28" s="1"/>
  <c r="AY754" i="28"/>
  <c r="BF754" i="28" s="1"/>
  <c r="AX754" i="28"/>
  <c r="BE754" i="28" s="1"/>
  <c r="AW754" i="28"/>
  <c r="BD754" i="28" s="1"/>
  <c r="AV754" i="28"/>
  <c r="BC754" i="28" s="1"/>
  <c r="AU754" i="28"/>
  <c r="BB754" i="28" s="1"/>
  <c r="AT754" i="28"/>
  <c r="BA754" i="28" s="1"/>
  <c r="AY753" i="28"/>
  <c r="BF753" i="28" s="1"/>
  <c r="AX753" i="28"/>
  <c r="BE753" i="28" s="1"/>
  <c r="AW753" i="28"/>
  <c r="BD753" i="28" s="1"/>
  <c r="AV753" i="28"/>
  <c r="BC753" i="28" s="1"/>
  <c r="AU753" i="28"/>
  <c r="BB753" i="28" s="1"/>
  <c r="AT753" i="28"/>
  <c r="BA753" i="28" s="1"/>
  <c r="AX752" i="28"/>
  <c r="BE752" i="28" s="1"/>
  <c r="AW752" i="28"/>
  <c r="BD752" i="28" s="1"/>
  <c r="AV752" i="28"/>
  <c r="BC752" i="28" s="1"/>
  <c r="AU752" i="28"/>
  <c r="BB752" i="28" s="1"/>
  <c r="AT752" i="28"/>
  <c r="BA752" i="28" s="1"/>
  <c r="AX751" i="28"/>
  <c r="BE751" i="28" s="1"/>
  <c r="AW751" i="28"/>
  <c r="BD751" i="28" s="1"/>
  <c r="AV751" i="28"/>
  <c r="BC751" i="28" s="1"/>
  <c r="AU751" i="28"/>
  <c r="BB751" i="28" s="1"/>
  <c r="AT751" i="28"/>
  <c r="BA751" i="28" s="1"/>
  <c r="AX750" i="28"/>
  <c r="BE750" i="28" s="1"/>
  <c r="AW750" i="28"/>
  <c r="BD750" i="28" s="1"/>
  <c r="AV750" i="28"/>
  <c r="BC750" i="28" s="1"/>
  <c r="AU750" i="28"/>
  <c r="BB750" i="28" s="1"/>
  <c r="AT750" i="28"/>
  <c r="BA750" i="28" s="1"/>
  <c r="AY749" i="28"/>
  <c r="BF749" i="28" s="1"/>
  <c r="AX749" i="28"/>
  <c r="BE749" i="28" s="1"/>
  <c r="AW749" i="28"/>
  <c r="BD749" i="28" s="1"/>
  <c r="AV749" i="28"/>
  <c r="BC749" i="28" s="1"/>
  <c r="AU749" i="28"/>
  <c r="BB749" i="28" s="1"/>
  <c r="AT749" i="28"/>
  <c r="BA749" i="28" s="1"/>
  <c r="AY748" i="28"/>
  <c r="BF748" i="28" s="1"/>
  <c r="AX748" i="28"/>
  <c r="BE748" i="28" s="1"/>
  <c r="AW748" i="28"/>
  <c r="BD748" i="28" s="1"/>
  <c r="AV748" i="28"/>
  <c r="BC748" i="28" s="1"/>
  <c r="AU748" i="28"/>
  <c r="BB748" i="28" s="1"/>
  <c r="AT748" i="28"/>
  <c r="BA748" i="28" s="1"/>
  <c r="AY747" i="28"/>
  <c r="BF747" i="28" s="1"/>
  <c r="AX747" i="28"/>
  <c r="BE747" i="28" s="1"/>
  <c r="AW747" i="28"/>
  <c r="BD747" i="28" s="1"/>
  <c r="AV747" i="28"/>
  <c r="BC747" i="28" s="1"/>
  <c r="AU747" i="28"/>
  <c r="BB747" i="28" s="1"/>
  <c r="AT747" i="28"/>
  <c r="BA747" i="28" s="1"/>
  <c r="AY746" i="28"/>
  <c r="BF746" i="28" s="1"/>
  <c r="AX746" i="28"/>
  <c r="BE746" i="28" s="1"/>
  <c r="AW746" i="28"/>
  <c r="BD746" i="28" s="1"/>
  <c r="AV746" i="28"/>
  <c r="BC746" i="28" s="1"/>
  <c r="AU746" i="28"/>
  <c r="BB746" i="28" s="1"/>
  <c r="AT746" i="28"/>
  <c r="BA746" i="28" s="1"/>
  <c r="AY745" i="28"/>
  <c r="BF745" i="28" s="1"/>
  <c r="AX745" i="28"/>
  <c r="BE745" i="28" s="1"/>
  <c r="AW745" i="28"/>
  <c r="BD745" i="28" s="1"/>
  <c r="AV745" i="28"/>
  <c r="BC745" i="28" s="1"/>
  <c r="AU745" i="28"/>
  <c r="BB745" i="28" s="1"/>
  <c r="AT745" i="28"/>
  <c r="BA745" i="28" s="1"/>
  <c r="AX744" i="28"/>
  <c r="BE744" i="28" s="1"/>
  <c r="AW744" i="28"/>
  <c r="BD744" i="28" s="1"/>
  <c r="AV744" i="28"/>
  <c r="BC744" i="28" s="1"/>
  <c r="AU744" i="28"/>
  <c r="BB744" i="28" s="1"/>
  <c r="AT744" i="28"/>
  <c r="BA744" i="28" s="1"/>
  <c r="AX743" i="28"/>
  <c r="BE743" i="28" s="1"/>
  <c r="AW743" i="28"/>
  <c r="BD743" i="28" s="1"/>
  <c r="AV743" i="28"/>
  <c r="BC743" i="28" s="1"/>
  <c r="AU743" i="28"/>
  <c r="BB743" i="28" s="1"/>
  <c r="AT743" i="28"/>
  <c r="BA743" i="28" s="1"/>
  <c r="AY742" i="28"/>
  <c r="BF742" i="28" s="1"/>
  <c r="AX742" i="28"/>
  <c r="BE742" i="28" s="1"/>
  <c r="AW742" i="28"/>
  <c r="BD742" i="28" s="1"/>
  <c r="AV742" i="28"/>
  <c r="BC742" i="28" s="1"/>
  <c r="AU742" i="28"/>
  <c r="BB742" i="28" s="1"/>
  <c r="AT742" i="28"/>
  <c r="BA742" i="28" s="1"/>
  <c r="AY741" i="28"/>
  <c r="BF741" i="28" s="1"/>
  <c r="AX741" i="28"/>
  <c r="BE741" i="28" s="1"/>
  <c r="AW741" i="28"/>
  <c r="BD741" i="28" s="1"/>
  <c r="AV741" i="28"/>
  <c r="BC741" i="28" s="1"/>
  <c r="AU741" i="28"/>
  <c r="BB741" i="28" s="1"/>
  <c r="AT741" i="28"/>
  <c r="BA741" i="28" s="1"/>
  <c r="AY740" i="28"/>
  <c r="BF740" i="28" s="1"/>
  <c r="AX740" i="28"/>
  <c r="BE740" i="28" s="1"/>
  <c r="AW740" i="28"/>
  <c r="BD740" i="28" s="1"/>
  <c r="AV740" i="28"/>
  <c r="BC740" i="28" s="1"/>
  <c r="AU740" i="28"/>
  <c r="BB740" i="28" s="1"/>
  <c r="AT740" i="28"/>
  <c r="BA740" i="28" s="1"/>
  <c r="AY739" i="28"/>
  <c r="BF739" i="28" s="1"/>
  <c r="AX739" i="28"/>
  <c r="BE739" i="28" s="1"/>
  <c r="AW739" i="28"/>
  <c r="BD739" i="28" s="1"/>
  <c r="AV739" i="28"/>
  <c r="BC739" i="28" s="1"/>
  <c r="AU739" i="28"/>
  <c r="BB739" i="28" s="1"/>
  <c r="AT739" i="28"/>
  <c r="BA739" i="28" s="1"/>
  <c r="AY738" i="28"/>
  <c r="BF738" i="28" s="1"/>
  <c r="AX738" i="28"/>
  <c r="BE738" i="28" s="1"/>
  <c r="AW738" i="28"/>
  <c r="BD738" i="28" s="1"/>
  <c r="AV738" i="28"/>
  <c r="BC738" i="28" s="1"/>
  <c r="AU738" i="28"/>
  <c r="BB738" i="28" s="1"/>
  <c r="AT738" i="28"/>
  <c r="BA738" i="28" s="1"/>
  <c r="AY737" i="28"/>
  <c r="BF737" i="28" s="1"/>
  <c r="AX737" i="28"/>
  <c r="BE737" i="28" s="1"/>
  <c r="AW737" i="28"/>
  <c r="BD737" i="28" s="1"/>
  <c r="AV737" i="28"/>
  <c r="BC737" i="28" s="1"/>
  <c r="AU737" i="28"/>
  <c r="BB737" i="28" s="1"/>
  <c r="AT737" i="28"/>
  <c r="BA737" i="28" s="1"/>
  <c r="AX736" i="28"/>
  <c r="BE736" i="28" s="1"/>
  <c r="AW736" i="28"/>
  <c r="BD736" i="28" s="1"/>
  <c r="AV736" i="28"/>
  <c r="BC736" i="28" s="1"/>
  <c r="AU736" i="28"/>
  <c r="BB736" i="28" s="1"/>
  <c r="AT736" i="28"/>
  <c r="BA736" i="28" s="1"/>
  <c r="AX735" i="28"/>
  <c r="BE735" i="28" s="1"/>
  <c r="AW735" i="28"/>
  <c r="BD735" i="28" s="1"/>
  <c r="AV735" i="28"/>
  <c r="BC735" i="28" s="1"/>
  <c r="AU735" i="28"/>
  <c r="BB735" i="28" s="1"/>
  <c r="AT735" i="28"/>
  <c r="BA735" i="28" s="1"/>
  <c r="BF734" i="28"/>
  <c r="AX734" i="28"/>
  <c r="BE734" i="28" s="1"/>
  <c r="AW734" i="28"/>
  <c r="BD734" i="28" s="1"/>
  <c r="AV734" i="28"/>
  <c r="BC734" i="28" s="1"/>
  <c r="AU734" i="28"/>
  <c r="BB734" i="28" s="1"/>
  <c r="AT734" i="28"/>
  <c r="BA734" i="28" s="1"/>
  <c r="AY733" i="28"/>
  <c r="BF733" i="28" s="1"/>
  <c r="AX733" i="28"/>
  <c r="BE733" i="28" s="1"/>
  <c r="AW733" i="28"/>
  <c r="BD733" i="28" s="1"/>
  <c r="AV733" i="28"/>
  <c r="BC733" i="28" s="1"/>
  <c r="AU733" i="28"/>
  <c r="BB733" i="28" s="1"/>
  <c r="AT733" i="28"/>
  <c r="BA733" i="28" s="1"/>
  <c r="AY732" i="28"/>
  <c r="BF732" i="28" s="1"/>
  <c r="AX732" i="28"/>
  <c r="BE732" i="28" s="1"/>
  <c r="AW732" i="28"/>
  <c r="BD732" i="28" s="1"/>
  <c r="AV732" i="28"/>
  <c r="BC732" i="28" s="1"/>
  <c r="AU732" i="28"/>
  <c r="BB732" i="28" s="1"/>
  <c r="AT732" i="28"/>
  <c r="BA732" i="28" s="1"/>
  <c r="AY731" i="28"/>
  <c r="BF731" i="28" s="1"/>
  <c r="AX731" i="28"/>
  <c r="BE731" i="28" s="1"/>
  <c r="AW731" i="28"/>
  <c r="BD731" i="28" s="1"/>
  <c r="AV731" i="28"/>
  <c r="BC731" i="28" s="1"/>
  <c r="AU731" i="28"/>
  <c r="BB731" i="28" s="1"/>
  <c r="AT731" i="28"/>
  <c r="BA731" i="28" s="1"/>
  <c r="AY730" i="28"/>
  <c r="BF730" i="28" s="1"/>
  <c r="AX730" i="28"/>
  <c r="BE730" i="28" s="1"/>
  <c r="AW730" i="28"/>
  <c r="BD730" i="28" s="1"/>
  <c r="AV730" i="28"/>
  <c r="BC730" i="28" s="1"/>
  <c r="AU730" i="28"/>
  <c r="BB730" i="28" s="1"/>
  <c r="AT730" i="28"/>
  <c r="BA730" i="28" s="1"/>
  <c r="AY729" i="28"/>
  <c r="BF729" i="28" s="1"/>
  <c r="AX729" i="28"/>
  <c r="BE729" i="28" s="1"/>
  <c r="AW729" i="28"/>
  <c r="BD729" i="28" s="1"/>
  <c r="AV729" i="28"/>
  <c r="BC729" i="28" s="1"/>
  <c r="AU729" i="28"/>
  <c r="BB729" i="28" s="1"/>
  <c r="AT729" i="28"/>
  <c r="BA729" i="28" s="1"/>
  <c r="AX728" i="28"/>
  <c r="BE728" i="28" s="1"/>
  <c r="AW728" i="28"/>
  <c r="BD728" i="28" s="1"/>
  <c r="AV728" i="28"/>
  <c r="BC728" i="28" s="1"/>
  <c r="AU728" i="28"/>
  <c r="BB728" i="28" s="1"/>
  <c r="AT728" i="28"/>
  <c r="BA728" i="28" s="1"/>
  <c r="AX727" i="28"/>
  <c r="BE727" i="28" s="1"/>
  <c r="AW727" i="28"/>
  <c r="BD727" i="28" s="1"/>
  <c r="AV727" i="28"/>
  <c r="BC727" i="28" s="1"/>
  <c r="AU727" i="28"/>
  <c r="BB727" i="28" s="1"/>
  <c r="AT727" i="28"/>
  <c r="BA727" i="28" s="1"/>
  <c r="AX726" i="28"/>
  <c r="BE726" i="28" s="1"/>
  <c r="AW726" i="28"/>
  <c r="BD726" i="28" s="1"/>
  <c r="AV726" i="28"/>
  <c r="BC726" i="28" s="1"/>
  <c r="AU726" i="28"/>
  <c r="BB726" i="28" s="1"/>
  <c r="AT726" i="28"/>
  <c r="BA726" i="28" s="1"/>
  <c r="AY725" i="28"/>
  <c r="BF725" i="28" s="1"/>
  <c r="AX725" i="28"/>
  <c r="BE725" i="28" s="1"/>
  <c r="AW725" i="28"/>
  <c r="BD725" i="28" s="1"/>
  <c r="AV725" i="28"/>
  <c r="BC725" i="28" s="1"/>
  <c r="AU725" i="28"/>
  <c r="BB725" i="28" s="1"/>
  <c r="AT725" i="28"/>
  <c r="BA725" i="28" s="1"/>
  <c r="AY724" i="28"/>
  <c r="BF724" i="28" s="1"/>
  <c r="AX724" i="28"/>
  <c r="BE724" i="28" s="1"/>
  <c r="AW724" i="28"/>
  <c r="BD724" i="28" s="1"/>
  <c r="AV724" i="28"/>
  <c r="BC724" i="28" s="1"/>
  <c r="AU724" i="28"/>
  <c r="BB724" i="28" s="1"/>
  <c r="AT724" i="28"/>
  <c r="BA724" i="28" s="1"/>
  <c r="AY723" i="28"/>
  <c r="BF723" i="28" s="1"/>
  <c r="AX723" i="28"/>
  <c r="BE723" i="28" s="1"/>
  <c r="AW723" i="28"/>
  <c r="BD723" i="28" s="1"/>
  <c r="AV723" i="28"/>
  <c r="BC723" i="28" s="1"/>
  <c r="AU723" i="28"/>
  <c r="BB723" i="28" s="1"/>
  <c r="AT723" i="28"/>
  <c r="BA723" i="28" s="1"/>
  <c r="AY722" i="28"/>
  <c r="BF722" i="28" s="1"/>
  <c r="AX722" i="28"/>
  <c r="BE722" i="28" s="1"/>
  <c r="AW722" i="28"/>
  <c r="BD722" i="28" s="1"/>
  <c r="AV722" i="28"/>
  <c r="BC722" i="28" s="1"/>
  <c r="AU722" i="28"/>
  <c r="BB722" i="28" s="1"/>
  <c r="AT722" i="28"/>
  <c r="BA722" i="28" s="1"/>
  <c r="AY721" i="28"/>
  <c r="BF721" i="28" s="1"/>
  <c r="AX721" i="28"/>
  <c r="BE721" i="28" s="1"/>
  <c r="AW721" i="28"/>
  <c r="BD721" i="28" s="1"/>
  <c r="AV721" i="28"/>
  <c r="BC721" i="28" s="1"/>
  <c r="AU721" i="28"/>
  <c r="BB721" i="28" s="1"/>
  <c r="AT721" i="28"/>
  <c r="BA721" i="28" s="1"/>
  <c r="AX720" i="28"/>
  <c r="BE720" i="28" s="1"/>
  <c r="AW720" i="28"/>
  <c r="BD720" i="28" s="1"/>
  <c r="AV720" i="28"/>
  <c r="BC720" i="28" s="1"/>
  <c r="AU720" i="28"/>
  <c r="BB720" i="28" s="1"/>
  <c r="AT720" i="28"/>
  <c r="BA720" i="28" s="1"/>
  <c r="AY719" i="28"/>
  <c r="BF719" i="28" s="1"/>
  <c r="AX719" i="28"/>
  <c r="BE719" i="28" s="1"/>
  <c r="AW719" i="28"/>
  <c r="BD719" i="28" s="1"/>
  <c r="AV719" i="28"/>
  <c r="BC719" i="28" s="1"/>
  <c r="AU719" i="28"/>
  <c r="BB719" i="28" s="1"/>
  <c r="AT719" i="28"/>
  <c r="BA719" i="28" s="1"/>
  <c r="AX718" i="28"/>
  <c r="BE718" i="28" s="1"/>
  <c r="AW718" i="28"/>
  <c r="BD718" i="28" s="1"/>
  <c r="AV718" i="28"/>
  <c r="BC718" i="28" s="1"/>
  <c r="AU718" i="28"/>
  <c r="BB718" i="28" s="1"/>
  <c r="AT718" i="28"/>
  <c r="BA718" i="28" s="1"/>
  <c r="AY717" i="28"/>
  <c r="BF717" i="28" s="1"/>
  <c r="AX717" i="28"/>
  <c r="BE717" i="28" s="1"/>
  <c r="AW717" i="28"/>
  <c r="BD717" i="28" s="1"/>
  <c r="AV717" i="28"/>
  <c r="BC717" i="28" s="1"/>
  <c r="AU717" i="28"/>
  <c r="BB717" i="28" s="1"/>
  <c r="AT717" i="28"/>
  <c r="BA717" i="28" s="1"/>
  <c r="AY716" i="28"/>
  <c r="BF716" i="28" s="1"/>
  <c r="AX716" i="28"/>
  <c r="BE716" i="28" s="1"/>
  <c r="AW716" i="28"/>
  <c r="BD716" i="28" s="1"/>
  <c r="AV716" i="28"/>
  <c r="BC716" i="28" s="1"/>
  <c r="AU716" i="28"/>
  <c r="BB716" i="28" s="1"/>
  <c r="AT716" i="28"/>
  <c r="BA716" i="28" s="1"/>
  <c r="AY715" i="28"/>
  <c r="BF715" i="28" s="1"/>
  <c r="AX715" i="28"/>
  <c r="BE715" i="28" s="1"/>
  <c r="AW715" i="28"/>
  <c r="BD715" i="28" s="1"/>
  <c r="AV715" i="28"/>
  <c r="BC715" i="28" s="1"/>
  <c r="AU715" i="28"/>
  <c r="BB715" i="28" s="1"/>
  <c r="AT715" i="28"/>
  <c r="BA715" i="28" s="1"/>
  <c r="AY714" i="28"/>
  <c r="BF714" i="28" s="1"/>
  <c r="AX714" i="28"/>
  <c r="BE714" i="28" s="1"/>
  <c r="AW714" i="28"/>
  <c r="BD714" i="28" s="1"/>
  <c r="AV714" i="28"/>
  <c r="BC714" i="28" s="1"/>
  <c r="AU714" i="28"/>
  <c r="BB714" i="28" s="1"/>
  <c r="AT714" i="28"/>
  <c r="BA714" i="28" s="1"/>
  <c r="AY713" i="28"/>
  <c r="BF713" i="28" s="1"/>
  <c r="AX713" i="28"/>
  <c r="BE713" i="28" s="1"/>
  <c r="AW713" i="28"/>
  <c r="BD713" i="28" s="1"/>
  <c r="AV713" i="28"/>
  <c r="BC713" i="28" s="1"/>
  <c r="AU713" i="28"/>
  <c r="BB713" i="28" s="1"/>
  <c r="AT713" i="28"/>
  <c r="BA713" i="28" s="1"/>
  <c r="AX712" i="28"/>
  <c r="BE712" i="28" s="1"/>
  <c r="AW712" i="28"/>
  <c r="BD712" i="28" s="1"/>
  <c r="AV712" i="28"/>
  <c r="BC712" i="28" s="1"/>
  <c r="AU712" i="28"/>
  <c r="BB712" i="28" s="1"/>
  <c r="AT712" i="28"/>
  <c r="BA712" i="28" s="1"/>
  <c r="AX711" i="28"/>
  <c r="BE711" i="28" s="1"/>
  <c r="AW711" i="28"/>
  <c r="BD711" i="28" s="1"/>
  <c r="AV711" i="28"/>
  <c r="BC711" i="28" s="1"/>
  <c r="AU711" i="28"/>
  <c r="BB711" i="28" s="1"/>
  <c r="AT711" i="28"/>
  <c r="BA711" i="28" s="1"/>
  <c r="AX710" i="28"/>
  <c r="BE710" i="28" s="1"/>
  <c r="AW710" i="28"/>
  <c r="BD710" i="28" s="1"/>
  <c r="AV710" i="28"/>
  <c r="BC710" i="28" s="1"/>
  <c r="AU710" i="28"/>
  <c r="BB710" i="28" s="1"/>
  <c r="AT710" i="28"/>
  <c r="BA710" i="28" s="1"/>
  <c r="AY709" i="28"/>
  <c r="BF709" i="28" s="1"/>
  <c r="AX709" i="28"/>
  <c r="BE709" i="28" s="1"/>
  <c r="AW709" i="28"/>
  <c r="BD709" i="28" s="1"/>
  <c r="AV709" i="28"/>
  <c r="BC709" i="28" s="1"/>
  <c r="AU709" i="28"/>
  <c r="BB709" i="28" s="1"/>
  <c r="AT709" i="28"/>
  <c r="BA709" i="28" s="1"/>
  <c r="AY708" i="28"/>
  <c r="BF708" i="28" s="1"/>
  <c r="AX708" i="28"/>
  <c r="BE708" i="28" s="1"/>
  <c r="AW708" i="28"/>
  <c r="BD708" i="28" s="1"/>
  <c r="AV708" i="28"/>
  <c r="BC708" i="28" s="1"/>
  <c r="AU708" i="28"/>
  <c r="BB708" i="28" s="1"/>
  <c r="AT708" i="28"/>
  <c r="BA708" i="28" s="1"/>
  <c r="AY707" i="28"/>
  <c r="BF707" i="28" s="1"/>
  <c r="AX707" i="28"/>
  <c r="BE707" i="28" s="1"/>
  <c r="AW707" i="28"/>
  <c r="BD707" i="28" s="1"/>
  <c r="AV707" i="28"/>
  <c r="BC707" i="28" s="1"/>
  <c r="AU707" i="28"/>
  <c r="BB707" i="28" s="1"/>
  <c r="AT707" i="28"/>
  <c r="BA707" i="28" s="1"/>
  <c r="AY706" i="28"/>
  <c r="BF706" i="28" s="1"/>
  <c r="AX706" i="28"/>
  <c r="BE706" i="28" s="1"/>
  <c r="AW706" i="28"/>
  <c r="BD706" i="28" s="1"/>
  <c r="AV706" i="28"/>
  <c r="BC706" i="28" s="1"/>
  <c r="AU706" i="28"/>
  <c r="BB706" i="28" s="1"/>
  <c r="AT706" i="28"/>
  <c r="BA706" i="28" s="1"/>
  <c r="AY705" i="28"/>
  <c r="BF705" i="28" s="1"/>
  <c r="AX705" i="28"/>
  <c r="BE705" i="28" s="1"/>
  <c r="AW705" i="28"/>
  <c r="BD705" i="28" s="1"/>
  <c r="AV705" i="28"/>
  <c r="BC705" i="28" s="1"/>
  <c r="AU705" i="28"/>
  <c r="BB705" i="28" s="1"/>
  <c r="AT705" i="28"/>
  <c r="BA705" i="28" s="1"/>
  <c r="AX704" i="28"/>
  <c r="BE704" i="28" s="1"/>
  <c r="AW704" i="28"/>
  <c r="BD704" i="28" s="1"/>
  <c r="AV704" i="28"/>
  <c r="BC704" i="28" s="1"/>
  <c r="AU704" i="28"/>
  <c r="BB704" i="28" s="1"/>
  <c r="AT704" i="28"/>
  <c r="BA704" i="28" s="1"/>
  <c r="AY703" i="28"/>
  <c r="BF703" i="28" s="1"/>
  <c r="AX703" i="28"/>
  <c r="BE703" i="28" s="1"/>
  <c r="AW703" i="28"/>
  <c r="BD703" i="28" s="1"/>
  <c r="AV703" i="28"/>
  <c r="BC703" i="28" s="1"/>
  <c r="AU703" i="28"/>
  <c r="BB703" i="28" s="1"/>
  <c r="AT703" i="28"/>
  <c r="BA703" i="28" s="1"/>
  <c r="AX702" i="28"/>
  <c r="BE702" i="28" s="1"/>
  <c r="AW702" i="28"/>
  <c r="BD702" i="28" s="1"/>
  <c r="AV702" i="28"/>
  <c r="BC702" i="28" s="1"/>
  <c r="AU702" i="28"/>
  <c r="BB702" i="28" s="1"/>
  <c r="AT702" i="28"/>
  <c r="BA702" i="28" s="1"/>
  <c r="AY701" i="28"/>
  <c r="BF701" i="28" s="1"/>
  <c r="AX701" i="28"/>
  <c r="BE701" i="28" s="1"/>
  <c r="AW701" i="28"/>
  <c r="BD701" i="28" s="1"/>
  <c r="AV701" i="28"/>
  <c r="BC701" i="28" s="1"/>
  <c r="AU701" i="28"/>
  <c r="BB701" i="28" s="1"/>
  <c r="AT701" i="28"/>
  <c r="BA701" i="28" s="1"/>
  <c r="AY700" i="28"/>
  <c r="BF700" i="28" s="1"/>
  <c r="AX700" i="28"/>
  <c r="BE700" i="28" s="1"/>
  <c r="AW700" i="28"/>
  <c r="BD700" i="28" s="1"/>
  <c r="AV700" i="28"/>
  <c r="BC700" i="28" s="1"/>
  <c r="AU700" i="28"/>
  <c r="BB700" i="28" s="1"/>
  <c r="AT700" i="28"/>
  <c r="BA700" i="28" s="1"/>
  <c r="AY699" i="28"/>
  <c r="BF699" i="28" s="1"/>
  <c r="AX699" i="28"/>
  <c r="BE699" i="28" s="1"/>
  <c r="AW699" i="28"/>
  <c r="BD699" i="28" s="1"/>
  <c r="AV699" i="28"/>
  <c r="BC699" i="28" s="1"/>
  <c r="AU699" i="28"/>
  <c r="BB699" i="28" s="1"/>
  <c r="AT699" i="28"/>
  <c r="BA699" i="28" s="1"/>
  <c r="AY698" i="28"/>
  <c r="BF698" i="28" s="1"/>
  <c r="AX698" i="28"/>
  <c r="BE698" i="28" s="1"/>
  <c r="AW698" i="28"/>
  <c r="BD698" i="28" s="1"/>
  <c r="AV698" i="28"/>
  <c r="BC698" i="28" s="1"/>
  <c r="AU698" i="28"/>
  <c r="BB698" i="28" s="1"/>
  <c r="AT698" i="28"/>
  <c r="BA698" i="28" s="1"/>
  <c r="AY697" i="28"/>
  <c r="BF697" i="28" s="1"/>
  <c r="AX697" i="28"/>
  <c r="BE697" i="28" s="1"/>
  <c r="AW697" i="28"/>
  <c r="BD697" i="28" s="1"/>
  <c r="AV697" i="28"/>
  <c r="BC697" i="28" s="1"/>
  <c r="AU697" i="28"/>
  <c r="BB697" i="28" s="1"/>
  <c r="AT697" i="28"/>
  <c r="BA697" i="28" s="1"/>
  <c r="AX696" i="28"/>
  <c r="BE696" i="28" s="1"/>
  <c r="AW696" i="28"/>
  <c r="BD696" i="28" s="1"/>
  <c r="AV696" i="28"/>
  <c r="BC696" i="28" s="1"/>
  <c r="AU696" i="28"/>
  <c r="BB696" i="28" s="1"/>
  <c r="AT696" i="28"/>
  <c r="BA696" i="28" s="1"/>
  <c r="AX695" i="28"/>
  <c r="BE695" i="28" s="1"/>
  <c r="AW695" i="28"/>
  <c r="BD695" i="28" s="1"/>
  <c r="AV695" i="28"/>
  <c r="BC695" i="28" s="1"/>
  <c r="AU695" i="28"/>
  <c r="BB695" i="28" s="1"/>
  <c r="AT695" i="28"/>
  <c r="BA695" i="28" s="1"/>
  <c r="AX694" i="28"/>
  <c r="BE694" i="28" s="1"/>
  <c r="AW694" i="28"/>
  <c r="BD694" i="28" s="1"/>
  <c r="AV694" i="28"/>
  <c r="BC694" i="28" s="1"/>
  <c r="AU694" i="28"/>
  <c r="BB694" i="28" s="1"/>
  <c r="AT694" i="28"/>
  <c r="BA694" i="28" s="1"/>
  <c r="AY693" i="28"/>
  <c r="BF693" i="28" s="1"/>
  <c r="AX693" i="28"/>
  <c r="BE693" i="28" s="1"/>
  <c r="AW693" i="28"/>
  <c r="BD693" i="28" s="1"/>
  <c r="AV693" i="28"/>
  <c r="BC693" i="28" s="1"/>
  <c r="AU693" i="28"/>
  <c r="BB693" i="28" s="1"/>
  <c r="AT693" i="28"/>
  <c r="BA693" i="28" s="1"/>
  <c r="AY692" i="28"/>
  <c r="BF692" i="28" s="1"/>
  <c r="AX692" i="28"/>
  <c r="BE692" i="28" s="1"/>
  <c r="AW692" i="28"/>
  <c r="BD692" i="28" s="1"/>
  <c r="AV692" i="28"/>
  <c r="BC692" i="28" s="1"/>
  <c r="AU692" i="28"/>
  <c r="BB692" i="28" s="1"/>
  <c r="AT692" i="28"/>
  <c r="BA692" i="28" s="1"/>
  <c r="AY691" i="28"/>
  <c r="BF691" i="28" s="1"/>
  <c r="AX691" i="28"/>
  <c r="BE691" i="28" s="1"/>
  <c r="AW691" i="28"/>
  <c r="BD691" i="28" s="1"/>
  <c r="AV691" i="28"/>
  <c r="BC691" i="28" s="1"/>
  <c r="AU691" i="28"/>
  <c r="BB691" i="28" s="1"/>
  <c r="AT691" i="28"/>
  <c r="BA691" i="28" s="1"/>
  <c r="AY690" i="28"/>
  <c r="BF690" i="28" s="1"/>
  <c r="AX690" i="28"/>
  <c r="BE690" i="28" s="1"/>
  <c r="AW690" i="28"/>
  <c r="BD690" i="28" s="1"/>
  <c r="AV690" i="28"/>
  <c r="BC690" i="28" s="1"/>
  <c r="AU690" i="28"/>
  <c r="BB690" i="28" s="1"/>
  <c r="AT690" i="28"/>
  <c r="BA690" i="28" s="1"/>
  <c r="AY689" i="28"/>
  <c r="BF689" i="28" s="1"/>
  <c r="AX689" i="28"/>
  <c r="BE689" i="28" s="1"/>
  <c r="AW689" i="28"/>
  <c r="BD689" i="28" s="1"/>
  <c r="AV689" i="28"/>
  <c r="BC689" i="28" s="1"/>
  <c r="AU689" i="28"/>
  <c r="BB689" i="28" s="1"/>
  <c r="AT689" i="28"/>
  <c r="BA689" i="28" s="1"/>
  <c r="AX688" i="28"/>
  <c r="BE688" i="28" s="1"/>
  <c r="AW688" i="28"/>
  <c r="BD688" i="28" s="1"/>
  <c r="AV688" i="28"/>
  <c r="BC688" i="28" s="1"/>
  <c r="AU688" i="28"/>
  <c r="BB688" i="28" s="1"/>
  <c r="AT688" i="28"/>
  <c r="BA688" i="28" s="1"/>
  <c r="AX687" i="28"/>
  <c r="BE687" i="28" s="1"/>
  <c r="AW687" i="28"/>
  <c r="BD687" i="28" s="1"/>
  <c r="AV687" i="28"/>
  <c r="BC687" i="28" s="1"/>
  <c r="AU687" i="28"/>
  <c r="BB687" i="28" s="1"/>
  <c r="AT687" i="28"/>
  <c r="BA687" i="28" s="1"/>
  <c r="AX686" i="28"/>
  <c r="BE686" i="28" s="1"/>
  <c r="AW686" i="28"/>
  <c r="BD686" i="28" s="1"/>
  <c r="AV686" i="28"/>
  <c r="BC686" i="28" s="1"/>
  <c r="AU686" i="28"/>
  <c r="BB686" i="28" s="1"/>
  <c r="AT686" i="28"/>
  <c r="BA686" i="28" s="1"/>
  <c r="AY685" i="28"/>
  <c r="BF685" i="28" s="1"/>
  <c r="AX685" i="28"/>
  <c r="BE685" i="28" s="1"/>
  <c r="AW685" i="28"/>
  <c r="BD685" i="28" s="1"/>
  <c r="AV685" i="28"/>
  <c r="BC685" i="28" s="1"/>
  <c r="AU685" i="28"/>
  <c r="BB685" i="28" s="1"/>
  <c r="AT685" i="28"/>
  <c r="BA685" i="28" s="1"/>
  <c r="AY684" i="28"/>
  <c r="BF684" i="28" s="1"/>
  <c r="AX684" i="28"/>
  <c r="BE684" i="28" s="1"/>
  <c r="AW684" i="28"/>
  <c r="BD684" i="28" s="1"/>
  <c r="AV684" i="28"/>
  <c r="BC684" i="28" s="1"/>
  <c r="AU684" i="28"/>
  <c r="BB684" i="28" s="1"/>
  <c r="AT684" i="28"/>
  <c r="BA684" i="28" s="1"/>
  <c r="AY683" i="28"/>
  <c r="BF683" i="28" s="1"/>
  <c r="AX683" i="28"/>
  <c r="BE683" i="28" s="1"/>
  <c r="AW683" i="28"/>
  <c r="BD683" i="28" s="1"/>
  <c r="AV683" i="28"/>
  <c r="BC683" i="28" s="1"/>
  <c r="AU683" i="28"/>
  <c r="BB683" i="28" s="1"/>
  <c r="AT683" i="28"/>
  <c r="BA683" i="28" s="1"/>
  <c r="AY682" i="28"/>
  <c r="BF682" i="28" s="1"/>
  <c r="AX682" i="28"/>
  <c r="BE682" i="28" s="1"/>
  <c r="AW682" i="28"/>
  <c r="BD682" i="28" s="1"/>
  <c r="AV682" i="28"/>
  <c r="BC682" i="28" s="1"/>
  <c r="AU682" i="28"/>
  <c r="BB682" i="28" s="1"/>
  <c r="AT682" i="28"/>
  <c r="BA682" i="28" s="1"/>
  <c r="AY681" i="28"/>
  <c r="BF681" i="28" s="1"/>
  <c r="AX681" i="28"/>
  <c r="BE681" i="28" s="1"/>
  <c r="AW681" i="28"/>
  <c r="BD681" i="28" s="1"/>
  <c r="AV681" i="28"/>
  <c r="BC681" i="28" s="1"/>
  <c r="AU681" i="28"/>
  <c r="BB681" i="28" s="1"/>
  <c r="AT681" i="28"/>
  <c r="BA681" i="28" s="1"/>
  <c r="AX680" i="28"/>
  <c r="BE680" i="28" s="1"/>
  <c r="AW680" i="28"/>
  <c r="BD680" i="28" s="1"/>
  <c r="AV680" i="28"/>
  <c r="BC680" i="28" s="1"/>
  <c r="AU680" i="28"/>
  <c r="BB680" i="28" s="1"/>
  <c r="AT680" i="28"/>
  <c r="BA680" i="28" s="1"/>
  <c r="AY679" i="28"/>
  <c r="BF679" i="28" s="1"/>
  <c r="AX679" i="28"/>
  <c r="BE679" i="28" s="1"/>
  <c r="AW679" i="28"/>
  <c r="BD679" i="28" s="1"/>
  <c r="AV679" i="28"/>
  <c r="BC679" i="28" s="1"/>
  <c r="AU679" i="28"/>
  <c r="BB679" i="28" s="1"/>
  <c r="AT679" i="28"/>
  <c r="BA679" i="28" s="1"/>
  <c r="AX678" i="28"/>
  <c r="BE678" i="28" s="1"/>
  <c r="AW678" i="28"/>
  <c r="BD678" i="28" s="1"/>
  <c r="AV678" i="28"/>
  <c r="BC678" i="28" s="1"/>
  <c r="AU678" i="28"/>
  <c r="BB678" i="28" s="1"/>
  <c r="AT678" i="28"/>
  <c r="BA678" i="28" s="1"/>
  <c r="AY677" i="28"/>
  <c r="BF677" i="28" s="1"/>
  <c r="AX677" i="28"/>
  <c r="BE677" i="28" s="1"/>
  <c r="AW677" i="28"/>
  <c r="BD677" i="28" s="1"/>
  <c r="AV677" i="28"/>
  <c r="BC677" i="28" s="1"/>
  <c r="AU677" i="28"/>
  <c r="BB677" i="28" s="1"/>
  <c r="AT677" i="28"/>
  <c r="BA677" i="28" s="1"/>
  <c r="AY676" i="28"/>
  <c r="BF676" i="28" s="1"/>
  <c r="AX676" i="28"/>
  <c r="BE676" i="28" s="1"/>
  <c r="AW676" i="28"/>
  <c r="BD676" i="28" s="1"/>
  <c r="AV676" i="28"/>
  <c r="BC676" i="28" s="1"/>
  <c r="AU676" i="28"/>
  <c r="BB676" i="28" s="1"/>
  <c r="AT676" i="28"/>
  <c r="BA676" i="28" s="1"/>
  <c r="AY675" i="28"/>
  <c r="BF675" i="28" s="1"/>
  <c r="AX675" i="28"/>
  <c r="BE675" i="28" s="1"/>
  <c r="AW675" i="28"/>
  <c r="BD675" i="28" s="1"/>
  <c r="AV675" i="28"/>
  <c r="BC675" i="28" s="1"/>
  <c r="AU675" i="28"/>
  <c r="BB675" i="28" s="1"/>
  <c r="AT675" i="28"/>
  <c r="BA675" i="28" s="1"/>
  <c r="AY674" i="28"/>
  <c r="BF674" i="28" s="1"/>
  <c r="AX674" i="28"/>
  <c r="BE674" i="28" s="1"/>
  <c r="AW674" i="28"/>
  <c r="BD674" i="28" s="1"/>
  <c r="AV674" i="28"/>
  <c r="BC674" i="28" s="1"/>
  <c r="AU674" i="28"/>
  <c r="BB674" i="28" s="1"/>
  <c r="AT674" i="28"/>
  <c r="BA674" i="28" s="1"/>
  <c r="AY673" i="28"/>
  <c r="BF673" i="28" s="1"/>
  <c r="AX673" i="28"/>
  <c r="BE673" i="28" s="1"/>
  <c r="AW673" i="28"/>
  <c r="BD673" i="28" s="1"/>
  <c r="AV673" i="28"/>
  <c r="BC673" i="28" s="1"/>
  <c r="AU673" i="28"/>
  <c r="BB673" i="28" s="1"/>
  <c r="AT673" i="28"/>
  <c r="BA673" i="28" s="1"/>
  <c r="AX672" i="28"/>
  <c r="BE672" i="28" s="1"/>
  <c r="AW672" i="28"/>
  <c r="BD672" i="28" s="1"/>
  <c r="AV672" i="28"/>
  <c r="BC672" i="28" s="1"/>
  <c r="AU672" i="28"/>
  <c r="BB672" i="28" s="1"/>
  <c r="AT672" i="28"/>
  <c r="BA672" i="28" s="1"/>
  <c r="AX671" i="28"/>
  <c r="BE671" i="28" s="1"/>
  <c r="AW671" i="28"/>
  <c r="BD671" i="28" s="1"/>
  <c r="AV671" i="28"/>
  <c r="BC671" i="28" s="1"/>
  <c r="AU671" i="28"/>
  <c r="BB671" i="28" s="1"/>
  <c r="AT671" i="28"/>
  <c r="BA671" i="28" s="1"/>
  <c r="AX670" i="28"/>
  <c r="BE670" i="28" s="1"/>
  <c r="AW670" i="28"/>
  <c r="BD670" i="28" s="1"/>
  <c r="AV670" i="28"/>
  <c r="BC670" i="28" s="1"/>
  <c r="AU670" i="28"/>
  <c r="BB670" i="28" s="1"/>
  <c r="AT670" i="28"/>
  <c r="BA670" i="28" s="1"/>
  <c r="AY669" i="28"/>
  <c r="BF669" i="28" s="1"/>
  <c r="AX669" i="28"/>
  <c r="BE669" i="28" s="1"/>
  <c r="AW669" i="28"/>
  <c r="BD669" i="28" s="1"/>
  <c r="AV669" i="28"/>
  <c r="BC669" i="28" s="1"/>
  <c r="AU669" i="28"/>
  <c r="BB669" i="28" s="1"/>
  <c r="AT669" i="28"/>
  <c r="BA669" i="28" s="1"/>
  <c r="AY668" i="28"/>
  <c r="BF668" i="28" s="1"/>
  <c r="AX668" i="28"/>
  <c r="BE668" i="28" s="1"/>
  <c r="AW668" i="28"/>
  <c r="BD668" i="28" s="1"/>
  <c r="AV668" i="28"/>
  <c r="BC668" i="28" s="1"/>
  <c r="AU668" i="28"/>
  <c r="BB668" i="28" s="1"/>
  <c r="AT668" i="28"/>
  <c r="BA668" i="28" s="1"/>
  <c r="AY667" i="28"/>
  <c r="BF667" i="28" s="1"/>
  <c r="AX667" i="28"/>
  <c r="BE667" i="28" s="1"/>
  <c r="AW667" i="28"/>
  <c r="BD667" i="28" s="1"/>
  <c r="AV667" i="28"/>
  <c r="BC667" i="28" s="1"/>
  <c r="AU667" i="28"/>
  <c r="BB667" i="28" s="1"/>
  <c r="AT667" i="28"/>
  <c r="BA667" i="28" s="1"/>
  <c r="AY666" i="28"/>
  <c r="BF666" i="28" s="1"/>
  <c r="AX666" i="28"/>
  <c r="BE666" i="28" s="1"/>
  <c r="AW666" i="28"/>
  <c r="BD666" i="28" s="1"/>
  <c r="AV666" i="28"/>
  <c r="BC666" i="28" s="1"/>
  <c r="AU666" i="28"/>
  <c r="BB666" i="28" s="1"/>
  <c r="AT666" i="28"/>
  <c r="BA666" i="28" s="1"/>
  <c r="AY665" i="28"/>
  <c r="BF665" i="28" s="1"/>
  <c r="AX665" i="28"/>
  <c r="BE665" i="28" s="1"/>
  <c r="AW665" i="28"/>
  <c r="BD665" i="28" s="1"/>
  <c r="AV665" i="28"/>
  <c r="BC665" i="28" s="1"/>
  <c r="AU665" i="28"/>
  <c r="BB665" i="28" s="1"/>
  <c r="AT665" i="28"/>
  <c r="BA665" i="28" s="1"/>
  <c r="AX664" i="28"/>
  <c r="BE664" i="28" s="1"/>
  <c r="AW664" i="28"/>
  <c r="BD664" i="28" s="1"/>
  <c r="AV664" i="28"/>
  <c r="BC664" i="28" s="1"/>
  <c r="AU664" i="28"/>
  <c r="BB664" i="28" s="1"/>
  <c r="AT664" i="28"/>
  <c r="BA664" i="28" s="1"/>
  <c r="AX663" i="28"/>
  <c r="BE663" i="28" s="1"/>
  <c r="AW663" i="28"/>
  <c r="BD663" i="28" s="1"/>
  <c r="AV663" i="28"/>
  <c r="BC663" i="28" s="1"/>
  <c r="AU663" i="28"/>
  <c r="BB663" i="28" s="1"/>
  <c r="AT663" i="28"/>
  <c r="BA663" i="28" s="1"/>
  <c r="AX662" i="28"/>
  <c r="BE662" i="28" s="1"/>
  <c r="AW662" i="28"/>
  <c r="BD662" i="28" s="1"/>
  <c r="AV662" i="28"/>
  <c r="BC662" i="28" s="1"/>
  <c r="AU662" i="28"/>
  <c r="BB662" i="28" s="1"/>
  <c r="AT662" i="28"/>
  <c r="BA662" i="28" s="1"/>
  <c r="AY661" i="28"/>
  <c r="BF661" i="28" s="1"/>
  <c r="AX661" i="28"/>
  <c r="BE661" i="28" s="1"/>
  <c r="AW661" i="28"/>
  <c r="BD661" i="28" s="1"/>
  <c r="AV661" i="28"/>
  <c r="BC661" i="28" s="1"/>
  <c r="AU661" i="28"/>
  <c r="BB661" i="28" s="1"/>
  <c r="AT661" i="28"/>
  <c r="BA661" i="28" s="1"/>
  <c r="AY660" i="28"/>
  <c r="BF660" i="28" s="1"/>
  <c r="AX660" i="28"/>
  <c r="BE660" i="28" s="1"/>
  <c r="AW660" i="28"/>
  <c r="BD660" i="28" s="1"/>
  <c r="AV660" i="28"/>
  <c r="BC660" i="28" s="1"/>
  <c r="AU660" i="28"/>
  <c r="BB660" i="28" s="1"/>
  <c r="AT660" i="28"/>
  <c r="BA660" i="28" s="1"/>
  <c r="AY659" i="28"/>
  <c r="BF659" i="28" s="1"/>
  <c r="AX659" i="28"/>
  <c r="BE659" i="28" s="1"/>
  <c r="AW659" i="28"/>
  <c r="BD659" i="28" s="1"/>
  <c r="AV659" i="28"/>
  <c r="BC659" i="28" s="1"/>
  <c r="AU659" i="28"/>
  <c r="BB659" i="28" s="1"/>
  <c r="AT659" i="28"/>
  <c r="BA659" i="28" s="1"/>
  <c r="AY658" i="28"/>
  <c r="BF658" i="28" s="1"/>
  <c r="AX658" i="28"/>
  <c r="BE658" i="28" s="1"/>
  <c r="AW658" i="28"/>
  <c r="BD658" i="28" s="1"/>
  <c r="AV658" i="28"/>
  <c r="BC658" i="28" s="1"/>
  <c r="AU658" i="28"/>
  <c r="BB658" i="28" s="1"/>
  <c r="AT658" i="28"/>
  <c r="BA658" i="28" s="1"/>
  <c r="AY657" i="28"/>
  <c r="BF657" i="28" s="1"/>
  <c r="AX657" i="28"/>
  <c r="BE657" i="28" s="1"/>
  <c r="AW657" i="28"/>
  <c r="BD657" i="28" s="1"/>
  <c r="AV657" i="28"/>
  <c r="BC657" i="28" s="1"/>
  <c r="AU657" i="28"/>
  <c r="BB657" i="28" s="1"/>
  <c r="AT657" i="28"/>
  <c r="BA657" i="28" s="1"/>
  <c r="AX656" i="28"/>
  <c r="BE656" i="28" s="1"/>
  <c r="AW656" i="28"/>
  <c r="BD656" i="28" s="1"/>
  <c r="AV656" i="28"/>
  <c r="BC656" i="28" s="1"/>
  <c r="AU656" i="28"/>
  <c r="BB656" i="28" s="1"/>
  <c r="AT656" i="28"/>
  <c r="BA656" i="28" s="1"/>
  <c r="AX655" i="28"/>
  <c r="BE655" i="28" s="1"/>
  <c r="AW655" i="28"/>
  <c r="BD655" i="28" s="1"/>
  <c r="AV655" i="28"/>
  <c r="BC655" i="28" s="1"/>
  <c r="AU655" i="28"/>
  <c r="BB655" i="28" s="1"/>
  <c r="AT655" i="28"/>
  <c r="BA655" i="28" s="1"/>
  <c r="AX654" i="28"/>
  <c r="BE654" i="28" s="1"/>
  <c r="AW654" i="28"/>
  <c r="BD654" i="28" s="1"/>
  <c r="AV654" i="28"/>
  <c r="BC654" i="28" s="1"/>
  <c r="AU654" i="28"/>
  <c r="BB654" i="28" s="1"/>
  <c r="AT654" i="28"/>
  <c r="BA654" i="28" s="1"/>
  <c r="AY653" i="28"/>
  <c r="BF653" i="28" s="1"/>
  <c r="AX653" i="28"/>
  <c r="BE653" i="28" s="1"/>
  <c r="AW653" i="28"/>
  <c r="BD653" i="28" s="1"/>
  <c r="AV653" i="28"/>
  <c r="BC653" i="28" s="1"/>
  <c r="AU653" i="28"/>
  <c r="BB653" i="28" s="1"/>
  <c r="AT653" i="28"/>
  <c r="BA653" i="28" s="1"/>
  <c r="AY652" i="28"/>
  <c r="BF652" i="28" s="1"/>
  <c r="AX652" i="28"/>
  <c r="BE652" i="28" s="1"/>
  <c r="AW652" i="28"/>
  <c r="BD652" i="28" s="1"/>
  <c r="AV652" i="28"/>
  <c r="BC652" i="28" s="1"/>
  <c r="AU652" i="28"/>
  <c r="BB652" i="28" s="1"/>
  <c r="AT652" i="28"/>
  <c r="BA652" i="28" s="1"/>
  <c r="AY651" i="28"/>
  <c r="BF651" i="28" s="1"/>
  <c r="AX651" i="28"/>
  <c r="BE651" i="28" s="1"/>
  <c r="AW651" i="28"/>
  <c r="BD651" i="28" s="1"/>
  <c r="AV651" i="28"/>
  <c r="BC651" i="28" s="1"/>
  <c r="AU651" i="28"/>
  <c r="BB651" i="28" s="1"/>
  <c r="AT651" i="28"/>
  <c r="BA651" i="28" s="1"/>
  <c r="AY650" i="28"/>
  <c r="BF650" i="28" s="1"/>
  <c r="AX650" i="28"/>
  <c r="BE650" i="28" s="1"/>
  <c r="AW650" i="28"/>
  <c r="BD650" i="28" s="1"/>
  <c r="AV650" i="28"/>
  <c r="BC650" i="28" s="1"/>
  <c r="AU650" i="28"/>
  <c r="BB650" i="28" s="1"/>
  <c r="AT650" i="28"/>
  <c r="BA650" i="28" s="1"/>
  <c r="AY649" i="28"/>
  <c r="BF649" i="28" s="1"/>
  <c r="AX649" i="28"/>
  <c r="BE649" i="28" s="1"/>
  <c r="AW649" i="28"/>
  <c r="BD649" i="28" s="1"/>
  <c r="AV649" i="28"/>
  <c r="BC649" i="28" s="1"/>
  <c r="AU649" i="28"/>
  <c r="BB649" i="28" s="1"/>
  <c r="AT649" i="28"/>
  <c r="BA649" i="28" s="1"/>
  <c r="AX648" i="28"/>
  <c r="BE648" i="28" s="1"/>
  <c r="AW648" i="28"/>
  <c r="BD648" i="28" s="1"/>
  <c r="AV648" i="28"/>
  <c r="BC648" i="28" s="1"/>
  <c r="AU648" i="28"/>
  <c r="BB648" i="28" s="1"/>
  <c r="AT648" i="28"/>
  <c r="BA648" i="28" s="1"/>
  <c r="AY647" i="28"/>
  <c r="BF647" i="28" s="1"/>
  <c r="AX647" i="28"/>
  <c r="BE647" i="28" s="1"/>
  <c r="AW647" i="28"/>
  <c r="BD647" i="28" s="1"/>
  <c r="AV647" i="28"/>
  <c r="BC647" i="28" s="1"/>
  <c r="AU647" i="28"/>
  <c r="BB647" i="28" s="1"/>
  <c r="AT647" i="28"/>
  <c r="BA647" i="28" s="1"/>
  <c r="AX646" i="28"/>
  <c r="BE646" i="28" s="1"/>
  <c r="AW646" i="28"/>
  <c r="BD646" i="28" s="1"/>
  <c r="AV646" i="28"/>
  <c r="BC646" i="28" s="1"/>
  <c r="AU646" i="28"/>
  <c r="BB646" i="28" s="1"/>
  <c r="AT646" i="28"/>
  <c r="BA646" i="28" s="1"/>
  <c r="AY645" i="28"/>
  <c r="BF645" i="28" s="1"/>
  <c r="AX645" i="28"/>
  <c r="BE645" i="28" s="1"/>
  <c r="AW645" i="28"/>
  <c r="BD645" i="28" s="1"/>
  <c r="AV645" i="28"/>
  <c r="BC645" i="28" s="1"/>
  <c r="AU645" i="28"/>
  <c r="BB645" i="28" s="1"/>
  <c r="AT645" i="28"/>
  <c r="BA645" i="28" s="1"/>
  <c r="AY644" i="28"/>
  <c r="BF644" i="28" s="1"/>
  <c r="AX644" i="28"/>
  <c r="BE644" i="28" s="1"/>
  <c r="AW644" i="28"/>
  <c r="BD644" i="28" s="1"/>
  <c r="AV644" i="28"/>
  <c r="BC644" i="28" s="1"/>
  <c r="AU644" i="28"/>
  <c r="BB644" i="28" s="1"/>
  <c r="AT644" i="28"/>
  <c r="BA644" i="28" s="1"/>
  <c r="AY643" i="28"/>
  <c r="BF643" i="28" s="1"/>
  <c r="AX643" i="28"/>
  <c r="BE643" i="28" s="1"/>
  <c r="AW643" i="28"/>
  <c r="BD643" i="28" s="1"/>
  <c r="AV643" i="28"/>
  <c r="BC643" i="28" s="1"/>
  <c r="AU643" i="28"/>
  <c r="BB643" i="28" s="1"/>
  <c r="AT643" i="28"/>
  <c r="BA643" i="28" s="1"/>
  <c r="AY642" i="28"/>
  <c r="BF642" i="28" s="1"/>
  <c r="AX642" i="28"/>
  <c r="BE642" i="28" s="1"/>
  <c r="AW642" i="28"/>
  <c r="BD642" i="28" s="1"/>
  <c r="AV642" i="28"/>
  <c r="BC642" i="28" s="1"/>
  <c r="AU642" i="28"/>
  <c r="BB642" i="28" s="1"/>
  <c r="AT642" i="28"/>
  <c r="BA642" i="28" s="1"/>
  <c r="AY641" i="28"/>
  <c r="BF641" i="28" s="1"/>
  <c r="AX641" i="28"/>
  <c r="BE641" i="28" s="1"/>
  <c r="AW641" i="28"/>
  <c r="BD641" i="28" s="1"/>
  <c r="AV641" i="28"/>
  <c r="BC641" i="28" s="1"/>
  <c r="AU641" i="28"/>
  <c r="BB641" i="28" s="1"/>
  <c r="AT641" i="28"/>
  <c r="BA641" i="28" s="1"/>
  <c r="AX640" i="28"/>
  <c r="BE640" i="28" s="1"/>
  <c r="AW640" i="28"/>
  <c r="BD640" i="28" s="1"/>
  <c r="AV640" i="28"/>
  <c r="BC640" i="28" s="1"/>
  <c r="AU640" i="28"/>
  <c r="BB640" i="28" s="1"/>
  <c r="AT640" i="28"/>
  <c r="BA640" i="28" s="1"/>
  <c r="AX639" i="28"/>
  <c r="BE639" i="28" s="1"/>
  <c r="AW639" i="28"/>
  <c r="BD639" i="28" s="1"/>
  <c r="AV639" i="28"/>
  <c r="BC639" i="28" s="1"/>
  <c r="AU639" i="28"/>
  <c r="BB639" i="28" s="1"/>
  <c r="AT639" i="28"/>
  <c r="BA639" i="28" s="1"/>
  <c r="AY638" i="28"/>
  <c r="BF638" i="28" s="1"/>
  <c r="AX638" i="28"/>
  <c r="BE638" i="28" s="1"/>
  <c r="AW638" i="28"/>
  <c r="BD638" i="28" s="1"/>
  <c r="AV638" i="28"/>
  <c r="BC638" i="28" s="1"/>
  <c r="AU638" i="28"/>
  <c r="BB638" i="28" s="1"/>
  <c r="AT638" i="28"/>
  <c r="BA638" i="28" s="1"/>
  <c r="AY637" i="28"/>
  <c r="BF637" i="28" s="1"/>
  <c r="AX637" i="28"/>
  <c r="BE637" i="28" s="1"/>
  <c r="AW637" i="28"/>
  <c r="BD637" i="28" s="1"/>
  <c r="AV637" i="28"/>
  <c r="BC637" i="28" s="1"/>
  <c r="AU637" i="28"/>
  <c r="BB637" i="28" s="1"/>
  <c r="AT637" i="28"/>
  <c r="BA637" i="28" s="1"/>
  <c r="AY636" i="28"/>
  <c r="BF636" i="28" s="1"/>
  <c r="AX636" i="28"/>
  <c r="BE636" i="28" s="1"/>
  <c r="AW636" i="28"/>
  <c r="BD636" i="28" s="1"/>
  <c r="AV636" i="28"/>
  <c r="BC636" i="28" s="1"/>
  <c r="AU636" i="28"/>
  <c r="BB636" i="28" s="1"/>
  <c r="AT636" i="28"/>
  <c r="BA636" i="28" s="1"/>
  <c r="AY635" i="28"/>
  <c r="BF635" i="28" s="1"/>
  <c r="AX635" i="28"/>
  <c r="BE635" i="28" s="1"/>
  <c r="AW635" i="28"/>
  <c r="BD635" i="28" s="1"/>
  <c r="AV635" i="28"/>
  <c r="BC635" i="28" s="1"/>
  <c r="AU635" i="28"/>
  <c r="BB635" i="28" s="1"/>
  <c r="AT635" i="28"/>
  <c r="BA635" i="28" s="1"/>
  <c r="AY634" i="28"/>
  <c r="BF634" i="28" s="1"/>
  <c r="AX634" i="28"/>
  <c r="BE634" i="28" s="1"/>
  <c r="AW634" i="28"/>
  <c r="BD634" i="28" s="1"/>
  <c r="AV634" i="28"/>
  <c r="BC634" i="28" s="1"/>
  <c r="AU634" i="28"/>
  <c r="BB634" i="28" s="1"/>
  <c r="AT634" i="28"/>
  <c r="BA634" i="28" s="1"/>
  <c r="AY633" i="28"/>
  <c r="BF633" i="28" s="1"/>
  <c r="AX633" i="28"/>
  <c r="BE633" i="28" s="1"/>
  <c r="AW633" i="28"/>
  <c r="BD633" i="28" s="1"/>
  <c r="AV633" i="28"/>
  <c r="BC633" i="28" s="1"/>
  <c r="AU633" i="28"/>
  <c r="BB633" i="28" s="1"/>
  <c r="AT633" i="28"/>
  <c r="BA633" i="28" s="1"/>
  <c r="AX632" i="28"/>
  <c r="BE632" i="28" s="1"/>
  <c r="AW632" i="28"/>
  <c r="BD632" i="28" s="1"/>
  <c r="AV632" i="28"/>
  <c r="BC632" i="28" s="1"/>
  <c r="AU632" i="28"/>
  <c r="BB632" i="28" s="1"/>
  <c r="AT632" i="28"/>
  <c r="BA632" i="28" s="1"/>
  <c r="AX631" i="28"/>
  <c r="BE631" i="28" s="1"/>
  <c r="AW631" i="28"/>
  <c r="BD631" i="28" s="1"/>
  <c r="AV631" i="28"/>
  <c r="BC631" i="28" s="1"/>
  <c r="AU631" i="28"/>
  <c r="BB631" i="28" s="1"/>
  <c r="AT631" i="28"/>
  <c r="BA631" i="28" s="1"/>
  <c r="AY630" i="28"/>
  <c r="BF630" i="28" s="1"/>
  <c r="AX630" i="28"/>
  <c r="BE630" i="28" s="1"/>
  <c r="AW630" i="28"/>
  <c r="BD630" i="28" s="1"/>
  <c r="AV630" i="28"/>
  <c r="BC630" i="28" s="1"/>
  <c r="AU630" i="28"/>
  <c r="BB630" i="28" s="1"/>
  <c r="AT630" i="28"/>
  <c r="BA630" i="28" s="1"/>
  <c r="AY629" i="28"/>
  <c r="BF629" i="28" s="1"/>
  <c r="AX629" i="28"/>
  <c r="BE629" i="28" s="1"/>
  <c r="AW629" i="28"/>
  <c r="BD629" i="28" s="1"/>
  <c r="AV629" i="28"/>
  <c r="BC629" i="28" s="1"/>
  <c r="AU629" i="28"/>
  <c r="BB629" i="28" s="1"/>
  <c r="AT629" i="28"/>
  <c r="BA629" i="28" s="1"/>
  <c r="AY628" i="28"/>
  <c r="BF628" i="28" s="1"/>
  <c r="AX628" i="28"/>
  <c r="BE628" i="28" s="1"/>
  <c r="AW628" i="28"/>
  <c r="BD628" i="28" s="1"/>
  <c r="AV628" i="28"/>
  <c r="BC628" i="28" s="1"/>
  <c r="AU628" i="28"/>
  <c r="BB628" i="28" s="1"/>
  <c r="AT628" i="28"/>
  <c r="BA628" i="28" s="1"/>
  <c r="AY627" i="28"/>
  <c r="BF627" i="28" s="1"/>
  <c r="AX627" i="28"/>
  <c r="BE627" i="28" s="1"/>
  <c r="AW627" i="28"/>
  <c r="BD627" i="28" s="1"/>
  <c r="AV627" i="28"/>
  <c r="BC627" i="28" s="1"/>
  <c r="AU627" i="28"/>
  <c r="BB627" i="28" s="1"/>
  <c r="AT627" i="28"/>
  <c r="BA627" i="28" s="1"/>
  <c r="AY626" i="28"/>
  <c r="BF626" i="28" s="1"/>
  <c r="AX626" i="28"/>
  <c r="BE626" i="28" s="1"/>
  <c r="AW626" i="28"/>
  <c r="BD626" i="28" s="1"/>
  <c r="AV626" i="28"/>
  <c r="BC626" i="28" s="1"/>
  <c r="AU626" i="28"/>
  <c r="BB626" i="28" s="1"/>
  <c r="AT626" i="28"/>
  <c r="BA626" i="28" s="1"/>
  <c r="AY625" i="28"/>
  <c r="BF625" i="28" s="1"/>
  <c r="AX625" i="28"/>
  <c r="BE625" i="28" s="1"/>
  <c r="AW625" i="28"/>
  <c r="BD625" i="28" s="1"/>
  <c r="AV625" i="28"/>
  <c r="BC625" i="28" s="1"/>
  <c r="AU625" i="28"/>
  <c r="BB625" i="28" s="1"/>
  <c r="AT625" i="28"/>
  <c r="BA625" i="28" s="1"/>
  <c r="AX624" i="28"/>
  <c r="BE624" i="28" s="1"/>
  <c r="AW624" i="28"/>
  <c r="BD624" i="28" s="1"/>
  <c r="AV624" i="28"/>
  <c r="BC624" i="28" s="1"/>
  <c r="AU624" i="28"/>
  <c r="BB624" i="28" s="1"/>
  <c r="AT624" i="28"/>
  <c r="BA624" i="28" s="1"/>
  <c r="AX623" i="28"/>
  <c r="BE623" i="28" s="1"/>
  <c r="AW623" i="28"/>
  <c r="BD623" i="28" s="1"/>
  <c r="AV623" i="28"/>
  <c r="BC623" i="28" s="1"/>
  <c r="AU623" i="28"/>
  <c r="BB623" i="28" s="1"/>
  <c r="AT623" i="28"/>
  <c r="BA623" i="28" s="1"/>
  <c r="AX622" i="28"/>
  <c r="BE622" i="28" s="1"/>
  <c r="AW622" i="28"/>
  <c r="BD622" i="28" s="1"/>
  <c r="AV622" i="28"/>
  <c r="BC622" i="28" s="1"/>
  <c r="AU622" i="28"/>
  <c r="BB622" i="28" s="1"/>
  <c r="AT622" i="28"/>
  <c r="BA622" i="28" s="1"/>
  <c r="AY621" i="28"/>
  <c r="BF621" i="28" s="1"/>
  <c r="AX621" i="28"/>
  <c r="BE621" i="28" s="1"/>
  <c r="AW621" i="28"/>
  <c r="BD621" i="28" s="1"/>
  <c r="AV621" i="28"/>
  <c r="BC621" i="28" s="1"/>
  <c r="AU621" i="28"/>
  <c r="BB621" i="28" s="1"/>
  <c r="AT621" i="28"/>
  <c r="BA621" i="28" s="1"/>
  <c r="AY620" i="28"/>
  <c r="BF620" i="28" s="1"/>
  <c r="AX620" i="28"/>
  <c r="BE620" i="28" s="1"/>
  <c r="AW620" i="28"/>
  <c r="BD620" i="28" s="1"/>
  <c r="AV620" i="28"/>
  <c r="BC620" i="28" s="1"/>
  <c r="AU620" i="28"/>
  <c r="BB620" i="28" s="1"/>
  <c r="AT620" i="28"/>
  <c r="BA620" i="28" s="1"/>
  <c r="AY619" i="28"/>
  <c r="BF619" i="28" s="1"/>
  <c r="AX619" i="28"/>
  <c r="BE619" i="28" s="1"/>
  <c r="AW619" i="28"/>
  <c r="BD619" i="28" s="1"/>
  <c r="AV619" i="28"/>
  <c r="BC619" i="28" s="1"/>
  <c r="AU619" i="28"/>
  <c r="BB619" i="28" s="1"/>
  <c r="AT619" i="28"/>
  <c r="BA619" i="28" s="1"/>
  <c r="AY618" i="28"/>
  <c r="BF618" i="28" s="1"/>
  <c r="AX618" i="28"/>
  <c r="BE618" i="28" s="1"/>
  <c r="AW618" i="28"/>
  <c r="BD618" i="28" s="1"/>
  <c r="AV618" i="28"/>
  <c r="BC618" i="28" s="1"/>
  <c r="AU618" i="28"/>
  <c r="BB618" i="28" s="1"/>
  <c r="AT618" i="28"/>
  <c r="BA618" i="28" s="1"/>
  <c r="AY617" i="28"/>
  <c r="BF617" i="28" s="1"/>
  <c r="AX617" i="28"/>
  <c r="BE617" i="28" s="1"/>
  <c r="AW617" i="28"/>
  <c r="BD617" i="28" s="1"/>
  <c r="AV617" i="28"/>
  <c r="BC617" i="28" s="1"/>
  <c r="AU617" i="28"/>
  <c r="BB617" i="28" s="1"/>
  <c r="AT617" i="28"/>
  <c r="BA617" i="28" s="1"/>
  <c r="AX616" i="28"/>
  <c r="BE616" i="28" s="1"/>
  <c r="AW616" i="28"/>
  <c r="BD616" i="28" s="1"/>
  <c r="AV616" i="28"/>
  <c r="BC616" i="28" s="1"/>
  <c r="AU616" i="28"/>
  <c r="BB616" i="28" s="1"/>
  <c r="AT616" i="28"/>
  <c r="BA616" i="28" s="1"/>
  <c r="AX615" i="28"/>
  <c r="BE615" i="28" s="1"/>
  <c r="AW615" i="28"/>
  <c r="BD615" i="28" s="1"/>
  <c r="AV615" i="28"/>
  <c r="BC615" i="28" s="1"/>
  <c r="AU615" i="28"/>
  <c r="BB615" i="28" s="1"/>
  <c r="AT615" i="28"/>
  <c r="BA615" i="28" s="1"/>
  <c r="AX614" i="28"/>
  <c r="BE614" i="28" s="1"/>
  <c r="AW614" i="28"/>
  <c r="BD614" i="28" s="1"/>
  <c r="AV614" i="28"/>
  <c r="BC614" i="28" s="1"/>
  <c r="AU614" i="28"/>
  <c r="BB614" i="28" s="1"/>
  <c r="AT614" i="28"/>
  <c r="BA614" i="28" s="1"/>
  <c r="AY613" i="28"/>
  <c r="BF613" i="28" s="1"/>
  <c r="AX613" i="28"/>
  <c r="BE613" i="28" s="1"/>
  <c r="AW613" i="28"/>
  <c r="BD613" i="28" s="1"/>
  <c r="AV613" i="28"/>
  <c r="BC613" i="28" s="1"/>
  <c r="AU613" i="28"/>
  <c r="BB613" i="28" s="1"/>
  <c r="AT613" i="28"/>
  <c r="BA613" i="28" s="1"/>
  <c r="AY612" i="28"/>
  <c r="BF612" i="28" s="1"/>
  <c r="AX612" i="28"/>
  <c r="BE612" i="28" s="1"/>
  <c r="AW612" i="28"/>
  <c r="BD612" i="28" s="1"/>
  <c r="AV612" i="28"/>
  <c r="BC612" i="28" s="1"/>
  <c r="AU612" i="28"/>
  <c r="BB612" i="28" s="1"/>
  <c r="AT612" i="28"/>
  <c r="BA612" i="28" s="1"/>
  <c r="AY611" i="28"/>
  <c r="BF611" i="28" s="1"/>
  <c r="AX611" i="28"/>
  <c r="BE611" i="28" s="1"/>
  <c r="AW611" i="28"/>
  <c r="BD611" i="28" s="1"/>
  <c r="AV611" i="28"/>
  <c r="BC611" i="28" s="1"/>
  <c r="AU611" i="28"/>
  <c r="BB611" i="28" s="1"/>
  <c r="AT611" i="28"/>
  <c r="BA611" i="28" s="1"/>
  <c r="AY610" i="28"/>
  <c r="BF610" i="28" s="1"/>
  <c r="AX610" i="28"/>
  <c r="BE610" i="28" s="1"/>
  <c r="AW610" i="28"/>
  <c r="BD610" i="28" s="1"/>
  <c r="AV610" i="28"/>
  <c r="BC610" i="28" s="1"/>
  <c r="AU610" i="28"/>
  <c r="BB610" i="28" s="1"/>
  <c r="AT610" i="28"/>
  <c r="BA610" i="28" s="1"/>
  <c r="AY609" i="28"/>
  <c r="BF609" i="28" s="1"/>
  <c r="AX609" i="28"/>
  <c r="BE609" i="28" s="1"/>
  <c r="AW609" i="28"/>
  <c r="BD609" i="28" s="1"/>
  <c r="AV609" i="28"/>
  <c r="BC609" i="28" s="1"/>
  <c r="AU609" i="28"/>
  <c r="BB609" i="28" s="1"/>
  <c r="AT609" i="28"/>
  <c r="BA609" i="28" s="1"/>
  <c r="AX608" i="28"/>
  <c r="BE608" i="28" s="1"/>
  <c r="AW608" i="28"/>
  <c r="BD608" i="28" s="1"/>
  <c r="AV608" i="28"/>
  <c r="BC608" i="28" s="1"/>
  <c r="AU608" i="28"/>
  <c r="BB608" i="28" s="1"/>
  <c r="AT608" i="28"/>
  <c r="BA608" i="28" s="1"/>
  <c r="AX607" i="28"/>
  <c r="BE607" i="28" s="1"/>
  <c r="AW607" i="28"/>
  <c r="BD607" i="28" s="1"/>
  <c r="AV607" i="28"/>
  <c r="BC607" i="28" s="1"/>
  <c r="AU607" i="28"/>
  <c r="BB607" i="28" s="1"/>
  <c r="AT607" i="28"/>
  <c r="BA607" i="28" s="1"/>
  <c r="AX606" i="28"/>
  <c r="BE606" i="28" s="1"/>
  <c r="AW606" i="28"/>
  <c r="BD606" i="28" s="1"/>
  <c r="AV606" i="28"/>
  <c r="BC606" i="28" s="1"/>
  <c r="AU606" i="28"/>
  <c r="BB606" i="28" s="1"/>
  <c r="AT606" i="28"/>
  <c r="BA606" i="28" s="1"/>
  <c r="AY605" i="28"/>
  <c r="BF605" i="28" s="1"/>
  <c r="AX605" i="28"/>
  <c r="BE605" i="28" s="1"/>
  <c r="AW605" i="28"/>
  <c r="BD605" i="28" s="1"/>
  <c r="AV605" i="28"/>
  <c r="BC605" i="28" s="1"/>
  <c r="AU605" i="28"/>
  <c r="BB605" i="28" s="1"/>
  <c r="AT605" i="28"/>
  <c r="BA605" i="28" s="1"/>
  <c r="AY604" i="28"/>
  <c r="BF604" i="28" s="1"/>
  <c r="AX604" i="28"/>
  <c r="BE604" i="28" s="1"/>
  <c r="AW604" i="28"/>
  <c r="BD604" i="28" s="1"/>
  <c r="AV604" i="28"/>
  <c r="BC604" i="28" s="1"/>
  <c r="AU604" i="28"/>
  <c r="BB604" i="28" s="1"/>
  <c r="AT604" i="28"/>
  <c r="BA604" i="28" s="1"/>
  <c r="AY603" i="28"/>
  <c r="BF603" i="28" s="1"/>
  <c r="AX603" i="28"/>
  <c r="BE603" i="28" s="1"/>
  <c r="AW603" i="28"/>
  <c r="BD603" i="28" s="1"/>
  <c r="AV603" i="28"/>
  <c r="BC603" i="28" s="1"/>
  <c r="AU603" i="28"/>
  <c r="BB603" i="28" s="1"/>
  <c r="AT603" i="28"/>
  <c r="BA603" i="28" s="1"/>
  <c r="AY602" i="28"/>
  <c r="BF602" i="28" s="1"/>
  <c r="AX602" i="28"/>
  <c r="BE602" i="28" s="1"/>
  <c r="AW602" i="28"/>
  <c r="BD602" i="28" s="1"/>
  <c r="AV602" i="28"/>
  <c r="BC602" i="28" s="1"/>
  <c r="AU602" i="28"/>
  <c r="BB602" i="28" s="1"/>
  <c r="AT602" i="28"/>
  <c r="BA602" i="28" s="1"/>
  <c r="AY601" i="28"/>
  <c r="BF601" i="28" s="1"/>
  <c r="AX601" i="28"/>
  <c r="BE601" i="28" s="1"/>
  <c r="AW601" i="28"/>
  <c r="BD601" i="28" s="1"/>
  <c r="AV601" i="28"/>
  <c r="BC601" i="28" s="1"/>
  <c r="AU601" i="28"/>
  <c r="BB601" i="28" s="1"/>
  <c r="AT601" i="28"/>
  <c r="BA601" i="28" s="1"/>
  <c r="AX600" i="28"/>
  <c r="BE600" i="28" s="1"/>
  <c r="AW600" i="28"/>
  <c r="BD600" i="28" s="1"/>
  <c r="AV600" i="28"/>
  <c r="BC600" i="28" s="1"/>
  <c r="AU600" i="28"/>
  <c r="BB600" i="28" s="1"/>
  <c r="AT600" i="28"/>
  <c r="BA600" i="28" s="1"/>
  <c r="AX599" i="28"/>
  <c r="BE599" i="28" s="1"/>
  <c r="AW599" i="28"/>
  <c r="BD599" i="28" s="1"/>
  <c r="AV599" i="28"/>
  <c r="BC599" i="28" s="1"/>
  <c r="AU599" i="28"/>
  <c r="BB599" i="28" s="1"/>
  <c r="AT599" i="28"/>
  <c r="BA599" i="28" s="1"/>
  <c r="AX598" i="28"/>
  <c r="BE598" i="28" s="1"/>
  <c r="AW598" i="28"/>
  <c r="BD598" i="28" s="1"/>
  <c r="AV598" i="28"/>
  <c r="BC598" i="28" s="1"/>
  <c r="AU598" i="28"/>
  <c r="BB598" i="28" s="1"/>
  <c r="AT598" i="28"/>
  <c r="BA598" i="28" s="1"/>
  <c r="AY597" i="28"/>
  <c r="BF597" i="28" s="1"/>
  <c r="AX597" i="28"/>
  <c r="BE597" i="28" s="1"/>
  <c r="AW597" i="28"/>
  <c r="BD597" i="28" s="1"/>
  <c r="AV597" i="28"/>
  <c r="BC597" i="28" s="1"/>
  <c r="AU597" i="28"/>
  <c r="BB597" i="28" s="1"/>
  <c r="AT597" i="28"/>
  <c r="BA597" i="28" s="1"/>
  <c r="AY596" i="28"/>
  <c r="BF596" i="28" s="1"/>
  <c r="AX596" i="28"/>
  <c r="BE596" i="28" s="1"/>
  <c r="AW596" i="28"/>
  <c r="BD596" i="28" s="1"/>
  <c r="AV596" i="28"/>
  <c r="BC596" i="28" s="1"/>
  <c r="AU596" i="28"/>
  <c r="BB596" i="28" s="1"/>
  <c r="AT596" i="28"/>
  <c r="BA596" i="28" s="1"/>
  <c r="AY595" i="28"/>
  <c r="BF595" i="28" s="1"/>
  <c r="AX595" i="28"/>
  <c r="BE595" i="28" s="1"/>
  <c r="AW595" i="28"/>
  <c r="BD595" i="28" s="1"/>
  <c r="AV595" i="28"/>
  <c r="BC595" i="28" s="1"/>
  <c r="AU595" i="28"/>
  <c r="BB595" i="28" s="1"/>
  <c r="AT595" i="28"/>
  <c r="BA595" i="28" s="1"/>
  <c r="AY594" i="28"/>
  <c r="BF594" i="28" s="1"/>
  <c r="AX594" i="28"/>
  <c r="BE594" i="28" s="1"/>
  <c r="AW594" i="28"/>
  <c r="BD594" i="28" s="1"/>
  <c r="AV594" i="28"/>
  <c r="BC594" i="28" s="1"/>
  <c r="AU594" i="28"/>
  <c r="BB594" i="28" s="1"/>
  <c r="AT594" i="28"/>
  <c r="BA594" i="28" s="1"/>
  <c r="AY593" i="28"/>
  <c r="BF593" i="28" s="1"/>
  <c r="AX593" i="28"/>
  <c r="BE593" i="28" s="1"/>
  <c r="AW593" i="28"/>
  <c r="BD593" i="28" s="1"/>
  <c r="AV593" i="28"/>
  <c r="BC593" i="28" s="1"/>
  <c r="AU593" i="28"/>
  <c r="BB593" i="28" s="1"/>
  <c r="AT593" i="28"/>
  <c r="BA593" i="28" s="1"/>
  <c r="AX592" i="28"/>
  <c r="BE592" i="28" s="1"/>
  <c r="AW592" i="28"/>
  <c r="BD592" i="28" s="1"/>
  <c r="AV592" i="28"/>
  <c r="BC592" i="28" s="1"/>
  <c r="AU592" i="28"/>
  <c r="BB592" i="28" s="1"/>
  <c r="AT592" i="28"/>
  <c r="BA592" i="28" s="1"/>
  <c r="AY591" i="28"/>
  <c r="BF591" i="28" s="1"/>
  <c r="AX591" i="28"/>
  <c r="BE591" i="28" s="1"/>
  <c r="AW591" i="28"/>
  <c r="BD591" i="28" s="1"/>
  <c r="AV591" i="28"/>
  <c r="BC591" i="28" s="1"/>
  <c r="AU591" i="28"/>
  <c r="BB591" i="28" s="1"/>
  <c r="AT591" i="28"/>
  <c r="BA591" i="28" s="1"/>
  <c r="AX590" i="28"/>
  <c r="BE590" i="28" s="1"/>
  <c r="AW590" i="28"/>
  <c r="BD590" i="28" s="1"/>
  <c r="AV590" i="28"/>
  <c r="BC590" i="28" s="1"/>
  <c r="AU590" i="28"/>
  <c r="BB590" i="28" s="1"/>
  <c r="AT590" i="28"/>
  <c r="BA590" i="28" s="1"/>
  <c r="AY589" i="28"/>
  <c r="BF589" i="28" s="1"/>
  <c r="AX589" i="28"/>
  <c r="BE589" i="28" s="1"/>
  <c r="AW589" i="28"/>
  <c r="BD589" i="28" s="1"/>
  <c r="AV589" i="28"/>
  <c r="BC589" i="28" s="1"/>
  <c r="AU589" i="28"/>
  <c r="BB589" i="28" s="1"/>
  <c r="AT589" i="28"/>
  <c r="BA589" i="28" s="1"/>
  <c r="AY588" i="28"/>
  <c r="BF588" i="28" s="1"/>
  <c r="AX588" i="28"/>
  <c r="BE588" i="28" s="1"/>
  <c r="AW588" i="28"/>
  <c r="BD588" i="28" s="1"/>
  <c r="AV588" i="28"/>
  <c r="BC588" i="28" s="1"/>
  <c r="AU588" i="28"/>
  <c r="BB588" i="28" s="1"/>
  <c r="AT588" i="28"/>
  <c r="BA588" i="28" s="1"/>
  <c r="AY587" i="28"/>
  <c r="BF587" i="28" s="1"/>
  <c r="AX587" i="28"/>
  <c r="BE587" i="28" s="1"/>
  <c r="AW587" i="28"/>
  <c r="BD587" i="28" s="1"/>
  <c r="AV587" i="28"/>
  <c r="BC587" i="28" s="1"/>
  <c r="AU587" i="28"/>
  <c r="BB587" i="28" s="1"/>
  <c r="AT587" i="28"/>
  <c r="BA587" i="28" s="1"/>
  <c r="AY586" i="28"/>
  <c r="BF586" i="28" s="1"/>
  <c r="AX586" i="28"/>
  <c r="BE586" i="28" s="1"/>
  <c r="AW586" i="28"/>
  <c r="BD586" i="28" s="1"/>
  <c r="AV586" i="28"/>
  <c r="BC586" i="28" s="1"/>
  <c r="AU586" i="28"/>
  <c r="BB586" i="28" s="1"/>
  <c r="AT586" i="28"/>
  <c r="BA586" i="28" s="1"/>
  <c r="AY585" i="28"/>
  <c r="BF585" i="28" s="1"/>
  <c r="AX585" i="28"/>
  <c r="BE585" i="28" s="1"/>
  <c r="AW585" i="28"/>
  <c r="BD585" i="28" s="1"/>
  <c r="AV585" i="28"/>
  <c r="BC585" i="28" s="1"/>
  <c r="AU585" i="28"/>
  <c r="BB585" i="28" s="1"/>
  <c r="AT585" i="28"/>
  <c r="BA585" i="28" s="1"/>
  <c r="AX584" i="28"/>
  <c r="BE584" i="28" s="1"/>
  <c r="AW584" i="28"/>
  <c r="BD584" i="28" s="1"/>
  <c r="AV584" i="28"/>
  <c r="BC584" i="28" s="1"/>
  <c r="AU584" i="28"/>
  <c r="BB584" i="28" s="1"/>
  <c r="AT584" i="28"/>
  <c r="BA584" i="28" s="1"/>
  <c r="AX583" i="28"/>
  <c r="BE583" i="28" s="1"/>
  <c r="AW583" i="28"/>
  <c r="BD583" i="28" s="1"/>
  <c r="AV583" i="28"/>
  <c r="BC583" i="28" s="1"/>
  <c r="AU583" i="28"/>
  <c r="BB583" i="28" s="1"/>
  <c r="AT583" i="28"/>
  <c r="BA583" i="28" s="1"/>
  <c r="AX582" i="28"/>
  <c r="BE582" i="28" s="1"/>
  <c r="AW582" i="28"/>
  <c r="BD582" i="28" s="1"/>
  <c r="AV582" i="28"/>
  <c r="BC582" i="28" s="1"/>
  <c r="AU582" i="28"/>
  <c r="BB582" i="28" s="1"/>
  <c r="AT582" i="28"/>
  <c r="BA582" i="28" s="1"/>
  <c r="AY581" i="28"/>
  <c r="BF581" i="28" s="1"/>
  <c r="AX581" i="28"/>
  <c r="BE581" i="28" s="1"/>
  <c r="AW581" i="28"/>
  <c r="BD581" i="28" s="1"/>
  <c r="AV581" i="28"/>
  <c r="BC581" i="28" s="1"/>
  <c r="AU581" i="28"/>
  <c r="BB581" i="28" s="1"/>
  <c r="AT581" i="28"/>
  <c r="BA581" i="28" s="1"/>
  <c r="AY580" i="28"/>
  <c r="BF580" i="28" s="1"/>
  <c r="AX580" i="28"/>
  <c r="BE580" i="28" s="1"/>
  <c r="AW580" i="28"/>
  <c r="BD580" i="28" s="1"/>
  <c r="AV580" i="28"/>
  <c r="BC580" i="28" s="1"/>
  <c r="AU580" i="28"/>
  <c r="BB580" i="28" s="1"/>
  <c r="AT580" i="28"/>
  <c r="BA580" i="28" s="1"/>
  <c r="AY579" i="28"/>
  <c r="BF579" i="28" s="1"/>
  <c r="AX579" i="28"/>
  <c r="BE579" i="28" s="1"/>
  <c r="AW579" i="28"/>
  <c r="BD579" i="28" s="1"/>
  <c r="AV579" i="28"/>
  <c r="BC579" i="28" s="1"/>
  <c r="AU579" i="28"/>
  <c r="BB579" i="28" s="1"/>
  <c r="AT579" i="28"/>
  <c r="BA579" i="28" s="1"/>
  <c r="AY578" i="28"/>
  <c r="BF578" i="28" s="1"/>
  <c r="AX578" i="28"/>
  <c r="BE578" i="28" s="1"/>
  <c r="AW578" i="28"/>
  <c r="BD578" i="28" s="1"/>
  <c r="AV578" i="28"/>
  <c r="BC578" i="28" s="1"/>
  <c r="AU578" i="28"/>
  <c r="BB578" i="28" s="1"/>
  <c r="AT578" i="28"/>
  <c r="BA578" i="28" s="1"/>
  <c r="AY577" i="28"/>
  <c r="BF577" i="28" s="1"/>
  <c r="AX577" i="28"/>
  <c r="BE577" i="28" s="1"/>
  <c r="AW577" i="28"/>
  <c r="BD577" i="28" s="1"/>
  <c r="AV577" i="28"/>
  <c r="BC577" i="28" s="1"/>
  <c r="AU577" i="28"/>
  <c r="BB577" i="28" s="1"/>
  <c r="AT577" i="28"/>
  <c r="BA577" i="28" s="1"/>
  <c r="AX576" i="28"/>
  <c r="BE576" i="28" s="1"/>
  <c r="AW576" i="28"/>
  <c r="BD576" i="28" s="1"/>
  <c r="AV576" i="28"/>
  <c r="BC576" i="28" s="1"/>
  <c r="AU576" i="28"/>
  <c r="BB576" i="28" s="1"/>
  <c r="AT576" i="28"/>
  <c r="BA576" i="28" s="1"/>
  <c r="AX575" i="28"/>
  <c r="BE575" i="28" s="1"/>
  <c r="AW575" i="28"/>
  <c r="BD575" i="28" s="1"/>
  <c r="AV575" i="28"/>
  <c r="BC575" i="28" s="1"/>
  <c r="AU575" i="28"/>
  <c r="BB575" i="28" s="1"/>
  <c r="AT575" i="28"/>
  <c r="BA575" i="28" s="1"/>
  <c r="AX574" i="28"/>
  <c r="BE574" i="28" s="1"/>
  <c r="AW574" i="28"/>
  <c r="BD574" i="28" s="1"/>
  <c r="AV574" i="28"/>
  <c r="BC574" i="28" s="1"/>
  <c r="AU574" i="28"/>
  <c r="BB574" i="28" s="1"/>
  <c r="AT574" i="28"/>
  <c r="BA574" i="28" s="1"/>
  <c r="AY573" i="28"/>
  <c r="BF573" i="28" s="1"/>
  <c r="AX573" i="28"/>
  <c r="BE573" i="28" s="1"/>
  <c r="AW573" i="28"/>
  <c r="BD573" i="28" s="1"/>
  <c r="AV573" i="28"/>
  <c r="BC573" i="28" s="1"/>
  <c r="AU573" i="28"/>
  <c r="BB573" i="28" s="1"/>
  <c r="AT573" i="28"/>
  <c r="BA573" i="28" s="1"/>
  <c r="AY572" i="28"/>
  <c r="BF572" i="28" s="1"/>
  <c r="AX572" i="28"/>
  <c r="BE572" i="28" s="1"/>
  <c r="AW572" i="28"/>
  <c r="BD572" i="28" s="1"/>
  <c r="AV572" i="28"/>
  <c r="BC572" i="28" s="1"/>
  <c r="AU572" i="28"/>
  <c r="BB572" i="28" s="1"/>
  <c r="AT572" i="28"/>
  <c r="BA572" i="28" s="1"/>
  <c r="AY571" i="28"/>
  <c r="BF571" i="28" s="1"/>
  <c r="AX571" i="28"/>
  <c r="BE571" i="28" s="1"/>
  <c r="AW571" i="28"/>
  <c r="BD571" i="28" s="1"/>
  <c r="AV571" i="28"/>
  <c r="BC571" i="28" s="1"/>
  <c r="AU571" i="28"/>
  <c r="BB571" i="28" s="1"/>
  <c r="AT571" i="28"/>
  <c r="BA571" i="28" s="1"/>
  <c r="AY570" i="28"/>
  <c r="BF570" i="28" s="1"/>
  <c r="AX570" i="28"/>
  <c r="BE570" i="28" s="1"/>
  <c r="AW570" i="28"/>
  <c r="BD570" i="28" s="1"/>
  <c r="AV570" i="28"/>
  <c r="BC570" i="28" s="1"/>
  <c r="AU570" i="28"/>
  <c r="BB570" i="28" s="1"/>
  <c r="AT570" i="28"/>
  <c r="BA570" i="28" s="1"/>
  <c r="AY569" i="28"/>
  <c r="BF569" i="28" s="1"/>
  <c r="AX569" i="28"/>
  <c r="BE569" i="28" s="1"/>
  <c r="AW569" i="28"/>
  <c r="BD569" i="28" s="1"/>
  <c r="AV569" i="28"/>
  <c r="BC569" i="28" s="1"/>
  <c r="AU569" i="28"/>
  <c r="BB569" i="28" s="1"/>
  <c r="AT569" i="28"/>
  <c r="BA569" i="28" s="1"/>
  <c r="AX568" i="28"/>
  <c r="BE568" i="28" s="1"/>
  <c r="AW568" i="28"/>
  <c r="BD568" i="28" s="1"/>
  <c r="AV568" i="28"/>
  <c r="BC568" i="28" s="1"/>
  <c r="AU568" i="28"/>
  <c r="BB568" i="28" s="1"/>
  <c r="AT568" i="28"/>
  <c r="BA568" i="28" s="1"/>
  <c r="AY567" i="28"/>
  <c r="BF567" i="28" s="1"/>
  <c r="AX567" i="28"/>
  <c r="BE567" i="28" s="1"/>
  <c r="AW567" i="28"/>
  <c r="BD567" i="28" s="1"/>
  <c r="AV567" i="28"/>
  <c r="BC567" i="28" s="1"/>
  <c r="AU567" i="28"/>
  <c r="BB567" i="28" s="1"/>
  <c r="AT567" i="28"/>
  <c r="BA567" i="28" s="1"/>
  <c r="AX566" i="28"/>
  <c r="BE566" i="28" s="1"/>
  <c r="AW566" i="28"/>
  <c r="BD566" i="28" s="1"/>
  <c r="AV566" i="28"/>
  <c r="BC566" i="28" s="1"/>
  <c r="AU566" i="28"/>
  <c r="BB566" i="28" s="1"/>
  <c r="AT566" i="28"/>
  <c r="BA566" i="28" s="1"/>
  <c r="AY565" i="28"/>
  <c r="BF565" i="28" s="1"/>
  <c r="AX565" i="28"/>
  <c r="BE565" i="28" s="1"/>
  <c r="AW565" i="28"/>
  <c r="BD565" i="28" s="1"/>
  <c r="AV565" i="28"/>
  <c r="BC565" i="28" s="1"/>
  <c r="AU565" i="28"/>
  <c r="BB565" i="28" s="1"/>
  <c r="AT565" i="28"/>
  <c r="BA565" i="28" s="1"/>
  <c r="AY564" i="28"/>
  <c r="BF564" i="28" s="1"/>
  <c r="AX564" i="28"/>
  <c r="BE564" i="28" s="1"/>
  <c r="AW564" i="28"/>
  <c r="BD564" i="28" s="1"/>
  <c r="AV564" i="28"/>
  <c r="BC564" i="28" s="1"/>
  <c r="AU564" i="28"/>
  <c r="BB564" i="28" s="1"/>
  <c r="AT564" i="28"/>
  <c r="BA564" i="28" s="1"/>
  <c r="AY563" i="28"/>
  <c r="BF563" i="28" s="1"/>
  <c r="AX563" i="28"/>
  <c r="BE563" i="28" s="1"/>
  <c r="AW563" i="28"/>
  <c r="BD563" i="28" s="1"/>
  <c r="AV563" i="28"/>
  <c r="BC563" i="28" s="1"/>
  <c r="AU563" i="28"/>
  <c r="BB563" i="28" s="1"/>
  <c r="AT563" i="28"/>
  <c r="BA563" i="28" s="1"/>
  <c r="AY562" i="28"/>
  <c r="BF562" i="28" s="1"/>
  <c r="AX562" i="28"/>
  <c r="BE562" i="28" s="1"/>
  <c r="AW562" i="28"/>
  <c r="BD562" i="28" s="1"/>
  <c r="AV562" i="28"/>
  <c r="BC562" i="28" s="1"/>
  <c r="AU562" i="28"/>
  <c r="BB562" i="28" s="1"/>
  <c r="AT562" i="28"/>
  <c r="BA562" i="28" s="1"/>
  <c r="AY561" i="28"/>
  <c r="BF561" i="28" s="1"/>
  <c r="AX561" i="28"/>
  <c r="BE561" i="28" s="1"/>
  <c r="AW561" i="28"/>
  <c r="BD561" i="28" s="1"/>
  <c r="AV561" i="28"/>
  <c r="BC561" i="28" s="1"/>
  <c r="AU561" i="28"/>
  <c r="BB561" i="28" s="1"/>
  <c r="AT561" i="28"/>
  <c r="BA561" i="28" s="1"/>
  <c r="AX560" i="28"/>
  <c r="BE560" i="28" s="1"/>
  <c r="AW560" i="28"/>
  <c r="BD560" i="28" s="1"/>
  <c r="AV560" i="28"/>
  <c r="BC560" i="28" s="1"/>
  <c r="AU560" i="28"/>
  <c r="BB560" i="28" s="1"/>
  <c r="AT560" i="28"/>
  <c r="BA560" i="28" s="1"/>
  <c r="AX559" i="28"/>
  <c r="BE559" i="28" s="1"/>
  <c r="AW559" i="28"/>
  <c r="BD559" i="28" s="1"/>
  <c r="AV559" i="28"/>
  <c r="BC559" i="28" s="1"/>
  <c r="AU559" i="28"/>
  <c r="BB559" i="28" s="1"/>
  <c r="AT559" i="28"/>
  <c r="BA559" i="28" s="1"/>
  <c r="AX558" i="28"/>
  <c r="BE558" i="28" s="1"/>
  <c r="AW558" i="28"/>
  <c r="BD558" i="28" s="1"/>
  <c r="AV558" i="28"/>
  <c r="BC558" i="28" s="1"/>
  <c r="AU558" i="28"/>
  <c r="BB558" i="28" s="1"/>
  <c r="AT558" i="28"/>
  <c r="BA558" i="28" s="1"/>
  <c r="AY557" i="28"/>
  <c r="BF557" i="28" s="1"/>
  <c r="AX557" i="28"/>
  <c r="BE557" i="28" s="1"/>
  <c r="AW557" i="28"/>
  <c r="BD557" i="28" s="1"/>
  <c r="AV557" i="28"/>
  <c r="BC557" i="28" s="1"/>
  <c r="AU557" i="28"/>
  <c r="BB557" i="28" s="1"/>
  <c r="AT557" i="28"/>
  <c r="BA557" i="28" s="1"/>
  <c r="AY556" i="28"/>
  <c r="BF556" i="28" s="1"/>
  <c r="AX556" i="28"/>
  <c r="BE556" i="28" s="1"/>
  <c r="AW556" i="28"/>
  <c r="BD556" i="28" s="1"/>
  <c r="AV556" i="28"/>
  <c r="BC556" i="28" s="1"/>
  <c r="AU556" i="28"/>
  <c r="BB556" i="28" s="1"/>
  <c r="AT556" i="28"/>
  <c r="BA556" i="28" s="1"/>
  <c r="AY555" i="28"/>
  <c r="BF555" i="28" s="1"/>
  <c r="AX555" i="28"/>
  <c r="BE555" i="28" s="1"/>
  <c r="AW555" i="28"/>
  <c r="BD555" i="28" s="1"/>
  <c r="AV555" i="28"/>
  <c r="BC555" i="28" s="1"/>
  <c r="AU555" i="28"/>
  <c r="BB555" i="28" s="1"/>
  <c r="AT555" i="28"/>
  <c r="BA555" i="28" s="1"/>
  <c r="AY554" i="28"/>
  <c r="BF554" i="28" s="1"/>
  <c r="AX554" i="28"/>
  <c r="BE554" i="28" s="1"/>
  <c r="AW554" i="28"/>
  <c r="BD554" i="28" s="1"/>
  <c r="AV554" i="28"/>
  <c r="BC554" i="28" s="1"/>
  <c r="AU554" i="28"/>
  <c r="BB554" i="28" s="1"/>
  <c r="AT554" i="28"/>
  <c r="BA554" i="28" s="1"/>
  <c r="AY553" i="28"/>
  <c r="BF553" i="28" s="1"/>
  <c r="AX553" i="28"/>
  <c r="BE553" i="28" s="1"/>
  <c r="AW553" i="28"/>
  <c r="BD553" i="28" s="1"/>
  <c r="AV553" i="28"/>
  <c r="BC553" i="28" s="1"/>
  <c r="AU553" i="28"/>
  <c r="BB553" i="28" s="1"/>
  <c r="AT553" i="28"/>
  <c r="BA553" i="28" s="1"/>
  <c r="AX552" i="28"/>
  <c r="BE552" i="28" s="1"/>
  <c r="AW552" i="28"/>
  <c r="BD552" i="28" s="1"/>
  <c r="AV552" i="28"/>
  <c r="BC552" i="28" s="1"/>
  <c r="AU552" i="28"/>
  <c r="BB552" i="28" s="1"/>
  <c r="AT552" i="28"/>
  <c r="BA552" i="28" s="1"/>
  <c r="AY551" i="28"/>
  <c r="BF551" i="28" s="1"/>
  <c r="AX551" i="28"/>
  <c r="BE551" i="28" s="1"/>
  <c r="AW551" i="28"/>
  <c r="BD551" i="28" s="1"/>
  <c r="AV551" i="28"/>
  <c r="BC551" i="28" s="1"/>
  <c r="AU551" i="28"/>
  <c r="BB551" i="28" s="1"/>
  <c r="AT551" i="28"/>
  <c r="BA551" i="28" s="1"/>
  <c r="AX550" i="28"/>
  <c r="BE550" i="28" s="1"/>
  <c r="AW550" i="28"/>
  <c r="BD550" i="28" s="1"/>
  <c r="AV550" i="28"/>
  <c r="BC550" i="28" s="1"/>
  <c r="AU550" i="28"/>
  <c r="BB550" i="28" s="1"/>
  <c r="AT550" i="28"/>
  <c r="BA550" i="28" s="1"/>
  <c r="AY549" i="28"/>
  <c r="BF549" i="28" s="1"/>
  <c r="AX549" i="28"/>
  <c r="BE549" i="28" s="1"/>
  <c r="AW549" i="28"/>
  <c r="BD549" i="28" s="1"/>
  <c r="AV549" i="28"/>
  <c r="BC549" i="28" s="1"/>
  <c r="AU549" i="28"/>
  <c r="BB549" i="28" s="1"/>
  <c r="AT549" i="28"/>
  <c r="BA549" i="28" s="1"/>
  <c r="AY548" i="28"/>
  <c r="BF548" i="28" s="1"/>
  <c r="AX548" i="28"/>
  <c r="BE548" i="28" s="1"/>
  <c r="AW548" i="28"/>
  <c r="BD548" i="28" s="1"/>
  <c r="AV548" i="28"/>
  <c r="BC548" i="28" s="1"/>
  <c r="AU548" i="28"/>
  <c r="BB548" i="28" s="1"/>
  <c r="AT548" i="28"/>
  <c r="BA548" i="28" s="1"/>
  <c r="AY547" i="28"/>
  <c r="BF547" i="28" s="1"/>
  <c r="AX547" i="28"/>
  <c r="BE547" i="28" s="1"/>
  <c r="AW547" i="28"/>
  <c r="BD547" i="28" s="1"/>
  <c r="AV547" i="28"/>
  <c r="BC547" i="28" s="1"/>
  <c r="AU547" i="28"/>
  <c r="BB547" i="28" s="1"/>
  <c r="AT547" i="28"/>
  <c r="BA547" i="28" s="1"/>
  <c r="AY546" i="28"/>
  <c r="BF546" i="28" s="1"/>
  <c r="AX546" i="28"/>
  <c r="BE546" i="28" s="1"/>
  <c r="AW546" i="28"/>
  <c r="BD546" i="28" s="1"/>
  <c r="AV546" i="28"/>
  <c r="BC546" i="28" s="1"/>
  <c r="AU546" i="28"/>
  <c r="BB546" i="28" s="1"/>
  <c r="AT546" i="28"/>
  <c r="BA546" i="28" s="1"/>
  <c r="AY545" i="28"/>
  <c r="BF545" i="28" s="1"/>
  <c r="AX545" i="28"/>
  <c r="BE545" i="28" s="1"/>
  <c r="AW545" i="28"/>
  <c r="BD545" i="28" s="1"/>
  <c r="AV545" i="28"/>
  <c r="BC545" i="28" s="1"/>
  <c r="AU545" i="28"/>
  <c r="BB545" i="28" s="1"/>
  <c r="AT545" i="28"/>
  <c r="BA545" i="28" s="1"/>
  <c r="AX544" i="28"/>
  <c r="BE544" i="28" s="1"/>
  <c r="AW544" i="28"/>
  <c r="BD544" i="28" s="1"/>
  <c r="AV544" i="28"/>
  <c r="BC544" i="28" s="1"/>
  <c r="AU544" i="28"/>
  <c r="BB544" i="28" s="1"/>
  <c r="AT544" i="28"/>
  <c r="BA544" i="28" s="1"/>
  <c r="AY543" i="28"/>
  <c r="BF543" i="28" s="1"/>
  <c r="AX543" i="28"/>
  <c r="BE543" i="28" s="1"/>
  <c r="AW543" i="28"/>
  <c r="BD543" i="28" s="1"/>
  <c r="AV543" i="28"/>
  <c r="BC543" i="28" s="1"/>
  <c r="AU543" i="28"/>
  <c r="BB543" i="28" s="1"/>
  <c r="AT543" i="28"/>
  <c r="BA543" i="28" s="1"/>
  <c r="AX542" i="28"/>
  <c r="BE542" i="28" s="1"/>
  <c r="AW542" i="28"/>
  <c r="BD542" i="28" s="1"/>
  <c r="AV542" i="28"/>
  <c r="BC542" i="28" s="1"/>
  <c r="AU542" i="28"/>
  <c r="BB542" i="28" s="1"/>
  <c r="AT542" i="28"/>
  <c r="BA542" i="28" s="1"/>
  <c r="AY541" i="28"/>
  <c r="BF541" i="28" s="1"/>
  <c r="AX541" i="28"/>
  <c r="BE541" i="28" s="1"/>
  <c r="AW541" i="28"/>
  <c r="BD541" i="28" s="1"/>
  <c r="AV541" i="28"/>
  <c r="BC541" i="28" s="1"/>
  <c r="AU541" i="28"/>
  <c r="BB541" i="28" s="1"/>
  <c r="AT541" i="28"/>
  <c r="BA541" i="28" s="1"/>
  <c r="AY540" i="28"/>
  <c r="BF540" i="28" s="1"/>
  <c r="AX540" i="28"/>
  <c r="BE540" i="28" s="1"/>
  <c r="AW540" i="28"/>
  <c r="BD540" i="28" s="1"/>
  <c r="AV540" i="28"/>
  <c r="BC540" i="28" s="1"/>
  <c r="AU540" i="28"/>
  <c r="BB540" i="28" s="1"/>
  <c r="AT540" i="28"/>
  <c r="BA540" i="28" s="1"/>
  <c r="AY539" i="28"/>
  <c r="BF539" i="28" s="1"/>
  <c r="AX539" i="28"/>
  <c r="BE539" i="28" s="1"/>
  <c r="AW539" i="28"/>
  <c r="BD539" i="28" s="1"/>
  <c r="AV539" i="28"/>
  <c r="BC539" i="28" s="1"/>
  <c r="AU539" i="28"/>
  <c r="BB539" i="28" s="1"/>
  <c r="AT539" i="28"/>
  <c r="BA539" i="28" s="1"/>
  <c r="AY538" i="28"/>
  <c r="BF538" i="28" s="1"/>
  <c r="AX538" i="28"/>
  <c r="BE538" i="28" s="1"/>
  <c r="AW538" i="28"/>
  <c r="BD538" i="28" s="1"/>
  <c r="AV538" i="28"/>
  <c r="BC538" i="28" s="1"/>
  <c r="AU538" i="28"/>
  <c r="BB538" i="28" s="1"/>
  <c r="AT538" i="28"/>
  <c r="BA538" i="28" s="1"/>
  <c r="AY537" i="28"/>
  <c r="BF537" i="28" s="1"/>
  <c r="AX537" i="28"/>
  <c r="BE537" i="28" s="1"/>
  <c r="AW537" i="28"/>
  <c r="BD537" i="28" s="1"/>
  <c r="AV537" i="28"/>
  <c r="BC537" i="28" s="1"/>
  <c r="AU537" i="28"/>
  <c r="BB537" i="28" s="1"/>
  <c r="AT537" i="28"/>
  <c r="BA537" i="28" s="1"/>
  <c r="AX536" i="28"/>
  <c r="BE536" i="28" s="1"/>
  <c r="AW536" i="28"/>
  <c r="BD536" i="28" s="1"/>
  <c r="AV536" i="28"/>
  <c r="BC536" i="28" s="1"/>
  <c r="AU536" i="28"/>
  <c r="BB536" i="28" s="1"/>
  <c r="AT536" i="28"/>
  <c r="BA536" i="28" s="1"/>
  <c r="AX535" i="28"/>
  <c r="BE535" i="28" s="1"/>
  <c r="AW535" i="28"/>
  <c r="BD535" i="28" s="1"/>
  <c r="AV535" i="28"/>
  <c r="BC535" i="28" s="1"/>
  <c r="AU535" i="28"/>
  <c r="BB535" i="28" s="1"/>
  <c r="AT535" i="28"/>
  <c r="BA535" i="28" s="1"/>
  <c r="AX534" i="28"/>
  <c r="BE534" i="28" s="1"/>
  <c r="AW534" i="28"/>
  <c r="BD534" i="28" s="1"/>
  <c r="AV534" i="28"/>
  <c r="BC534" i="28" s="1"/>
  <c r="AU534" i="28"/>
  <c r="BB534" i="28" s="1"/>
  <c r="AT534" i="28"/>
  <c r="BA534" i="28" s="1"/>
  <c r="AY533" i="28"/>
  <c r="BF533" i="28" s="1"/>
  <c r="AX533" i="28"/>
  <c r="BE533" i="28" s="1"/>
  <c r="AW533" i="28"/>
  <c r="BD533" i="28" s="1"/>
  <c r="AV533" i="28"/>
  <c r="BC533" i="28" s="1"/>
  <c r="AU533" i="28"/>
  <c r="BB533" i="28" s="1"/>
  <c r="AT533" i="28"/>
  <c r="BA533" i="28" s="1"/>
  <c r="AY532" i="28"/>
  <c r="BF532" i="28" s="1"/>
  <c r="AX532" i="28"/>
  <c r="BE532" i="28" s="1"/>
  <c r="AW532" i="28"/>
  <c r="BD532" i="28" s="1"/>
  <c r="AV532" i="28"/>
  <c r="BC532" i="28" s="1"/>
  <c r="AU532" i="28"/>
  <c r="BB532" i="28" s="1"/>
  <c r="AT532" i="28"/>
  <c r="BA532" i="28" s="1"/>
  <c r="AY531" i="28"/>
  <c r="BF531" i="28" s="1"/>
  <c r="AX531" i="28"/>
  <c r="BE531" i="28" s="1"/>
  <c r="AW531" i="28"/>
  <c r="BD531" i="28" s="1"/>
  <c r="AV531" i="28"/>
  <c r="BC531" i="28" s="1"/>
  <c r="AU531" i="28"/>
  <c r="BB531" i="28" s="1"/>
  <c r="AT531" i="28"/>
  <c r="BA531" i="28" s="1"/>
  <c r="AY530" i="28"/>
  <c r="BF530" i="28" s="1"/>
  <c r="AX530" i="28"/>
  <c r="BE530" i="28" s="1"/>
  <c r="AW530" i="28"/>
  <c r="BD530" i="28" s="1"/>
  <c r="AV530" i="28"/>
  <c r="BC530" i="28" s="1"/>
  <c r="AU530" i="28"/>
  <c r="BB530" i="28" s="1"/>
  <c r="AT530" i="28"/>
  <c r="BA530" i="28" s="1"/>
  <c r="AY529" i="28"/>
  <c r="BF529" i="28" s="1"/>
  <c r="AX529" i="28"/>
  <c r="BE529" i="28" s="1"/>
  <c r="AW529" i="28"/>
  <c r="BD529" i="28" s="1"/>
  <c r="AV529" i="28"/>
  <c r="BC529" i="28" s="1"/>
  <c r="AU529" i="28"/>
  <c r="BB529" i="28" s="1"/>
  <c r="AT529" i="28"/>
  <c r="BA529" i="28" s="1"/>
  <c r="AX528" i="28"/>
  <c r="BE528" i="28" s="1"/>
  <c r="AW528" i="28"/>
  <c r="BD528" i="28" s="1"/>
  <c r="AV528" i="28"/>
  <c r="BC528" i="28" s="1"/>
  <c r="AU528" i="28"/>
  <c r="BB528" i="28" s="1"/>
  <c r="AT528" i="28"/>
  <c r="BA528" i="28" s="1"/>
  <c r="AX527" i="28"/>
  <c r="BE527" i="28" s="1"/>
  <c r="AW527" i="28"/>
  <c r="BD527" i="28" s="1"/>
  <c r="AV527" i="28"/>
  <c r="BC527" i="28" s="1"/>
  <c r="AU527" i="28"/>
  <c r="BB527" i="28" s="1"/>
  <c r="AT527" i="28"/>
  <c r="BA527" i="28" s="1"/>
  <c r="AX526" i="28"/>
  <c r="BE526" i="28" s="1"/>
  <c r="AW526" i="28"/>
  <c r="BD526" i="28" s="1"/>
  <c r="AV526" i="28"/>
  <c r="BC526" i="28" s="1"/>
  <c r="AU526" i="28"/>
  <c r="BB526" i="28" s="1"/>
  <c r="AT526" i="28"/>
  <c r="BA526" i="28" s="1"/>
  <c r="AY525" i="28"/>
  <c r="BF525" i="28" s="1"/>
  <c r="AX525" i="28"/>
  <c r="BE525" i="28" s="1"/>
  <c r="AW525" i="28"/>
  <c r="BD525" i="28" s="1"/>
  <c r="AV525" i="28"/>
  <c r="BC525" i="28" s="1"/>
  <c r="AU525" i="28"/>
  <c r="BB525" i="28" s="1"/>
  <c r="AT525" i="28"/>
  <c r="BA525" i="28" s="1"/>
  <c r="AY524" i="28"/>
  <c r="BF524" i="28" s="1"/>
  <c r="AX524" i="28"/>
  <c r="BE524" i="28" s="1"/>
  <c r="AW524" i="28"/>
  <c r="BD524" i="28" s="1"/>
  <c r="AV524" i="28"/>
  <c r="BC524" i="28" s="1"/>
  <c r="AU524" i="28"/>
  <c r="BB524" i="28" s="1"/>
  <c r="AT524" i="28"/>
  <c r="BA524" i="28" s="1"/>
  <c r="AY523" i="28"/>
  <c r="BF523" i="28" s="1"/>
  <c r="AX523" i="28"/>
  <c r="BE523" i="28" s="1"/>
  <c r="AW523" i="28"/>
  <c r="BD523" i="28" s="1"/>
  <c r="AV523" i="28"/>
  <c r="BC523" i="28" s="1"/>
  <c r="AU523" i="28"/>
  <c r="BB523" i="28" s="1"/>
  <c r="AT523" i="28"/>
  <c r="BA523" i="28" s="1"/>
  <c r="AY522" i="28"/>
  <c r="BF522" i="28" s="1"/>
  <c r="AX522" i="28"/>
  <c r="BE522" i="28" s="1"/>
  <c r="AW522" i="28"/>
  <c r="BD522" i="28" s="1"/>
  <c r="AV522" i="28"/>
  <c r="BC522" i="28" s="1"/>
  <c r="AU522" i="28"/>
  <c r="BB522" i="28" s="1"/>
  <c r="AT522" i="28"/>
  <c r="BA522" i="28" s="1"/>
  <c r="AY521" i="28"/>
  <c r="BF521" i="28" s="1"/>
  <c r="AX521" i="28"/>
  <c r="BE521" i="28" s="1"/>
  <c r="AW521" i="28"/>
  <c r="BD521" i="28" s="1"/>
  <c r="AV521" i="28"/>
  <c r="BC521" i="28" s="1"/>
  <c r="AU521" i="28"/>
  <c r="BB521" i="28" s="1"/>
  <c r="AT521" i="28"/>
  <c r="BA521" i="28" s="1"/>
  <c r="AX520" i="28"/>
  <c r="BE520" i="28" s="1"/>
  <c r="AW520" i="28"/>
  <c r="BD520" i="28" s="1"/>
  <c r="AV520" i="28"/>
  <c r="BC520" i="28" s="1"/>
  <c r="AU520" i="28"/>
  <c r="BB520" i="28" s="1"/>
  <c r="AT520" i="28"/>
  <c r="BA520" i="28" s="1"/>
  <c r="AY519" i="28"/>
  <c r="BF519" i="28" s="1"/>
  <c r="AX519" i="28"/>
  <c r="BE519" i="28" s="1"/>
  <c r="AW519" i="28"/>
  <c r="BD519" i="28" s="1"/>
  <c r="AV519" i="28"/>
  <c r="BC519" i="28" s="1"/>
  <c r="AU519" i="28"/>
  <c r="BB519" i="28" s="1"/>
  <c r="AT519" i="28"/>
  <c r="BA519" i="28" s="1"/>
  <c r="AY518" i="28"/>
  <c r="BF518" i="28" s="1"/>
  <c r="AX518" i="28"/>
  <c r="BE518" i="28" s="1"/>
  <c r="AW518" i="28"/>
  <c r="BD518" i="28" s="1"/>
  <c r="AV518" i="28"/>
  <c r="BC518" i="28" s="1"/>
  <c r="AU518" i="28"/>
  <c r="BB518" i="28" s="1"/>
  <c r="AT518" i="28"/>
  <c r="BA518" i="28" s="1"/>
  <c r="AY517" i="28"/>
  <c r="BF517" i="28" s="1"/>
  <c r="AX517" i="28"/>
  <c r="BE517" i="28" s="1"/>
  <c r="AW517" i="28"/>
  <c r="BD517" i="28" s="1"/>
  <c r="AV517" i="28"/>
  <c r="BC517" i="28" s="1"/>
  <c r="AU517" i="28"/>
  <c r="BB517" i="28" s="1"/>
  <c r="AT517" i="28"/>
  <c r="BA517" i="28" s="1"/>
  <c r="AY516" i="28"/>
  <c r="BF516" i="28" s="1"/>
  <c r="AX516" i="28"/>
  <c r="BE516" i="28" s="1"/>
  <c r="AW516" i="28"/>
  <c r="BD516" i="28" s="1"/>
  <c r="AV516" i="28"/>
  <c r="BC516" i="28" s="1"/>
  <c r="AU516" i="28"/>
  <c r="BB516" i="28" s="1"/>
  <c r="AT516" i="28"/>
  <c r="BA516" i="28" s="1"/>
  <c r="AY515" i="28"/>
  <c r="BF515" i="28" s="1"/>
  <c r="AX515" i="28"/>
  <c r="BE515" i="28" s="1"/>
  <c r="AW515" i="28"/>
  <c r="BD515" i="28" s="1"/>
  <c r="AV515" i="28"/>
  <c r="BC515" i="28" s="1"/>
  <c r="AU515" i="28"/>
  <c r="BB515" i="28" s="1"/>
  <c r="AT515" i="28"/>
  <c r="BA515" i="28" s="1"/>
  <c r="AY514" i="28"/>
  <c r="BF514" i="28" s="1"/>
  <c r="AX514" i="28"/>
  <c r="BE514" i="28" s="1"/>
  <c r="AW514" i="28"/>
  <c r="BD514" i="28" s="1"/>
  <c r="AV514" i="28"/>
  <c r="BC514" i="28" s="1"/>
  <c r="AU514" i="28"/>
  <c r="BB514" i="28" s="1"/>
  <c r="AT514" i="28"/>
  <c r="BA514" i="28" s="1"/>
  <c r="AY513" i="28"/>
  <c r="BF513" i="28" s="1"/>
  <c r="AX513" i="28"/>
  <c r="BE513" i="28" s="1"/>
  <c r="AW513" i="28"/>
  <c r="BD513" i="28" s="1"/>
  <c r="AV513" i="28"/>
  <c r="BC513" i="28" s="1"/>
  <c r="AU513" i="28"/>
  <c r="BB513" i="28" s="1"/>
  <c r="AT513" i="28"/>
  <c r="BA513" i="28" s="1"/>
  <c r="AX512" i="28"/>
  <c r="BE512" i="28" s="1"/>
  <c r="AW512" i="28"/>
  <c r="BD512" i="28" s="1"/>
  <c r="AV512" i="28"/>
  <c r="BC512" i="28" s="1"/>
  <c r="AU512" i="28"/>
  <c r="BB512" i="28" s="1"/>
  <c r="AT512" i="28"/>
  <c r="BA512" i="28" s="1"/>
  <c r="AX511" i="28"/>
  <c r="BE511" i="28" s="1"/>
  <c r="AW511" i="28"/>
  <c r="BD511" i="28" s="1"/>
  <c r="AV511" i="28"/>
  <c r="BC511" i="28" s="1"/>
  <c r="AU511" i="28"/>
  <c r="BB511" i="28" s="1"/>
  <c r="AT511" i="28"/>
  <c r="BA511" i="28" s="1"/>
  <c r="AX510" i="28"/>
  <c r="BE510" i="28" s="1"/>
  <c r="AW510" i="28"/>
  <c r="BD510" i="28" s="1"/>
  <c r="AV510" i="28"/>
  <c r="BC510" i="28" s="1"/>
  <c r="AU510" i="28"/>
  <c r="BB510" i="28" s="1"/>
  <c r="AT510" i="28"/>
  <c r="BA510" i="28" s="1"/>
  <c r="AY509" i="28"/>
  <c r="BF509" i="28" s="1"/>
  <c r="AX509" i="28"/>
  <c r="BE509" i="28" s="1"/>
  <c r="AW509" i="28"/>
  <c r="BD509" i="28" s="1"/>
  <c r="AV509" i="28"/>
  <c r="BC509" i="28" s="1"/>
  <c r="AU509" i="28"/>
  <c r="BB509" i="28" s="1"/>
  <c r="AT509" i="28"/>
  <c r="BA509" i="28" s="1"/>
  <c r="AY508" i="28"/>
  <c r="BF508" i="28" s="1"/>
  <c r="AX508" i="28"/>
  <c r="BE508" i="28" s="1"/>
  <c r="AW508" i="28"/>
  <c r="BD508" i="28" s="1"/>
  <c r="AV508" i="28"/>
  <c r="BC508" i="28" s="1"/>
  <c r="AU508" i="28"/>
  <c r="BB508" i="28" s="1"/>
  <c r="AT508" i="28"/>
  <c r="BA508" i="28" s="1"/>
  <c r="AY507" i="28"/>
  <c r="BF507" i="28" s="1"/>
  <c r="AX507" i="28"/>
  <c r="BE507" i="28" s="1"/>
  <c r="AW507" i="28"/>
  <c r="BD507" i="28" s="1"/>
  <c r="AV507" i="28"/>
  <c r="BC507" i="28" s="1"/>
  <c r="AU507" i="28"/>
  <c r="BB507" i="28" s="1"/>
  <c r="AT507" i="28"/>
  <c r="BA507" i="28" s="1"/>
  <c r="AY506" i="28"/>
  <c r="BF506" i="28" s="1"/>
  <c r="AX506" i="28"/>
  <c r="BE506" i="28" s="1"/>
  <c r="AW506" i="28"/>
  <c r="BD506" i="28" s="1"/>
  <c r="AV506" i="28"/>
  <c r="BC506" i="28" s="1"/>
  <c r="AU506" i="28"/>
  <c r="BB506" i="28" s="1"/>
  <c r="AT506" i="28"/>
  <c r="BA506" i="28" s="1"/>
  <c r="AY505" i="28"/>
  <c r="BF505" i="28" s="1"/>
  <c r="AX505" i="28"/>
  <c r="BE505" i="28" s="1"/>
  <c r="AW505" i="28"/>
  <c r="BD505" i="28" s="1"/>
  <c r="AV505" i="28"/>
  <c r="BC505" i="28" s="1"/>
  <c r="AU505" i="28"/>
  <c r="BB505" i="28" s="1"/>
  <c r="AT505" i="28"/>
  <c r="BA505" i="28" s="1"/>
  <c r="AX504" i="28"/>
  <c r="BE504" i="28" s="1"/>
  <c r="AW504" i="28"/>
  <c r="BD504" i="28" s="1"/>
  <c r="AV504" i="28"/>
  <c r="BC504" i="28" s="1"/>
  <c r="AU504" i="28"/>
  <c r="BB504" i="28" s="1"/>
  <c r="AT504" i="28"/>
  <c r="BA504" i="28" s="1"/>
  <c r="AX503" i="28"/>
  <c r="BE503" i="28" s="1"/>
  <c r="AW503" i="28"/>
  <c r="BD503" i="28" s="1"/>
  <c r="AV503" i="28"/>
  <c r="BC503" i="28" s="1"/>
  <c r="AU503" i="28"/>
  <c r="BB503" i="28" s="1"/>
  <c r="AT503" i="28"/>
  <c r="BA503" i="28" s="1"/>
  <c r="AY502" i="28"/>
  <c r="BF502" i="28" s="1"/>
  <c r="AX502" i="28"/>
  <c r="BE502" i="28" s="1"/>
  <c r="AW502" i="28"/>
  <c r="BD502" i="28" s="1"/>
  <c r="AV502" i="28"/>
  <c r="BC502" i="28" s="1"/>
  <c r="AU502" i="28"/>
  <c r="BB502" i="28" s="1"/>
  <c r="AT502" i="28"/>
  <c r="BA502" i="28" s="1"/>
  <c r="AY501" i="28"/>
  <c r="BF501" i="28" s="1"/>
  <c r="AX501" i="28"/>
  <c r="BE501" i="28" s="1"/>
  <c r="AW501" i="28"/>
  <c r="BD501" i="28" s="1"/>
  <c r="AV501" i="28"/>
  <c r="BC501" i="28" s="1"/>
  <c r="AU501" i="28"/>
  <c r="BB501" i="28" s="1"/>
  <c r="AT501" i="28"/>
  <c r="BA501" i="28" s="1"/>
  <c r="AY500" i="28"/>
  <c r="BF500" i="28" s="1"/>
  <c r="AX500" i="28"/>
  <c r="BE500" i="28" s="1"/>
  <c r="AW500" i="28"/>
  <c r="BD500" i="28" s="1"/>
  <c r="AV500" i="28"/>
  <c r="BC500" i="28" s="1"/>
  <c r="AU500" i="28"/>
  <c r="BB500" i="28" s="1"/>
  <c r="AT500" i="28"/>
  <c r="BA500" i="28" s="1"/>
  <c r="AY499" i="28"/>
  <c r="BF499" i="28" s="1"/>
  <c r="AX499" i="28"/>
  <c r="BE499" i="28" s="1"/>
  <c r="AW499" i="28"/>
  <c r="BD499" i="28" s="1"/>
  <c r="AV499" i="28"/>
  <c r="BC499" i="28" s="1"/>
  <c r="AU499" i="28"/>
  <c r="BB499" i="28" s="1"/>
  <c r="AT499" i="28"/>
  <c r="BA499" i="28" s="1"/>
  <c r="AY498" i="28"/>
  <c r="BF498" i="28" s="1"/>
  <c r="AX498" i="28"/>
  <c r="BE498" i="28" s="1"/>
  <c r="AW498" i="28"/>
  <c r="BD498" i="28" s="1"/>
  <c r="AV498" i="28"/>
  <c r="BC498" i="28" s="1"/>
  <c r="AU498" i="28"/>
  <c r="BB498" i="28" s="1"/>
  <c r="AT498" i="28"/>
  <c r="BA498" i="28" s="1"/>
  <c r="AY497" i="28"/>
  <c r="BF497" i="28" s="1"/>
  <c r="AX497" i="28"/>
  <c r="BE497" i="28" s="1"/>
  <c r="AW497" i="28"/>
  <c r="BD497" i="28" s="1"/>
  <c r="AV497" i="28"/>
  <c r="BC497" i="28" s="1"/>
  <c r="AU497" i="28"/>
  <c r="BB497" i="28" s="1"/>
  <c r="AT497" i="28"/>
  <c r="BA497" i="28" s="1"/>
  <c r="AX496" i="28"/>
  <c r="BE496" i="28" s="1"/>
  <c r="AW496" i="28"/>
  <c r="BD496" i="28" s="1"/>
  <c r="AV496" i="28"/>
  <c r="BC496" i="28" s="1"/>
  <c r="AU496" i="28"/>
  <c r="BB496" i="28" s="1"/>
  <c r="AT496" i="28"/>
  <c r="BA496" i="28" s="1"/>
  <c r="AX495" i="28"/>
  <c r="BE495" i="28" s="1"/>
  <c r="AW495" i="28"/>
  <c r="BD495" i="28" s="1"/>
  <c r="AV495" i="28"/>
  <c r="BC495" i="28" s="1"/>
  <c r="AU495" i="28"/>
  <c r="BB495" i="28" s="1"/>
  <c r="AT495" i="28"/>
  <c r="BA495" i="28" s="1"/>
  <c r="BF494" i="28"/>
  <c r="AX494" i="28"/>
  <c r="BE494" i="28" s="1"/>
  <c r="AW494" i="28"/>
  <c r="BD494" i="28" s="1"/>
  <c r="AV494" i="28"/>
  <c r="BC494" i="28" s="1"/>
  <c r="AU494" i="28"/>
  <c r="BB494" i="28" s="1"/>
  <c r="AT494" i="28"/>
  <c r="BA494" i="28" s="1"/>
  <c r="AY493" i="28"/>
  <c r="BF493" i="28" s="1"/>
  <c r="AX493" i="28"/>
  <c r="BE493" i="28" s="1"/>
  <c r="AW493" i="28"/>
  <c r="BD493" i="28" s="1"/>
  <c r="AV493" i="28"/>
  <c r="BC493" i="28" s="1"/>
  <c r="AU493" i="28"/>
  <c r="BB493" i="28" s="1"/>
  <c r="AT493" i="28"/>
  <c r="BA493" i="28" s="1"/>
  <c r="AY492" i="28"/>
  <c r="BF492" i="28" s="1"/>
  <c r="AX492" i="28"/>
  <c r="BE492" i="28" s="1"/>
  <c r="AW492" i="28"/>
  <c r="BD492" i="28" s="1"/>
  <c r="AV492" i="28"/>
  <c r="BC492" i="28" s="1"/>
  <c r="AU492" i="28"/>
  <c r="BB492" i="28" s="1"/>
  <c r="AT492" i="28"/>
  <c r="BA492" i="28" s="1"/>
  <c r="AY491" i="28"/>
  <c r="BF491" i="28" s="1"/>
  <c r="AX491" i="28"/>
  <c r="BE491" i="28" s="1"/>
  <c r="AW491" i="28"/>
  <c r="BD491" i="28" s="1"/>
  <c r="AV491" i="28"/>
  <c r="BC491" i="28" s="1"/>
  <c r="AU491" i="28"/>
  <c r="BB491" i="28" s="1"/>
  <c r="AT491" i="28"/>
  <c r="BA491" i="28" s="1"/>
  <c r="AY490" i="28"/>
  <c r="BF490" i="28" s="1"/>
  <c r="AX490" i="28"/>
  <c r="BE490" i="28" s="1"/>
  <c r="AW490" i="28"/>
  <c r="BD490" i="28" s="1"/>
  <c r="AV490" i="28"/>
  <c r="BC490" i="28" s="1"/>
  <c r="AU490" i="28"/>
  <c r="BB490" i="28" s="1"/>
  <c r="AT490" i="28"/>
  <c r="BA490" i="28" s="1"/>
  <c r="AY489" i="28"/>
  <c r="BF489" i="28" s="1"/>
  <c r="AX489" i="28"/>
  <c r="BE489" i="28" s="1"/>
  <c r="AW489" i="28"/>
  <c r="BD489" i="28" s="1"/>
  <c r="AV489" i="28"/>
  <c r="BC489" i="28" s="1"/>
  <c r="AU489" i="28"/>
  <c r="BB489" i="28" s="1"/>
  <c r="AT489" i="28"/>
  <c r="BA489" i="28" s="1"/>
  <c r="AX488" i="28"/>
  <c r="BE488" i="28" s="1"/>
  <c r="AW488" i="28"/>
  <c r="BD488" i="28" s="1"/>
  <c r="AV488" i="28"/>
  <c r="BC488" i="28" s="1"/>
  <c r="AU488" i="28"/>
  <c r="BB488" i="28" s="1"/>
  <c r="AT488" i="28"/>
  <c r="BA488" i="28" s="1"/>
  <c r="AX487" i="28"/>
  <c r="BE487" i="28" s="1"/>
  <c r="AW487" i="28"/>
  <c r="BD487" i="28" s="1"/>
  <c r="AV487" i="28"/>
  <c r="BC487" i="28" s="1"/>
  <c r="AU487" i="28"/>
  <c r="BB487" i="28" s="1"/>
  <c r="AT487" i="28"/>
  <c r="BA487" i="28" s="1"/>
  <c r="BF486" i="28"/>
  <c r="AX486" i="28"/>
  <c r="BE486" i="28" s="1"/>
  <c r="AW486" i="28"/>
  <c r="BD486" i="28" s="1"/>
  <c r="AV486" i="28"/>
  <c r="BC486" i="28" s="1"/>
  <c r="AU486" i="28"/>
  <c r="BB486" i="28" s="1"/>
  <c r="AT486" i="28"/>
  <c r="BA486" i="28" s="1"/>
  <c r="AY485" i="28"/>
  <c r="BF485" i="28" s="1"/>
  <c r="AX485" i="28"/>
  <c r="BE485" i="28" s="1"/>
  <c r="AW485" i="28"/>
  <c r="BD485" i="28" s="1"/>
  <c r="AV485" i="28"/>
  <c r="BC485" i="28" s="1"/>
  <c r="AU485" i="28"/>
  <c r="BB485" i="28" s="1"/>
  <c r="AT485" i="28"/>
  <c r="BA485" i="28" s="1"/>
  <c r="AY484" i="28"/>
  <c r="BF484" i="28" s="1"/>
  <c r="AX484" i="28"/>
  <c r="BE484" i="28" s="1"/>
  <c r="AW484" i="28"/>
  <c r="BD484" i="28" s="1"/>
  <c r="AV484" i="28"/>
  <c r="BC484" i="28" s="1"/>
  <c r="AU484" i="28"/>
  <c r="BB484" i="28" s="1"/>
  <c r="AT484" i="28"/>
  <c r="BA484" i="28" s="1"/>
  <c r="AY483" i="28"/>
  <c r="BF483" i="28" s="1"/>
  <c r="AX483" i="28"/>
  <c r="BE483" i="28" s="1"/>
  <c r="AW483" i="28"/>
  <c r="BD483" i="28" s="1"/>
  <c r="AV483" i="28"/>
  <c r="BC483" i="28" s="1"/>
  <c r="AU483" i="28"/>
  <c r="BB483" i="28" s="1"/>
  <c r="AT483" i="28"/>
  <c r="BA483" i="28" s="1"/>
  <c r="AY482" i="28"/>
  <c r="BF482" i="28" s="1"/>
  <c r="AX482" i="28"/>
  <c r="BE482" i="28" s="1"/>
  <c r="AW482" i="28"/>
  <c r="BD482" i="28" s="1"/>
  <c r="AV482" i="28"/>
  <c r="BC482" i="28" s="1"/>
  <c r="AU482" i="28"/>
  <c r="BB482" i="28" s="1"/>
  <c r="AT482" i="28"/>
  <c r="BA482" i="28" s="1"/>
  <c r="AY481" i="28"/>
  <c r="BF481" i="28" s="1"/>
  <c r="AX481" i="28"/>
  <c r="BE481" i="28" s="1"/>
  <c r="AW481" i="28"/>
  <c r="BD481" i="28" s="1"/>
  <c r="AV481" i="28"/>
  <c r="BC481" i="28" s="1"/>
  <c r="AU481" i="28"/>
  <c r="BB481" i="28" s="1"/>
  <c r="AT481" i="28"/>
  <c r="BA481" i="28" s="1"/>
  <c r="AX480" i="28"/>
  <c r="BE480" i="28" s="1"/>
  <c r="AW480" i="28"/>
  <c r="BD480" i="28" s="1"/>
  <c r="AV480" i="28"/>
  <c r="BC480" i="28" s="1"/>
  <c r="AU480" i="28"/>
  <c r="BB480" i="28" s="1"/>
  <c r="AT480" i="28"/>
  <c r="BA480" i="28" s="1"/>
  <c r="AX479" i="28"/>
  <c r="BE479" i="28" s="1"/>
  <c r="AW479" i="28"/>
  <c r="BD479" i="28" s="1"/>
  <c r="AV479" i="28"/>
  <c r="BC479" i="28" s="1"/>
  <c r="AU479" i="28"/>
  <c r="BB479" i="28" s="1"/>
  <c r="AT479" i="28"/>
  <c r="BA479" i="28" s="1"/>
  <c r="AY478" i="28"/>
  <c r="BF478" i="28" s="1"/>
  <c r="AX478" i="28"/>
  <c r="BE478" i="28" s="1"/>
  <c r="AW478" i="28"/>
  <c r="BD478" i="28" s="1"/>
  <c r="AV478" i="28"/>
  <c r="BC478" i="28" s="1"/>
  <c r="AU478" i="28"/>
  <c r="BB478" i="28" s="1"/>
  <c r="AT478" i="28"/>
  <c r="BA478" i="28" s="1"/>
  <c r="AY477" i="28"/>
  <c r="BF477" i="28" s="1"/>
  <c r="AX477" i="28"/>
  <c r="BE477" i="28" s="1"/>
  <c r="AW477" i="28"/>
  <c r="BD477" i="28" s="1"/>
  <c r="AV477" i="28"/>
  <c r="BC477" i="28" s="1"/>
  <c r="AU477" i="28"/>
  <c r="BB477" i="28" s="1"/>
  <c r="AT477" i="28"/>
  <c r="BA477" i="28" s="1"/>
  <c r="AY476" i="28"/>
  <c r="BF476" i="28" s="1"/>
  <c r="AX476" i="28"/>
  <c r="BE476" i="28" s="1"/>
  <c r="AW476" i="28"/>
  <c r="BD476" i="28" s="1"/>
  <c r="AV476" i="28"/>
  <c r="BC476" i="28" s="1"/>
  <c r="AU476" i="28"/>
  <c r="BB476" i="28" s="1"/>
  <c r="AT476" i="28"/>
  <c r="BA476" i="28" s="1"/>
  <c r="AY475" i="28"/>
  <c r="BF475" i="28" s="1"/>
  <c r="AX475" i="28"/>
  <c r="BE475" i="28" s="1"/>
  <c r="AW475" i="28"/>
  <c r="BD475" i="28" s="1"/>
  <c r="AV475" i="28"/>
  <c r="BC475" i="28" s="1"/>
  <c r="AU475" i="28"/>
  <c r="BB475" i="28" s="1"/>
  <c r="AT475" i="28"/>
  <c r="BA475" i="28" s="1"/>
  <c r="AY474" i="28"/>
  <c r="BF474" i="28" s="1"/>
  <c r="AX474" i="28"/>
  <c r="BE474" i="28" s="1"/>
  <c r="AW474" i="28"/>
  <c r="BD474" i="28" s="1"/>
  <c r="AV474" i="28"/>
  <c r="BC474" i="28" s="1"/>
  <c r="AU474" i="28"/>
  <c r="BB474" i="28" s="1"/>
  <c r="AT474" i="28"/>
  <c r="BA474" i="28" s="1"/>
  <c r="AY473" i="28"/>
  <c r="BF473" i="28" s="1"/>
  <c r="AX473" i="28"/>
  <c r="BE473" i="28" s="1"/>
  <c r="AW473" i="28"/>
  <c r="BD473" i="28" s="1"/>
  <c r="AV473" i="28"/>
  <c r="BC473" i="28" s="1"/>
  <c r="AU473" i="28"/>
  <c r="BB473" i="28" s="1"/>
  <c r="AT473" i="28"/>
  <c r="BA473" i="28" s="1"/>
  <c r="AX472" i="28"/>
  <c r="BE472" i="28" s="1"/>
  <c r="AW472" i="28"/>
  <c r="BD472" i="28" s="1"/>
  <c r="AV472" i="28"/>
  <c r="BC472" i="28" s="1"/>
  <c r="AU472" i="28"/>
  <c r="BB472" i="28" s="1"/>
  <c r="AT472" i="28"/>
  <c r="BA472" i="28" s="1"/>
  <c r="AX471" i="28"/>
  <c r="BE471" i="28" s="1"/>
  <c r="AW471" i="28"/>
  <c r="BD471" i="28" s="1"/>
  <c r="AV471" i="28"/>
  <c r="BC471" i="28" s="1"/>
  <c r="AU471" i="28"/>
  <c r="BB471" i="28" s="1"/>
  <c r="AT471" i="28"/>
  <c r="BA471" i="28" s="1"/>
  <c r="AY470" i="28"/>
  <c r="BF470" i="28" s="1"/>
  <c r="AX470" i="28"/>
  <c r="BE470" i="28" s="1"/>
  <c r="AW470" i="28"/>
  <c r="BD470" i="28" s="1"/>
  <c r="AV470" i="28"/>
  <c r="BC470" i="28" s="1"/>
  <c r="AU470" i="28"/>
  <c r="BB470" i="28" s="1"/>
  <c r="AT470" i="28"/>
  <c r="BA470" i="28" s="1"/>
  <c r="AY469" i="28"/>
  <c r="BF469" i="28" s="1"/>
  <c r="AX469" i="28"/>
  <c r="BE469" i="28" s="1"/>
  <c r="AW469" i="28"/>
  <c r="BD469" i="28" s="1"/>
  <c r="AV469" i="28"/>
  <c r="BC469" i="28" s="1"/>
  <c r="AU469" i="28"/>
  <c r="BB469" i="28" s="1"/>
  <c r="AT469" i="28"/>
  <c r="BA469" i="28" s="1"/>
  <c r="AY468" i="28"/>
  <c r="BF468" i="28" s="1"/>
  <c r="AX468" i="28"/>
  <c r="BE468" i="28" s="1"/>
  <c r="AW468" i="28"/>
  <c r="BD468" i="28" s="1"/>
  <c r="AV468" i="28"/>
  <c r="BC468" i="28" s="1"/>
  <c r="AU468" i="28"/>
  <c r="BB468" i="28" s="1"/>
  <c r="AT468" i="28"/>
  <c r="BA468" i="28" s="1"/>
  <c r="AY467" i="28"/>
  <c r="BF467" i="28" s="1"/>
  <c r="AX467" i="28"/>
  <c r="BE467" i="28" s="1"/>
  <c r="AW467" i="28"/>
  <c r="BD467" i="28" s="1"/>
  <c r="AV467" i="28"/>
  <c r="BC467" i="28" s="1"/>
  <c r="AU467" i="28"/>
  <c r="BB467" i="28" s="1"/>
  <c r="AT467" i="28"/>
  <c r="BA467" i="28" s="1"/>
  <c r="AY466" i="28"/>
  <c r="BF466" i="28" s="1"/>
  <c r="AX466" i="28"/>
  <c r="BE466" i="28" s="1"/>
  <c r="AW466" i="28"/>
  <c r="BD466" i="28" s="1"/>
  <c r="AV466" i="28"/>
  <c r="BC466" i="28" s="1"/>
  <c r="AU466" i="28"/>
  <c r="BB466" i="28" s="1"/>
  <c r="AT466" i="28"/>
  <c r="BA466" i="28" s="1"/>
  <c r="AY465" i="28"/>
  <c r="BF465" i="28" s="1"/>
  <c r="AX465" i="28"/>
  <c r="BE465" i="28" s="1"/>
  <c r="AW465" i="28"/>
  <c r="BD465" i="28" s="1"/>
  <c r="AV465" i="28"/>
  <c r="BC465" i="28" s="1"/>
  <c r="AU465" i="28"/>
  <c r="BB465" i="28" s="1"/>
  <c r="AT465" i="28"/>
  <c r="BA465" i="28" s="1"/>
  <c r="AX464" i="28"/>
  <c r="BE464" i="28" s="1"/>
  <c r="AW464" i="28"/>
  <c r="BD464" i="28" s="1"/>
  <c r="AV464" i="28"/>
  <c r="BC464" i="28" s="1"/>
  <c r="AU464" i="28"/>
  <c r="BB464" i="28" s="1"/>
  <c r="AT464" i="28"/>
  <c r="BA464" i="28" s="1"/>
  <c r="AX463" i="28"/>
  <c r="BE463" i="28" s="1"/>
  <c r="AW463" i="28"/>
  <c r="BD463" i="28" s="1"/>
  <c r="AV463" i="28"/>
  <c r="BC463" i="28" s="1"/>
  <c r="AU463" i="28"/>
  <c r="BB463" i="28" s="1"/>
  <c r="AT463" i="28"/>
  <c r="BA463" i="28" s="1"/>
  <c r="BF462" i="28"/>
  <c r="AX462" i="28"/>
  <c r="BE462" i="28" s="1"/>
  <c r="AW462" i="28"/>
  <c r="BD462" i="28" s="1"/>
  <c r="AV462" i="28"/>
  <c r="BC462" i="28" s="1"/>
  <c r="AU462" i="28"/>
  <c r="BB462" i="28" s="1"/>
  <c r="AT462" i="28"/>
  <c r="BA462" i="28" s="1"/>
  <c r="AY461" i="28"/>
  <c r="BF461" i="28" s="1"/>
  <c r="AX461" i="28"/>
  <c r="BE461" i="28" s="1"/>
  <c r="AW461" i="28"/>
  <c r="BD461" i="28" s="1"/>
  <c r="AV461" i="28"/>
  <c r="BC461" i="28" s="1"/>
  <c r="AU461" i="28"/>
  <c r="BB461" i="28" s="1"/>
  <c r="AT461" i="28"/>
  <c r="BA461" i="28" s="1"/>
  <c r="AY460" i="28"/>
  <c r="BF460" i="28" s="1"/>
  <c r="AX460" i="28"/>
  <c r="BE460" i="28" s="1"/>
  <c r="AW460" i="28"/>
  <c r="BD460" i="28" s="1"/>
  <c r="AV460" i="28"/>
  <c r="BC460" i="28" s="1"/>
  <c r="AU460" i="28"/>
  <c r="BB460" i="28" s="1"/>
  <c r="AT460" i="28"/>
  <c r="BA460" i="28" s="1"/>
  <c r="AY459" i="28"/>
  <c r="BF459" i="28" s="1"/>
  <c r="AX459" i="28"/>
  <c r="BE459" i="28" s="1"/>
  <c r="AW459" i="28"/>
  <c r="BD459" i="28" s="1"/>
  <c r="AV459" i="28"/>
  <c r="BC459" i="28" s="1"/>
  <c r="AU459" i="28"/>
  <c r="BB459" i="28" s="1"/>
  <c r="AT459" i="28"/>
  <c r="BA459" i="28" s="1"/>
  <c r="AY458" i="28"/>
  <c r="BF458" i="28" s="1"/>
  <c r="AX458" i="28"/>
  <c r="BE458" i="28" s="1"/>
  <c r="AW458" i="28"/>
  <c r="BD458" i="28" s="1"/>
  <c r="AV458" i="28"/>
  <c r="BC458" i="28" s="1"/>
  <c r="AU458" i="28"/>
  <c r="BB458" i="28" s="1"/>
  <c r="AT458" i="28"/>
  <c r="BA458" i="28" s="1"/>
  <c r="AY457" i="28"/>
  <c r="BF457" i="28" s="1"/>
  <c r="AX457" i="28"/>
  <c r="BE457" i="28" s="1"/>
  <c r="AW457" i="28"/>
  <c r="BD457" i="28" s="1"/>
  <c r="AV457" i="28"/>
  <c r="BC457" i="28" s="1"/>
  <c r="AU457" i="28"/>
  <c r="BB457" i="28" s="1"/>
  <c r="AT457" i="28"/>
  <c r="BA457" i="28" s="1"/>
  <c r="AX456" i="28"/>
  <c r="BE456" i="28" s="1"/>
  <c r="AW456" i="28"/>
  <c r="BD456" i="28" s="1"/>
  <c r="AV456" i="28"/>
  <c r="BC456" i="28" s="1"/>
  <c r="AU456" i="28"/>
  <c r="BB456" i="28" s="1"/>
  <c r="AT456" i="28"/>
  <c r="BA456" i="28" s="1"/>
  <c r="AX455" i="28"/>
  <c r="BE455" i="28" s="1"/>
  <c r="AW455" i="28"/>
  <c r="BD455" i="28" s="1"/>
  <c r="AV455" i="28"/>
  <c r="BC455" i="28" s="1"/>
  <c r="AU455" i="28"/>
  <c r="BB455" i="28" s="1"/>
  <c r="AT455" i="28"/>
  <c r="BA455" i="28" s="1"/>
  <c r="AX454" i="28"/>
  <c r="BE454" i="28" s="1"/>
  <c r="AW454" i="28"/>
  <c r="BD454" i="28" s="1"/>
  <c r="AV454" i="28"/>
  <c r="BC454" i="28" s="1"/>
  <c r="AU454" i="28"/>
  <c r="BB454" i="28" s="1"/>
  <c r="AT454" i="28"/>
  <c r="BA454" i="28" s="1"/>
  <c r="AY453" i="28"/>
  <c r="BF453" i="28" s="1"/>
  <c r="AX453" i="28"/>
  <c r="BE453" i="28" s="1"/>
  <c r="AW453" i="28"/>
  <c r="BD453" i="28" s="1"/>
  <c r="AV453" i="28"/>
  <c r="BC453" i="28" s="1"/>
  <c r="AU453" i="28"/>
  <c r="BB453" i="28" s="1"/>
  <c r="AT453" i="28"/>
  <c r="BA453" i="28" s="1"/>
  <c r="AY452" i="28"/>
  <c r="BF452" i="28" s="1"/>
  <c r="AX452" i="28"/>
  <c r="BE452" i="28" s="1"/>
  <c r="AW452" i="28"/>
  <c r="BD452" i="28" s="1"/>
  <c r="AV452" i="28"/>
  <c r="BC452" i="28" s="1"/>
  <c r="AU452" i="28"/>
  <c r="BB452" i="28" s="1"/>
  <c r="AT452" i="28"/>
  <c r="BA452" i="28" s="1"/>
  <c r="AY451" i="28"/>
  <c r="BF451" i="28" s="1"/>
  <c r="AX451" i="28"/>
  <c r="BE451" i="28" s="1"/>
  <c r="AW451" i="28"/>
  <c r="BD451" i="28" s="1"/>
  <c r="AV451" i="28"/>
  <c r="BC451" i="28" s="1"/>
  <c r="AU451" i="28"/>
  <c r="BB451" i="28" s="1"/>
  <c r="AT451" i="28"/>
  <c r="BA451" i="28" s="1"/>
  <c r="AY450" i="28"/>
  <c r="BF450" i="28" s="1"/>
  <c r="AX450" i="28"/>
  <c r="BE450" i="28" s="1"/>
  <c r="AW450" i="28"/>
  <c r="BD450" i="28" s="1"/>
  <c r="AV450" i="28"/>
  <c r="BC450" i="28" s="1"/>
  <c r="AU450" i="28"/>
  <c r="BB450" i="28" s="1"/>
  <c r="AT450" i="28"/>
  <c r="BA450" i="28" s="1"/>
  <c r="AY449" i="28"/>
  <c r="BF449" i="28" s="1"/>
  <c r="AX449" i="28"/>
  <c r="BE449" i="28" s="1"/>
  <c r="AW449" i="28"/>
  <c r="BD449" i="28" s="1"/>
  <c r="AV449" i="28"/>
  <c r="BC449" i="28" s="1"/>
  <c r="AU449" i="28"/>
  <c r="BB449" i="28" s="1"/>
  <c r="AT449" i="28"/>
  <c r="BA449" i="28" s="1"/>
  <c r="AX448" i="28"/>
  <c r="BE448" i="28" s="1"/>
  <c r="AW448" i="28"/>
  <c r="BD448" i="28" s="1"/>
  <c r="AV448" i="28"/>
  <c r="BC448" i="28" s="1"/>
  <c r="AU448" i="28"/>
  <c r="BB448" i="28" s="1"/>
  <c r="AT448" i="28"/>
  <c r="BA448" i="28" s="1"/>
  <c r="AX447" i="28"/>
  <c r="BE447" i="28" s="1"/>
  <c r="AW447" i="28"/>
  <c r="BD447" i="28" s="1"/>
  <c r="AV447" i="28"/>
  <c r="BC447" i="28" s="1"/>
  <c r="AU447" i="28"/>
  <c r="BB447" i="28" s="1"/>
  <c r="AT447" i="28"/>
  <c r="BA447" i="28" s="1"/>
  <c r="BF446" i="28"/>
  <c r="AX446" i="28"/>
  <c r="BE446" i="28" s="1"/>
  <c r="AW446" i="28"/>
  <c r="BD446" i="28" s="1"/>
  <c r="AV446" i="28"/>
  <c r="BC446" i="28" s="1"/>
  <c r="AU446" i="28"/>
  <c r="BB446" i="28" s="1"/>
  <c r="AT446" i="28"/>
  <c r="BA446" i="28" s="1"/>
  <c r="AY445" i="28"/>
  <c r="BF445" i="28" s="1"/>
  <c r="AX445" i="28"/>
  <c r="BE445" i="28" s="1"/>
  <c r="AW445" i="28"/>
  <c r="BD445" i="28" s="1"/>
  <c r="AV445" i="28"/>
  <c r="BC445" i="28" s="1"/>
  <c r="AU445" i="28"/>
  <c r="BB445" i="28" s="1"/>
  <c r="AT445" i="28"/>
  <c r="BA445" i="28" s="1"/>
  <c r="AY444" i="28"/>
  <c r="BF444" i="28" s="1"/>
  <c r="AX444" i="28"/>
  <c r="BE444" i="28" s="1"/>
  <c r="AW444" i="28"/>
  <c r="BD444" i="28" s="1"/>
  <c r="AV444" i="28"/>
  <c r="BC444" i="28" s="1"/>
  <c r="AU444" i="28"/>
  <c r="BB444" i="28" s="1"/>
  <c r="AT444" i="28"/>
  <c r="BA444" i="28" s="1"/>
  <c r="BB443" i="28"/>
  <c r="AY443" i="28"/>
  <c r="BF443" i="28" s="1"/>
  <c r="AX443" i="28"/>
  <c r="BE443" i="28" s="1"/>
  <c r="AW443" i="28"/>
  <c r="BD443" i="28" s="1"/>
  <c r="AV443" i="28"/>
  <c r="BC443" i="28" s="1"/>
  <c r="AU443" i="28"/>
  <c r="AT443" i="28"/>
  <c r="BA443" i="28" s="1"/>
  <c r="AY442" i="28"/>
  <c r="BF442" i="28" s="1"/>
  <c r="AX442" i="28"/>
  <c r="BE442" i="28" s="1"/>
  <c r="AW442" i="28"/>
  <c r="BD442" i="28" s="1"/>
  <c r="AV442" i="28"/>
  <c r="BC442" i="28" s="1"/>
  <c r="AU442" i="28"/>
  <c r="BB442" i="28" s="1"/>
  <c r="AT442" i="28"/>
  <c r="BA442" i="28" s="1"/>
  <c r="AY441" i="28"/>
  <c r="BF441" i="28" s="1"/>
  <c r="AX441" i="28"/>
  <c r="BE441" i="28" s="1"/>
  <c r="AW441" i="28"/>
  <c r="BD441" i="28" s="1"/>
  <c r="AV441" i="28"/>
  <c r="BC441" i="28" s="1"/>
  <c r="AU441" i="28"/>
  <c r="BB441" i="28" s="1"/>
  <c r="AT441" i="28"/>
  <c r="BA441" i="28" s="1"/>
  <c r="AX440" i="28"/>
  <c r="BE440" i="28" s="1"/>
  <c r="AW440" i="28"/>
  <c r="BD440" i="28" s="1"/>
  <c r="AV440" i="28"/>
  <c r="BC440" i="28" s="1"/>
  <c r="AU440" i="28"/>
  <c r="BB440" i="28" s="1"/>
  <c r="AT440" i="28"/>
  <c r="BA440" i="28" s="1"/>
  <c r="AX439" i="28"/>
  <c r="BE439" i="28" s="1"/>
  <c r="AW439" i="28"/>
  <c r="BD439" i="28" s="1"/>
  <c r="AV439" i="28"/>
  <c r="BC439" i="28" s="1"/>
  <c r="AU439" i="28"/>
  <c r="BB439" i="28" s="1"/>
  <c r="AT439" i="28"/>
  <c r="BA439" i="28" s="1"/>
  <c r="AX438" i="28"/>
  <c r="BE438" i="28" s="1"/>
  <c r="AW438" i="28"/>
  <c r="BD438" i="28" s="1"/>
  <c r="AV438" i="28"/>
  <c r="BC438" i="28" s="1"/>
  <c r="AU438" i="28"/>
  <c r="BB438" i="28" s="1"/>
  <c r="AT438" i="28"/>
  <c r="BA438" i="28" s="1"/>
  <c r="AY437" i="28"/>
  <c r="BF437" i="28" s="1"/>
  <c r="AX437" i="28"/>
  <c r="BE437" i="28" s="1"/>
  <c r="AW437" i="28"/>
  <c r="BD437" i="28" s="1"/>
  <c r="AV437" i="28"/>
  <c r="BC437" i="28" s="1"/>
  <c r="AU437" i="28"/>
  <c r="BB437" i="28" s="1"/>
  <c r="AT437" i="28"/>
  <c r="BA437" i="28" s="1"/>
  <c r="AY436" i="28"/>
  <c r="BF436" i="28" s="1"/>
  <c r="AX436" i="28"/>
  <c r="BE436" i="28" s="1"/>
  <c r="AW436" i="28"/>
  <c r="BD436" i="28" s="1"/>
  <c r="AV436" i="28"/>
  <c r="BC436" i="28" s="1"/>
  <c r="AU436" i="28"/>
  <c r="BB436" i="28" s="1"/>
  <c r="AT436" i="28"/>
  <c r="BA436" i="28" s="1"/>
  <c r="AY435" i="28"/>
  <c r="BF435" i="28" s="1"/>
  <c r="AX435" i="28"/>
  <c r="BE435" i="28" s="1"/>
  <c r="AW435" i="28"/>
  <c r="BD435" i="28" s="1"/>
  <c r="AV435" i="28"/>
  <c r="BC435" i="28" s="1"/>
  <c r="AU435" i="28"/>
  <c r="BB435" i="28" s="1"/>
  <c r="AT435" i="28"/>
  <c r="BA435" i="28" s="1"/>
  <c r="AY434" i="28"/>
  <c r="BF434" i="28" s="1"/>
  <c r="AX434" i="28"/>
  <c r="BE434" i="28" s="1"/>
  <c r="AW434" i="28"/>
  <c r="BD434" i="28" s="1"/>
  <c r="AV434" i="28"/>
  <c r="BC434" i="28" s="1"/>
  <c r="AU434" i="28"/>
  <c r="BB434" i="28" s="1"/>
  <c r="AT434" i="28"/>
  <c r="BA434" i="28" s="1"/>
  <c r="AY433" i="28"/>
  <c r="BF433" i="28" s="1"/>
  <c r="AX433" i="28"/>
  <c r="BE433" i="28" s="1"/>
  <c r="AW433" i="28"/>
  <c r="BD433" i="28" s="1"/>
  <c r="AV433" i="28"/>
  <c r="BC433" i="28" s="1"/>
  <c r="AU433" i="28"/>
  <c r="BB433" i="28" s="1"/>
  <c r="AT433" i="28"/>
  <c r="BA433" i="28" s="1"/>
  <c r="AX432" i="28"/>
  <c r="BE432" i="28" s="1"/>
  <c r="AW432" i="28"/>
  <c r="BD432" i="28" s="1"/>
  <c r="AV432" i="28"/>
  <c r="BC432" i="28" s="1"/>
  <c r="AU432" i="28"/>
  <c r="BB432" i="28" s="1"/>
  <c r="AT432" i="28"/>
  <c r="BA432" i="28" s="1"/>
  <c r="AX431" i="28"/>
  <c r="BE431" i="28" s="1"/>
  <c r="AW431" i="28"/>
  <c r="BD431" i="28" s="1"/>
  <c r="AV431" i="28"/>
  <c r="BC431" i="28" s="1"/>
  <c r="AU431" i="28"/>
  <c r="BB431" i="28" s="1"/>
  <c r="AT431" i="28"/>
  <c r="BA431" i="28" s="1"/>
  <c r="AX430" i="28"/>
  <c r="BE430" i="28" s="1"/>
  <c r="AW430" i="28"/>
  <c r="BD430" i="28" s="1"/>
  <c r="AV430" i="28"/>
  <c r="BC430" i="28" s="1"/>
  <c r="AU430" i="28"/>
  <c r="BB430" i="28" s="1"/>
  <c r="AT430" i="28"/>
  <c r="BA430" i="28" s="1"/>
  <c r="AY429" i="28"/>
  <c r="BF429" i="28" s="1"/>
  <c r="AX429" i="28"/>
  <c r="BE429" i="28" s="1"/>
  <c r="AW429" i="28"/>
  <c r="BD429" i="28" s="1"/>
  <c r="AV429" i="28"/>
  <c r="BC429" i="28" s="1"/>
  <c r="AU429" i="28"/>
  <c r="BB429" i="28" s="1"/>
  <c r="AT429" i="28"/>
  <c r="BA429" i="28" s="1"/>
  <c r="AY428" i="28"/>
  <c r="BF428" i="28" s="1"/>
  <c r="AX428" i="28"/>
  <c r="BE428" i="28" s="1"/>
  <c r="AW428" i="28"/>
  <c r="BD428" i="28" s="1"/>
  <c r="AV428" i="28"/>
  <c r="BC428" i="28" s="1"/>
  <c r="AU428" i="28"/>
  <c r="BB428" i="28" s="1"/>
  <c r="AT428" i="28"/>
  <c r="BA428" i="28" s="1"/>
  <c r="AY427" i="28"/>
  <c r="BF427" i="28" s="1"/>
  <c r="AX427" i="28"/>
  <c r="BE427" i="28" s="1"/>
  <c r="AW427" i="28"/>
  <c r="BD427" i="28" s="1"/>
  <c r="AV427" i="28"/>
  <c r="BC427" i="28" s="1"/>
  <c r="AU427" i="28"/>
  <c r="BB427" i="28" s="1"/>
  <c r="AT427" i="28"/>
  <c r="BA427" i="28" s="1"/>
  <c r="AY426" i="28"/>
  <c r="BF426" i="28" s="1"/>
  <c r="AX426" i="28"/>
  <c r="BE426" i="28" s="1"/>
  <c r="AW426" i="28"/>
  <c r="BD426" i="28" s="1"/>
  <c r="AV426" i="28"/>
  <c r="BC426" i="28" s="1"/>
  <c r="AU426" i="28"/>
  <c r="BB426" i="28" s="1"/>
  <c r="AT426" i="28"/>
  <c r="BA426" i="28" s="1"/>
  <c r="AY425" i="28"/>
  <c r="BF425" i="28" s="1"/>
  <c r="AX425" i="28"/>
  <c r="BE425" i="28" s="1"/>
  <c r="AW425" i="28"/>
  <c r="BD425" i="28" s="1"/>
  <c r="AV425" i="28"/>
  <c r="BC425" i="28" s="1"/>
  <c r="AU425" i="28"/>
  <c r="BB425" i="28" s="1"/>
  <c r="AT425" i="28"/>
  <c r="BA425" i="28" s="1"/>
  <c r="AX424" i="28"/>
  <c r="BE424" i="28" s="1"/>
  <c r="AW424" i="28"/>
  <c r="BD424" i="28" s="1"/>
  <c r="AV424" i="28"/>
  <c r="BC424" i="28" s="1"/>
  <c r="AU424" i="28"/>
  <c r="BB424" i="28" s="1"/>
  <c r="AT424" i="28"/>
  <c r="BA424" i="28" s="1"/>
  <c r="AX423" i="28"/>
  <c r="BE423" i="28" s="1"/>
  <c r="AW423" i="28"/>
  <c r="BD423" i="28" s="1"/>
  <c r="AV423" i="28"/>
  <c r="BC423" i="28" s="1"/>
  <c r="AU423" i="28"/>
  <c r="BB423" i="28" s="1"/>
  <c r="AT423" i="28"/>
  <c r="BA423" i="28" s="1"/>
  <c r="AX422" i="28"/>
  <c r="BE422" i="28" s="1"/>
  <c r="AW422" i="28"/>
  <c r="BD422" i="28" s="1"/>
  <c r="AV422" i="28"/>
  <c r="BC422" i="28" s="1"/>
  <c r="AU422" i="28"/>
  <c r="BB422" i="28" s="1"/>
  <c r="AT422" i="28"/>
  <c r="BA422" i="28" s="1"/>
  <c r="AY421" i="28"/>
  <c r="BF421" i="28" s="1"/>
  <c r="AX421" i="28"/>
  <c r="BE421" i="28" s="1"/>
  <c r="AW421" i="28"/>
  <c r="BD421" i="28" s="1"/>
  <c r="AV421" i="28"/>
  <c r="BC421" i="28" s="1"/>
  <c r="AU421" i="28"/>
  <c r="BB421" i="28" s="1"/>
  <c r="AT421" i="28"/>
  <c r="BA421" i="28" s="1"/>
  <c r="AY420" i="28"/>
  <c r="BF420" i="28" s="1"/>
  <c r="AX420" i="28"/>
  <c r="BE420" i="28" s="1"/>
  <c r="AW420" i="28"/>
  <c r="BD420" i="28" s="1"/>
  <c r="AV420" i="28"/>
  <c r="BC420" i="28" s="1"/>
  <c r="AU420" i="28"/>
  <c r="BB420" i="28" s="1"/>
  <c r="AT420" i="28"/>
  <c r="BA420" i="28" s="1"/>
  <c r="AY419" i="28"/>
  <c r="BF419" i="28" s="1"/>
  <c r="AX419" i="28"/>
  <c r="BE419" i="28" s="1"/>
  <c r="AW419" i="28"/>
  <c r="BD419" i="28" s="1"/>
  <c r="AV419" i="28"/>
  <c r="BC419" i="28" s="1"/>
  <c r="AU419" i="28"/>
  <c r="BB419" i="28" s="1"/>
  <c r="AT419" i="28"/>
  <c r="BA419" i="28" s="1"/>
  <c r="AY418" i="28"/>
  <c r="BF418" i="28" s="1"/>
  <c r="AX418" i="28"/>
  <c r="BE418" i="28" s="1"/>
  <c r="AW418" i="28"/>
  <c r="BD418" i="28" s="1"/>
  <c r="AV418" i="28"/>
  <c r="BC418" i="28" s="1"/>
  <c r="AU418" i="28"/>
  <c r="BB418" i="28" s="1"/>
  <c r="AT418" i="28"/>
  <c r="BA418" i="28" s="1"/>
  <c r="AY417" i="28"/>
  <c r="BF417" i="28" s="1"/>
  <c r="AX417" i="28"/>
  <c r="BE417" i="28" s="1"/>
  <c r="AW417" i="28"/>
  <c r="BD417" i="28" s="1"/>
  <c r="AV417" i="28"/>
  <c r="BC417" i="28" s="1"/>
  <c r="AU417" i="28"/>
  <c r="BB417" i="28" s="1"/>
  <c r="AT417" i="28"/>
  <c r="BA417" i="28" s="1"/>
  <c r="AX416" i="28"/>
  <c r="BE416" i="28" s="1"/>
  <c r="AW416" i="28"/>
  <c r="BD416" i="28" s="1"/>
  <c r="AV416" i="28"/>
  <c r="BC416" i="28" s="1"/>
  <c r="AU416" i="28"/>
  <c r="BB416" i="28" s="1"/>
  <c r="AT416" i="28"/>
  <c r="BA416" i="28" s="1"/>
  <c r="AX415" i="28"/>
  <c r="BE415" i="28" s="1"/>
  <c r="AW415" i="28"/>
  <c r="BD415" i="28" s="1"/>
  <c r="AV415" i="28"/>
  <c r="BC415" i="28" s="1"/>
  <c r="AU415" i="28"/>
  <c r="BB415" i="28" s="1"/>
  <c r="AT415" i="28"/>
  <c r="BA415" i="28" s="1"/>
  <c r="BF414" i="28"/>
  <c r="AX414" i="28"/>
  <c r="BE414" i="28" s="1"/>
  <c r="AW414" i="28"/>
  <c r="BD414" i="28" s="1"/>
  <c r="AV414" i="28"/>
  <c r="BC414" i="28" s="1"/>
  <c r="AU414" i="28"/>
  <c r="BB414" i="28" s="1"/>
  <c r="AT414" i="28"/>
  <c r="BA414" i="28" s="1"/>
  <c r="AY413" i="28"/>
  <c r="BF413" i="28" s="1"/>
  <c r="AX413" i="28"/>
  <c r="BE413" i="28" s="1"/>
  <c r="AW413" i="28"/>
  <c r="BD413" i="28" s="1"/>
  <c r="AV413" i="28"/>
  <c r="BC413" i="28" s="1"/>
  <c r="AU413" i="28"/>
  <c r="BB413" i="28" s="1"/>
  <c r="AT413" i="28"/>
  <c r="BA413" i="28" s="1"/>
  <c r="AY412" i="28"/>
  <c r="BF412" i="28" s="1"/>
  <c r="AX412" i="28"/>
  <c r="BE412" i="28" s="1"/>
  <c r="AW412" i="28"/>
  <c r="BD412" i="28" s="1"/>
  <c r="AV412" i="28"/>
  <c r="BC412" i="28" s="1"/>
  <c r="AU412" i="28"/>
  <c r="BB412" i="28" s="1"/>
  <c r="AT412" i="28"/>
  <c r="BA412" i="28" s="1"/>
  <c r="AY411" i="28"/>
  <c r="BF411" i="28" s="1"/>
  <c r="AX411" i="28"/>
  <c r="BE411" i="28" s="1"/>
  <c r="AW411" i="28"/>
  <c r="BD411" i="28" s="1"/>
  <c r="AV411" i="28"/>
  <c r="BC411" i="28" s="1"/>
  <c r="AU411" i="28"/>
  <c r="BB411" i="28" s="1"/>
  <c r="AT411" i="28"/>
  <c r="BA411" i="28" s="1"/>
  <c r="AY410" i="28"/>
  <c r="BF410" i="28" s="1"/>
  <c r="AX410" i="28"/>
  <c r="BE410" i="28" s="1"/>
  <c r="AW410" i="28"/>
  <c r="BD410" i="28" s="1"/>
  <c r="AV410" i="28"/>
  <c r="BC410" i="28" s="1"/>
  <c r="AU410" i="28"/>
  <c r="BB410" i="28" s="1"/>
  <c r="AT410" i="28"/>
  <c r="BA410" i="28" s="1"/>
  <c r="AY409" i="28"/>
  <c r="BF409" i="28" s="1"/>
  <c r="AX409" i="28"/>
  <c r="BE409" i="28" s="1"/>
  <c r="AW409" i="28"/>
  <c r="BD409" i="28" s="1"/>
  <c r="AV409" i="28"/>
  <c r="BC409" i="28" s="1"/>
  <c r="AU409" i="28"/>
  <c r="BB409" i="28" s="1"/>
  <c r="AT409" i="28"/>
  <c r="BA409" i="28" s="1"/>
  <c r="AX408" i="28"/>
  <c r="BE408" i="28" s="1"/>
  <c r="AW408" i="28"/>
  <c r="BD408" i="28" s="1"/>
  <c r="AV408" i="28"/>
  <c r="BC408" i="28" s="1"/>
  <c r="AU408" i="28"/>
  <c r="BB408" i="28" s="1"/>
  <c r="AT408" i="28"/>
  <c r="BA408" i="28" s="1"/>
  <c r="AX407" i="28"/>
  <c r="BE407" i="28" s="1"/>
  <c r="AW407" i="28"/>
  <c r="BD407" i="28" s="1"/>
  <c r="AV407" i="28"/>
  <c r="BC407" i="28" s="1"/>
  <c r="AU407" i="28"/>
  <c r="BB407" i="28" s="1"/>
  <c r="AT407" i="28"/>
  <c r="BA407" i="28" s="1"/>
  <c r="AX406" i="28"/>
  <c r="BE406" i="28" s="1"/>
  <c r="AW406" i="28"/>
  <c r="BD406" i="28" s="1"/>
  <c r="AV406" i="28"/>
  <c r="BC406" i="28" s="1"/>
  <c r="AU406" i="28"/>
  <c r="BB406" i="28" s="1"/>
  <c r="AT406" i="28"/>
  <c r="BA406" i="28" s="1"/>
  <c r="AY405" i="28"/>
  <c r="BF405" i="28" s="1"/>
  <c r="AX405" i="28"/>
  <c r="BE405" i="28" s="1"/>
  <c r="AW405" i="28"/>
  <c r="BD405" i="28" s="1"/>
  <c r="AV405" i="28"/>
  <c r="BC405" i="28" s="1"/>
  <c r="AU405" i="28"/>
  <c r="BB405" i="28" s="1"/>
  <c r="AT405" i="28"/>
  <c r="BA405" i="28" s="1"/>
  <c r="AY404" i="28"/>
  <c r="BF404" i="28" s="1"/>
  <c r="AX404" i="28"/>
  <c r="BE404" i="28" s="1"/>
  <c r="AW404" i="28"/>
  <c r="BD404" i="28" s="1"/>
  <c r="AV404" i="28"/>
  <c r="BC404" i="28" s="1"/>
  <c r="AU404" i="28"/>
  <c r="BB404" i="28" s="1"/>
  <c r="AT404" i="28"/>
  <c r="BA404" i="28" s="1"/>
  <c r="AY403" i="28"/>
  <c r="BF403" i="28" s="1"/>
  <c r="AX403" i="28"/>
  <c r="BE403" i="28" s="1"/>
  <c r="AW403" i="28"/>
  <c r="BD403" i="28" s="1"/>
  <c r="AV403" i="28"/>
  <c r="BC403" i="28" s="1"/>
  <c r="AU403" i="28"/>
  <c r="BB403" i="28" s="1"/>
  <c r="AT403" i="28"/>
  <c r="BA403" i="28" s="1"/>
  <c r="AY402" i="28"/>
  <c r="BF402" i="28" s="1"/>
  <c r="AX402" i="28"/>
  <c r="BE402" i="28" s="1"/>
  <c r="AW402" i="28"/>
  <c r="BD402" i="28" s="1"/>
  <c r="AV402" i="28"/>
  <c r="BC402" i="28" s="1"/>
  <c r="AU402" i="28"/>
  <c r="BB402" i="28" s="1"/>
  <c r="AT402" i="28"/>
  <c r="BA402" i="28" s="1"/>
  <c r="AY401" i="28"/>
  <c r="BF401" i="28" s="1"/>
  <c r="AX401" i="28"/>
  <c r="BE401" i="28" s="1"/>
  <c r="AW401" i="28"/>
  <c r="BD401" i="28" s="1"/>
  <c r="AV401" i="28"/>
  <c r="BC401" i="28" s="1"/>
  <c r="AU401" i="28"/>
  <c r="BB401" i="28" s="1"/>
  <c r="AT401" i="28"/>
  <c r="BA401" i="28" s="1"/>
  <c r="AX400" i="28"/>
  <c r="BE400" i="28" s="1"/>
  <c r="AW400" i="28"/>
  <c r="BD400" i="28" s="1"/>
  <c r="AV400" i="28"/>
  <c r="BC400" i="28" s="1"/>
  <c r="AU400" i="28"/>
  <c r="BB400" i="28" s="1"/>
  <c r="AT400" i="28"/>
  <c r="BA400" i="28" s="1"/>
  <c r="AX399" i="28"/>
  <c r="BE399" i="28" s="1"/>
  <c r="AW399" i="28"/>
  <c r="BD399" i="28" s="1"/>
  <c r="AV399" i="28"/>
  <c r="BC399" i="28" s="1"/>
  <c r="AU399" i="28"/>
  <c r="BB399" i="28" s="1"/>
  <c r="AT399" i="28"/>
  <c r="BA399" i="28" s="1"/>
  <c r="AX398" i="28"/>
  <c r="BE398" i="28" s="1"/>
  <c r="AW398" i="28"/>
  <c r="BD398" i="28" s="1"/>
  <c r="AV398" i="28"/>
  <c r="BC398" i="28" s="1"/>
  <c r="AU398" i="28"/>
  <c r="BB398" i="28" s="1"/>
  <c r="AT398" i="28"/>
  <c r="BA398" i="28" s="1"/>
  <c r="AY397" i="28"/>
  <c r="BF397" i="28" s="1"/>
  <c r="AX397" i="28"/>
  <c r="BE397" i="28" s="1"/>
  <c r="AW397" i="28"/>
  <c r="BD397" i="28" s="1"/>
  <c r="AV397" i="28"/>
  <c r="BC397" i="28" s="1"/>
  <c r="AU397" i="28"/>
  <c r="BB397" i="28" s="1"/>
  <c r="AT397" i="28"/>
  <c r="BA397" i="28" s="1"/>
  <c r="AY396" i="28"/>
  <c r="BF396" i="28" s="1"/>
  <c r="AX396" i="28"/>
  <c r="BE396" i="28" s="1"/>
  <c r="AW396" i="28"/>
  <c r="BD396" i="28" s="1"/>
  <c r="AV396" i="28"/>
  <c r="BC396" i="28" s="1"/>
  <c r="AU396" i="28"/>
  <c r="BB396" i="28" s="1"/>
  <c r="AT396" i="28"/>
  <c r="BA396" i="28" s="1"/>
  <c r="AY395" i="28"/>
  <c r="BF395" i="28" s="1"/>
  <c r="AX395" i="28"/>
  <c r="BE395" i="28" s="1"/>
  <c r="AW395" i="28"/>
  <c r="BD395" i="28" s="1"/>
  <c r="AV395" i="28"/>
  <c r="BC395" i="28" s="1"/>
  <c r="AU395" i="28"/>
  <c r="BB395" i="28" s="1"/>
  <c r="AT395" i="28"/>
  <c r="BA395" i="28" s="1"/>
  <c r="AY394" i="28"/>
  <c r="BF394" i="28" s="1"/>
  <c r="AX394" i="28"/>
  <c r="BE394" i="28" s="1"/>
  <c r="AW394" i="28"/>
  <c r="BD394" i="28" s="1"/>
  <c r="AV394" i="28"/>
  <c r="BC394" i="28" s="1"/>
  <c r="AU394" i="28"/>
  <c r="BB394" i="28" s="1"/>
  <c r="AT394" i="28"/>
  <c r="BA394" i="28" s="1"/>
  <c r="AY393" i="28"/>
  <c r="BF393" i="28" s="1"/>
  <c r="AX393" i="28"/>
  <c r="BE393" i="28" s="1"/>
  <c r="AW393" i="28"/>
  <c r="BD393" i="28" s="1"/>
  <c r="AV393" i="28"/>
  <c r="BC393" i="28" s="1"/>
  <c r="AU393" i="28"/>
  <c r="BB393" i="28" s="1"/>
  <c r="AT393" i="28"/>
  <c r="BA393" i="28" s="1"/>
  <c r="AX392" i="28"/>
  <c r="BE392" i="28" s="1"/>
  <c r="AW392" i="28"/>
  <c r="BD392" i="28" s="1"/>
  <c r="AV392" i="28"/>
  <c r="BC392" i="28" s="1"/>
  <c r="AU392" i="28"/>
  <c r="BB392" i="28" s="1"/>
  <c r="AT392" i="28"/>
  <c r="BA392" i="28" s="1"/>
  <c r="AX391" i="28"/>
  <c r="BE391" i="28" s="1"/>
  <c r="AW391" i="28"/>
  <c r="BD391" i="28" s="1"/>
  <c r="AV391" i="28"/>
  <c r="BC391" i="28" s="1"/>
  <c r="AU391" i="28"/>
  <c r="BB391" i="28" s="1"/>
  <c r="AT391" i="28"/>
  <c r="BA391" i="28" s="1"/>
  <c r="AY390" i="28"/>
  <c r="BF390" i="28" s="1"/>
  <c r="AX390" i="28"/>
  <c r="BE390" i="28" s="1"/>
  <c r="AW390" i="28"/>
  <c r="BD390" i="28" s="1"/>
  <c r="AV390" i="28"/>
  <c r="BC390" i="28" s="1"/>
  <c r="AU390" i="28"/>
  <c r="BB390" i="28" s="1"/>
  <c r="AT390" i="28"/>
  <c r="BA390" i="28" s="1"/>
  <c r="AY389" i="28"/>
  <c r="BF389" i="28" s="1"/>
  <c r="AX389" i="28"/>
  <c r="BE389" i="28" s="1"/>
  <c r="AW389" i="28"/>
  <c r="BD389" i="28" s="1"/>
  <c r="AV389" i="28"/>
  <c r="BC389" i="28" s="1"/>
  <c r="AU389" i="28"/>
  <c r="BB389" i="28" s="1"/>
  <c r="AT389" i="28"/>
  <c r="BA389" i="28" s="1"/>
  <c r="AY388" i="28"/>
  <c r="BF388" i="28" s="1"/>
  <c r="AX388" i="28"/>
  <c r="BE388" i="28" s="1"/>
  <c r="AW388" i="28"/>
  <c r="BD388" i="28" s="1"/>
  <c r="AV388" i="28"/>
  <c r="BC388" i="28" s="1"/>
  <c r="AU388" i="28"/>
  <c r="BB388" i="28" s="1"/>
  <c r="AT388" i="28"/>
  <c r="BA388" i="28" s="1"/>
  <c r="AY387" i="28"/>
  <c r="BF387" i="28" s="1"/>
  <c r="AX387" i="28"/>
  <c r="BE387" i="28" s="1"/>
  <c r="AW387" i="28"/>
  <c r="BD387" i="28" s="1"/>
  <c r="AV387" i="28"/>
  <c r="BC387" i="28" s="1"/>
  <c r="AU387" i="28"/>
  <c r="BB387" i="28" s="1"/>
  <c r="AT387" i="28"/>
  <c r="BA387" i="28" s="1"/>
  <c r="AY386" i="28"/>
  <c r="BF386" i="28" s="1"/>
  <c r="AX386" i="28"/>
  <c r="BE386" i="28" s="1"/>
  <c r="AW386" i="28"/>
  <c r="BD386" i="28" s="1"/>
  <c r="AV386" i="28"/>
  <c r="BC386" i="28" s="1"/>
  <c r="AU386" i="28"/>
  <c r="BB386" i="28" s="1"/>
  <c r="AT386" i="28"/>
  <c r="BA386" i="28" s="1"/>
  <c r="AY385" i="28"/>
  <c r="BF385" i="28" s="1"/>
  <c r="AX385" i="28"/>
  <c r="BE385" i="28" s="1"/>
  <c r="AW385" i="28"/>
  <c r="BD385" i="28" s="1"/>
  <c r="AV385" i="28"/>
  <c r="BC385" i="28" s="1"/>
  <c r="AU385" i="28"/>
  <c r="BB385" i="28" s="1"/>
  <c r="AT385" i="28"/>
  <c r="BA385" i="28" s="1"/>
  <c r="AX384" i="28"/>
  <c r="BE384" i="28" s="1"/>
  <c r="AW384" i="28"/>
  <c r="BD384" i="28" s="1"/>
  <c r="AV384" i="28"/>
  <c r="BC384" i="28" s="1"/>
  <c r="AU384" i="28"/>
  <c r="BB384" i="28" s="1"/>
  <c r="AT384" i="28"/>
  <c r="BA384" i="28" s="1"/>
  <c r="AX383" i="28"/>
  <c r="BE383" i="28" s="1"/>
  <c r="AW383" i="28"/>
  <c r="BD383" i="28" s="1"/>
  <c r="AV383" i="28"/>
  <c r="BC383" i="28" s="1"/>
  <c r="AU383" i="28"/>
  <c r="BB383" i="28" s="1"/>
  <c r="AT383" i="28"/>
  <c r="BA383" i="28" s="1"/>
  <c r="AY382" i="28"/>
  <c r="BF382" i="28" s="1"/>
  <c r="AX382" i="28"/>
  <c r="BE382" i="28" s="1"/>
  <c r="AW382" i="28"/>
  <c r="BD382" i="28" s="1"/>
  <c r="AV382" i="28"/>
  <c r="BC382" i="28" s="1"/>
  <c r="AU382" i="28"/>
  <c r="BB382" i="28" s="1"/>
  <c r="AT382" i="28"/>
  <c r="BA382" i="28" s="1"/>
  <c r="AY381" i="28"/>
  <c r="BF381" i="28" s="1"/>
  <c r="AX381" i="28"/>
  <c r="BE381" i="28" s="1"/>
  <c r="AW381" i="28"/>
  <c r="BD381" i="28" s="1"/>
  <c r="AV381" i="28"/>
  <c r="BC381" i="28" s="1"/>
  <c r="AU381" i="28"/>
  <c r="BB381" i="28" s="1"/>
  <c r="AT381" i="28"/>
  <c r="BA381" i="28" s="1"/>
  <c r="AY380" i="28"/>
  <c r="BF380" i="28" s="1"/>
  <c r="AX380" i="28"/>
  <c r="BE380" i="28" s="1"/>
  <c r="AW380" i="28"/>
  <c r="BD380" i="28" s="1"/>
  <c r="AV380" i="28"/>
  <c r="BC380" i="28" s="1"/>
  <c r="AU380" i="28"/>
  <c r="BB380" i="28" s="1"/>
  <c r="AT380" i="28"/>
  <c r="BA380" i="28" s="1"/>
  <c r="AY379" i="28"/>
  <c r="BF379" i="28" s="1"/>
  <c r="AX379" i="28"/>
  <c r="BE379" i="28" s="1"/>
  <c r="AW379" i="28"/>
  <c r="BD379" i="28" s="1"/>
  <c r="AV379" i="28"/>
  <c r="BC379" i="28" s="1"/>
  <c r="AU379" i="28"/>
  <c r="BB379" i="28" s="1"/>
  <c r="AT379" i="28"/>
  <c r="BA379" i="28" s="1"/>
  <c r="AY378" i="28"/>
  <c r="BF378" i="28" s="1"/>
  <c r="AX378" i="28"/>
  <c r="BE378" i="28" s="1"/>
  <c r="AW378" i="28"/>
  <c r="BD378" i="28" s="1"/>
  <c r="AV378" i="28"/>
  <c r="BC378" i="28" s="1"/>
  <c r="AU378" i="28"/>
  <c r="BB378" i="28" s="1"/>
  <c r="AT378" i="28"/>
  <c r="BA378" i="28" s="1"/>
  <c r="AY377" i="28"/>
  <c r="BF377" i="28" s="1"/>
  <c r="AX377" i="28"/>
  <c r="BE377" i="28" s="1"/>
  <c r="AW377" i="28"/>
  <c r="BD377" i="28" s="1"/>
  <c r="AV377" i="28"/>
  <c r="BC377" i="28" s="1"/>
  <c r="AU377" i="28"/>
  <c r="BB377" i="28" s="1"/>
  <c r="AT377" i="28"/>
  <c r="BA377" i="28" s="1"/>
  <c r="AX376" i="28"/>
  <c r="BE376" i="28" s="1"/>
  <c r="AW376" i="28"/>
  <c r="BD376" i="28" s="1"/>
  <c r="AV376" i="28"/>
  <c r="BC376" i="28" s="1"/>
  <c r="AU376" i="28"/>
  <c r="BB376" i="28" s="1"/>
  <c r="AT376" i="28"/>
  <c r="BA376" i="28" s="1"/>
  <c r="AX375" i="28"/>
  <c r="BE375" i="28" s="1"/>
  <c r="AW375" i="28"/>
  <c r="BD375" i="28" s="1"/>
  <c r="AV375" i="28"/>
  <c r="BC375" i="28" s="1"/>
  <c r="AU375" i="28"/>
  <c r="BB375" i="28" s="1"/>
  <c r="AT375" i="28"/>
  <c r="BA375" i="28" s="1"/>
  <c r="AX374" i="28"/>
  <c r="BE374" i="28" s="1"/>
  <c r="AW374" i="28"/>
  <c r="BD374" i="28" s="1"/>
  <c r="AV374" i="28"/>
  <c r="BC374" i="28" s="1"/>
  <c r="AU374" i="28"/>
  <c r="BB374" i="28" s="1"/>
  <c r="AT374" i="28"/>
  <c r="BA374" i="28" s="1"/>
  <c r="AY373" i="28"/>
  <c r="BF373" i="28" s="1"/>
  <c r="AX373" i="28"/>
  <c r="BE373" i="28" s="1"/>
  <c r="AW373" i="28"/>
  <c r="BD373" i="28" s="1"/>
  <c r="AV373" i="28"/>
  <c r="BC373" i="28" s="1"/>
  <c r="AU373" i="28"/>
  <c r="BB373" i="28" s="1"/>
  <c r="AT373" i="28"/>
  <c r="BA373" i="28" s="1"/>
  <c r="AY372" i="28"/>
  <c r="BF372" i="28" s="1"/>
  <c r="AX372" i="28"/>
  <c r="BE372" i="28" s="1"/>
  <c r="AW372" i="28"/>
  <c r="BD372" i="28" s="1"/>
  <c r="AV372" i="28"/>
  <c r="BC372" i="28" s="1"/>
  <c r="AU372" i="28"/>
  <c r="BB372" i="28" s="1"/>
  <c r="AT372" i="28"/>
  <c r="BA372" i="28" s="1"/>
  <c r="AY371" i="28"/>
  <c r="BF371" i="28" s="1"/>
  <c r="AX371" i="28"/>
  <c r="BE371" i="28" s="1"/>
  <c r="AW371" i="28"/>
  <c r="BD371" i="28" s="1"/>
  <c r="AV371" i="28"/>
  <c r="BC371" i="28" s="1"/>
  <c r="AU371" i="28"/>
  <c r="BB371" i="28" s="1"/>
  <c r="AT371" i="28"/>
  <c r="BA371" i="28" s="1"/>
  <c r="AY370" i="28"/>
  <c r="BF370" i="28" s="1"/>
  <c r="AX370" i="28"/>
  <c r="BE370" i="28" s="1"/>
  <c r="AW370" i="28"/>
  <c r="BD370" i="28" s="1"/>
  <c r="AV370" i="28"/>
  <c r="BC370" i="28" s="1"/>
  <c r="AU370" i="28"/>
  <c r="BB370" i="28" s="1"/>
  <c r="AT370" i="28"/>
  <c r="BA370" i="28" s="1"/>
  <c r="AY369" i="28"/>
  <c r="BF369" i="28" s="1"/>
  <c r="AX369" i="28"/>
  <c r="BE369" i="28" s="1"/>
  <c r="AW369" i="28"/>
  <c r="BD369" i="28" s="1"/>
  <c r="AV369" i="28"/>
  <c r="BC369" i="28" s="1"/>
  <c r="AU369" i="28"/>
  <c r="BB369" i="28" s="1"/>
  <c r="AT369" i="28"/>
  <c r="BA369" i="28" s="1"/>
  <c r="AX368" i="28"/>
  <c r="BE368" i="28" s="1"/>
  <c r="AW368" i="28"/>
  <c r="BD368" i="28" s="1"/>
  <c r="AV368" i="28"/>
  <c r="BC368" i="28" s="1"/>
  <c r="AU368" i="28"/>
  <c r="BB368" i="28" s="1"/>
  <c r="AT368" i="28"/>
  <c r="BA368" i="28" s="1"/>
  <c r="AX367" i="28"/>
  <c r="BE367" i="28" s="1"/>
  <c r="AW367" i="28"/>
  <c r="BD367" i="28" s="1"/>
  <c r="AV367" i="28"/>
  <c r="BC367" i="28" s="1"/>
  <c r="AU367" i="28"/>
  <c r="BB367" i="28" s="1"/>
  <c r="AT367" i="28"/>
  <c r="BA367" i="28" s="1"/>
  <c r="AX366" i="28"/>
  <c r="BE366" i="28" s="1"/>
  <c r="AW366" i="28"/>
  <c r="BD366" i="28" s="1"/>
  <c r="AV366" i="28"/>
  <c r="BC366" i="28" s="1"/>
  <c r="AU366" i="28"/>
  <c r="BB366" i="28" s="1"/>
  <c r="AT366" i="28"/>
  <c r="BA366" i="28" s="1"/>
  <c r="AY365" i="28"/>
  <c r="BF365" i="28" s="1"/>
  <c r="AX365" i="28"/>
  <c r="BE365" i="28" s="1"/>
  <c r="AW365" i="28"/>
  <c r="BD365" i="28" s="1"/>
  <c r="AV365" i="28"/>
  <c r="BC365" i="28" s="1"/>
  <c r="AU365" i="28"/>
  <c r="BB365" i="28" s="1"/>
  <c r="AT365" i="28"/>
  <c r="BA365" i="28" s="1"/>
  <c r="AY364" i="28"/>
  <c r="BF364" i="28" s="1"/>
  <c r="AX364" i="28"/>
  <c r="BE364" i="28" s="1"/>
  <c r="AW364" i="28"/>
  <c r="BD364" i="28" s="1"/>
  <c r="AV364" i="28"/>
  <c r="BC364" i="28" s="1"/>
  <c r="AU364" i="28"/>
  <c r="BB364" i="28" s="1"/>
  <c r="AT364" i="28"/>
  <c r="BA364" i="28" s="1"/>
  <c r="AY363" i="28"/>
  <c r="BF363" i="28" s="1"/>
  <c r="AX363" i="28"/>
  <c r="BE363" i="28" s="1"/>
  <c r="AW363" i="28"/>
  <c r="BD363" i="28" s="1"/>
  <c r="AV363" i="28"/>
  <c r="BC363" i="28" s="1"/>
  <c r="AU363" i="28"/>
  <c r="BB363" i="28" s="1"/>
  <c r="AT363" i="28"/>
  <c r="BA363" i="28" s="1"/>
  <c r="AY362" i="28"/>
  <c r="BF362" i="28" s="1"/>
  <c r="AX362" i="28"/>
  <c r="BE362" i="28" s="1"/>
  <c r="AW362" i="28"/>
  <c r="BD362" i="28" s="1"/>
  <c r="AV362" i="28"/>
  <c r="BC362" i="28" s="1"/>
  <c r="AU362" i="28"/>
  <c r="BB362" i="28" s="1"/>
  <c r="AT362" i="28"/>
  <c r="BA362" i="28" s="1"/>
  <c r="AY361" i="28"/>
  <c r="BF361" i="28" s="1"/>
  <c r="AX361" i="28"/>
  <c r="BE361" i="28" s="1"/>
  <c r="AW361" i="28"/>
  <c r="BD361" i="28" s="1"/>
  <c r="AV361" i="28"/>
  <c r="BC361" i="28" s="1"/>
  <c r="AU361" i="28"/>
  <c r="BB361" i="28" s="1"/>
  <c r="AT361" i="28"/>
  <c r="BA361" i="28" s="1"/>
  <c r="AX360" i="28"/>
  <c r="BE360" i="28" s="1"/>
  <c r="AW360" i="28"/>
  <c r="BD360" i="28" s="1"/>
  <c r="AV360" i="28"/>
  <c r="BC360" i="28" s="1"/>
  <c r="AU360" i="28"/>
  <c r="BB360" i="28" s="1"/>
  <c r="AT360" i="28"/>
  <c r="BA360" i="28" s="1"/>
  <c r="AX359" i="28"/>
  <c r="BE359" i="28" s="1"/>
  <c r="AW359" i="28"/>
  <c r="BD359" i="28" s="1"/>
  <c r="AV359" i="28"/>
  <c r="BC359" i="28" s="1"/>
  <c r="AU359" i="28"/>
  <c r="BB359" i="28" s="1"/>
  <c r="AT359" i="28"/>
  <c r="BA359" i="28" s="1"/>
  <c r="AX358" i="28"/>
  <c r="BE358" i="28" s="1"/>
  <c r="AW358" i="28"/>
  <c r="BD358" i="28" s="1"/>
  <c r="AV358" i="28"/>
  <c r="BC358" i="28" s="1"/>
  <c r="AU358" i="28"/>
  <c r="BB358" i="28" s="1"/>
  <c r="AT358" i="28"/>
  <c r="BA358" i="28" s="1"/>
  <c r="AY357" i="28"/>
  <c r="BF357" i="28" s="1"/>
  <c r="AX357" i="28"/>
  <c r="BE357" i="28" s="1"/>
  <c r="AW357" i="28"/>
  <c r="BD357" i="28" s="1"/>
  <c r="AV357" i="28"/>
  <c r="BC357" i="28" s="1"/>
  <c r="AU357" i="28"/>
  <c r="BB357" i="28" s="1"/>
  <c r="AT357" i="28"/>
  <c r="BA357" i="28" s="1"/>
  <c r="AY356" i="28"/>
  <c r="BF356" i="28" s="1"/>
  <c r="AX356" i="28"/>
  <c r="BE356" i="28" s="1"/>
  <c r="AW356" i="28"/>
  <c r="BD356" i="28" s="1"/>
  <c r="AV356" i="28"/>
  <c r="BC356" i="28" s="1"/>
  <c r="AU356" i="28"/>
  <c r="BB356" i="28" s="1"/>
  <c r="AT356" i="28"/>
  <c r="BA356" i="28" s="1"/>
  <c r="AY355" i="28"/>
  <c r="BF355" i="28" s="1"/>
  <c r="AX355" i="28"/>
  <c r="BE355" i="28" s="1"/>
  <c r="AW355" i="28"/>
  <c r="BD355" i="28" s="1"/>
  <c r="AV355" i="28"/>
  <c r="BC355" i="28" s="1"/>
  <c r="AU355" i="28"/>
  <c r="BB355" i="28" s="1"/>
  <c r="AT355" i="28"/>
  <c r="BA355" i="28" s="1"/>
  <c r="AY354" i="28"/>
  <c r="BF354" i="28" s="1"/>
  <c r="AX354" i="28"/>
  <c r="BE354" i="28" s="1"/>
  <c r="AW354" i="28"/>
  <c r="BD354" i="28" s="1"/>
  <c r="AV354" i="28"/>
  <c r="BC354" i="28" s="1"/>
  <c r="AU354" i="28"/>
  <c r="BB354" i="28" s="1"/>
  <c r="AT354" i="28"/>
  <c r="BA354" i="28" s="1"/>
  <c r="AY353" i="28"/>
  <c r="BF353" i="28" s="1"/>
  <c r="AX353" i="28"/>
  <c r="BE353" i="28" s="1"/>
  <c r="AW353" i="28"/>
  <c r="BD353" i="28" s="1"/>
  <c r="AV353" i="28"/>
  <c r="BC353" i="28" s="1"/>
  <c r="AU353" i="28"/>
  <c r="BB353" i="28" s="1"/>
  <c r="AT353" i="28"/>
  <c r="BA353" i="28" s="1"/>
  <c r="AX352" i="28"/>
  <c r="BE352" i="28" s="1"/>
  <c r="AW352" i="28"/>
  <c r="BD352" i="28" s="1"/>
  <c r="AV352" i="28"/>
  <c r="BC352" i="28" s="1"/>
  <c r="AU352" i="28"/>
  <c r="BB352" i="28" s="1"/>
  <c r="AT352" i="28"/>
  <c r="BA352" i="28" s="1"/>
  <c r="AY351" i="28"/>
  <c r="BF351" i="28" s="1"/>
  <c r="AX351" i="28"/>
  <c r="BE351" i="28" s="1"/>
  <c r="AW351" i="28"/>
  <c r="BD351" i="28" s="1"/>
  <c r="AV351" i="28"/>
  <c r="BC351" i="28" s="1"/>
  <c r="AU351" i="28"/>
  <c r="BB351" i="28" s="1"/>
  <c r="AT351" i="28"/>
  <c r="BA351" i="28" s="1"/>
  <c r="BF350" i="28"/>
  <c r="AX350" i="28"/>
  <c r="BE350" i="28" s="1"/>
  <c r="AW350" i="28"/>
  <c r="BD350" i="28" s="1"/>
  <c r="AV350" i="28"/>
  <c r="BC350" i="28" s="1"/>
  <c r="AU350" i="28"/>
  <c r="BB350" i="28" s="1"/>
  <c r="AT350" i="28"/>
  <c r="BA350" i="28" s="1"/>
  <c r="AY349" i="28"/>
  <c r="BF349" i="28" s="1"/>
  <c r="AX349" i="28"/>
  <c r="BE349" i="28" s="1"/>
  <c r="AW349" i="28"/>
  <c r="BD349" i="28" s="1"/>
  <c r="AV349" i="28"/>
  <c r="BC349" i="28" s="1"/>
  <c r="AU349" i="28"/>
  <c r="BB349" i="28" s="1"/>
  <c r="AT349" i="28"/>
  <c r="BA349" i="28" s="1"/>
  <c r="AY348" i="28"/>
  <c r="BF348" i="28" s="1"/>
  <c r="AX348" i="28"/>
  <c r="BE348" i="28" s="1"/>
  <c r="AW348" i="28"/>
  <c r="BD348" i="28" s="1"/>
  <c r="AV348" i="28"/>
  <c r="BC348" i="28" s="1"/>
  <c r="AU348" i="28"/>
  <c r="BB348" i="28" s="1"/>
  <c r="AT348" i="28"/>
  <c r="BA348" i="28" s="1"/>
  <c r="AY347" i="28"/>
  <c r="BF347" i="28" s="1"/>
  <c r="AX347" i="28"/>
  <c r="BE347" i="28" s="1"/>
  <c r="AW347" i="28"/>
  <c r="BD347" i="28" s="1"/>
  <c r="AV347" i="28"/>
  <c r="BC347" i="28" s="1"/>
  <c r="AU347" i="28"/>
  <c r="BB347" i="28" s="1"/>
  <c r="AT347" i="28"/>
  <c r="BA347" i="28" s="1"/>
  <c r="AY346" i="28"/>
  <c r="BF346" i="28" s="1"/>
  <c r="AX346" i="28"/>
  <c r="BE346" i="28" s="1"/>
  <c r="AW346" i="28"/>
  <c r="BD346" i="28" s="1"/>
  <c r="AV346" i="28"/>
  <c r="BC346" i="28" s="1"/>
  <c r="AU346" i="28"/>
  <c r="BB346" i="28" s="1"/>
  <c r="AT346" i="28"/>
  <c r="BA346" i="28" s="1"/>
  <c r="AY345" i="28"/>
  <c r="BF345" i="28" s="1"/>
  <c r="AX345" i="28"/>
  <c r="BE345" i="28" s="1"/>
  <c r="AW345" i="28"/>
  <c r="BD345" i="28" s="1"/>
  <c r="AV345" i="28"/>
  <c r="BC345" i="28" s="1"/>
  <c r="AU345" i="28"/>
  <c r="BB345" i="28" s="1"/>
  <c r="AT345" i="28"/>
  <c r="BA345" i="28" s="1"/>
  <c r="AX344" i="28"/>
  <c r="BE344" i="28" s="1"/>
  <c r="AW344" i="28"/>
  <c r="BD344" i="28" s="1"/>
  <c r="AV344" i="28"/>
  <c r="BC344" i="28" s="1"/>
  <c r="AU344" i="28"/>
  <c r="BB344" i="28" s="1"/>
  <c r="AT344" i="28"/>
  <c r="BA344" i="28" s="1"/>
  <c r="AX343" i="28"/>
  <c r="BE343" i="28" s="1"/>
  <c r="AW343" i="28"/>
  <c r="BD343" i="28" s="1"/>
  <c r="AV343" i="28"/>
  <c r="BC343" i="28" s="1"/>
  <c r="AU343" i="28"/>
  <c r="BB343" i="28" s="1"/>
  <c r="AT343" i="28"/>
  <c r="BA343" i="28" s="1"/>
  <c r="AY342" i="28"/>
  <c r="BF342" i="28" s="1"/>
  <c r="AX342" i="28"/>
  <c r="BE342" i="28" s="1"/>
  <c r="AW342" i="28"/>
  <c r="BD342" i="28" s="1"/>
  <c r="AV342" i="28"/>
  <c r="BC342" i="28" s="1"/>
  <c r="AU342" i="28"/>
  <c r="BB342" i="28" s="1"/>
  <c r="AT342" i="28"/>
  <c r="BA342" i="28" s="1"/>
  <c r="AY341" i="28"/>
  <c r="BF341" i="28" s="1"/>
  <c r="AX341" i="28"/>
  <c r="BE341" i="28" s="1"/>
  <c r="AW341" i="28"/>
  <c r="BD341" i="28" s="1"/>
  <c r="AV341" i="28"/>
  <c r="BC341" i="28" s="1"/>
  <c r="AU341" i="28"/>
  <c r="BB341" i="28" s="1"/>
  <c r="AT341" i="28"/>
  <c r="BA341" i="28" s="1"/>
  <c r="AY340" i="28"/>
  <c r="BF340" i="28" s="1"/>
  <c r="AX340" i="28"/>
  <c r="BE340" i="28" s="1"/>
  <c r="AW340" i="28"/>
  <c r="BD340" i="28" s="1"/>
  <c r="AV340" i="28"/>
  <c r="BC340" i="28" s="1"/>
  <c r="AU340" i="28"/>
  <c r="BB340" i="28" s="1"/>
  <c r="AT340" i="28"/>
  <c r="BA340" i="28" s="1"/>
  <c r="AY339" i="28"/>
  <c r="BF339" i="28" s="1"/>
  <c r="AX339" i="28"/>
  <c r="BE339" i="28" s="1"/>
  <c r="AW339" i="28"/>
  <c r="BD339" i="28" s="1"/>
  <c r="AV339" i="28"/>
  <c r="BC339" i="28" s="1"/>
  <c r="AU339" i="28"/>
  <c r="BB339" i="28" s="1"/>
  <c r="AT339" i="28"/>
  <c r="BA339" i="28" s="1"/>
  <c r="AY338" i="28"/>
  <c r="BF338" i="28" s="1"/>
  <c r="AX338" i="28"/>
  <c r="BE338" i="28" s="1"/>
  <c r="AW338" i="28"/>
  <c r="BD338" i="28" s="1"/>
  <c r="AV338" i="28"/>
  <c r="BC338" i="28" s="1"/>
  <c r="AU338" i="28"/>
  <c r="BB338" i="28" s="1"/>
  <c r="AT338" i="28"/>
  <c r="BA338" i="28" s="1"/>
  <c r="AY337" i="28"/>
  <c r="BF337" i="28" s="1"/>
  <c r="AX337" i="28"/>
  <c r="BE337" i="28" s="1"/>
  <c r="AW337" i="28"/>
  <c r="BD337" i="28" s="1"/>
  <c r="AV337" i="28"/>
  <c r="BC337" i="28" s="1"/>
  <c r="AU337" i="28"/>
  <c r="BB337" i="28" s="1"/>
  <c r="AT337" i="28"/>
  <c r="BA337" i="28" s="1"/>
  <c r="AX336" i="28"/>
  <c r="BE336" i="28" s="1"/>
  <c r="AW336" i="28"/>
  <c r="BD336" i="28" s="1"/>
  <c r="AV336" i="28"/>
  <c r="BC336" i="28" s="1"/>
  <c r="AU336" i="28"/>
  <c r="BB336" i="28" s="1"/>
  <c r="AT336" i="28"/>
  <c r="BA336" i="28" s="1"/>
  <c r="AX335" i="28"/>
  <c r="BE335" i="28" s="1"/>
  <c r="AW335" i="28"/>
  <c r="BD335" i="28" s="1"/>
  <c r="AV335" i="28"/>
  <c r="BC335" i="28" s="1"/>
  <c r="AU335" i="28"/>
  <c r="BB335" i="28" s="1"/>
  <c r="AT335" i="28"/>
  <c r="BA335" i="28" s="1"/>
  <c r="AY334" i="28"/>
  <c r="BF334" i="28" s="1"/>
  <c r="AX334" i="28"/>
  <c r="BE334" i="28" s="1"/>
  <c r="AW334" i="28"/>
  <c r="BD334" i="28" s="1"/>
  <c r="AV334" i="28"/>
  <c r="BC334" i="28" s="1"/>
  <c r="AU334" i="28"/>
  <c r="BB334" i="28" s="1"/>
  <c r="AT334" i="28"/>
  <c r="BA334" i="28" s="1"/>
  <c r="AY333" i="28"/>
  <c r="BF333" i="28" s="1"/>
  <c r="AX333" i="28"/>
  <c r="BE333" i="28" s="1"/>
  <c r="AW333" i="28"/>
  <c r="BD333" i="28" s="1"/>
  <c r="AV333" i="28"/>
  <c r="BC333" i="28" s="1"/>
  <c r="AU333" i="28"/>
  <c r="BB333" i="28" s="1"/>
  <c r="AT333" i="28"/>
  <c r="BA333" i="28" s="1"/>
  <c r="AY332" i="28"/>
  <c r="BF332" i="28" s="1"/>
  <c r="AX332" i="28"/>
  <c r="BE332" i="28" s="1"/>
  <c r="AW332" i="28"/>
  <c r="BD332" i="28" s="1"/>
  <c r="AV332" i="28"/>
  <c r="BC332" i="28" s="1"/>
  <c r="AU332" i="28"/>
  <c r="BB332" i="28" s="1"/>
  <c r="AT332" i="28"/>
  <c r="BA332" i="28" s="1"/>
  <c r="AY331" i="28"/>
  <c r="BF331" i="28" s="1"/>
  <c r="AX331" i="28"/>
  <c r="BE331" i="28" s="1"/>
  <c r="AW331" i="28"/>
  <c r="BD331" i="28" s="1"/>
  <c r="AV331" i="28"/>
  <c r="BC331" i="28" s="1"/>
  <c r="AU331" i="28"/>
  <c r="BB331" i="28" s="1"/>
  <c r="AT331" i="28"/>
  <c r="BA331" i="28" s="1"/>
  <c r="AY330" i="28"/>
  <c r="BF330" i="28" s="1"/>
  <c r="AX330" i="28"/>
  <c r="BE330" i="28" s="1"/>
  <c r="AW330" i="28"/>
  <c r="BD330" i="28" s="1"/>
  <c r="AV330" i="28"/>
  <c r="BC330" i="28" s="1"/>
  <c r="AU330" i="28"/>
  <c r="BB330" i="28" s="1"/>
  <c r="AT330" i="28"/>
  <c r="BA330" i="28" s="1"/>
  <c r="AY329" i="28"/>
  <c r="BF329" i="28" s="1"/>
  <c r="AX329" i="28"/>
  <c r="BE329" i="28" s="1"/>
  <c r="AW329" i="28"/>
  <c r="BD329" i="28" s="1"/>
  <c r="AV329" i="28"/>
  <c r="BC329" i="28" s="1"/>
  <c r="AU329" i="28"/>
  <c r="BB329" i="28" s="1"/>
  <c r="AT329" i="28"/>
  <c r="BA329" i="28" s="1"/>
  <c r="AX328" i="28"/>
  <c r="BE328" i="28" s="1"/>
  <c r="AW328" i="28"/>
  <c r="BD328" i="28" s="1"/>
  <c r="AV328" i="28"/>
  <c r="BC328" i="28" s="1"/>
  <c r="AU328" i="28"/>
  <c r="BB328" i="28" s="1"/>
  <c r="AT328" i="28"/>
  <c r="BA328" i="28" s="1"/>
  <c r="AX327" i="28"/>
  <c r="BE327" i="28" s="1"/>
  <c r="AW327" i="28"/>
  <c r="BD327" i="28" s="1"/>
  <c r="AV327" i="28"/>
  <c r="BC327" i="28" s="1"/>
  <c r="AU327" i="28"/>
  <c r="BB327" i="28" s="1"/>
  <c r="AT327" i="28"/>
  <c r="BA327" i="28" s="1"/>
  <c r="AY326" i="28"/>
  <c r="BF326" i="28" s="1"/>
  <c r="AX326" i="28"/>
  <c r="BE326" i="28" s="1"/>
  <c r="AW326" i="28"/>
  <c r="BD326" i="28" s="1"/>
  <c r="AV326" i="28"/>
  <c r="BC326" i="28" s="1"/>
  <c r="AU326" i="28"/>
  <c r="BB326" i="28" s="1"/>
  <c r="AT326" i="28"/>
  <c r="BA326" i="28" s="1"/>
  <c r="AY325" i="28"/>
  <c r="BF325" i="28" s="1"/>
  <c r="AX325" i="28"/>
  <c r="BE325" i="28" s="1"/>
  <c r="AW325" i="28"/>
  <c r="BD325" i="28" s="1"/>
  <c r="AV325" i="28"/>
  <c r="BC325" i="28" s="1"/>
  <c r="AU325" i="28"/>
  <c r="BB325" i="28" s="1"/>
  <c r="AT325" i="28"/>
  <c r="BA325" i="28" s="1"/>
  <c r="AY324" i="28"/>
  <c r="BF324" i="28" s="1"/>
  <c r="AX324" i="28"/>
  <c r="BE324" i="28" s="1"/>
  <c r="AW324" i="28"/>
  <c r="BD324" i="28" s="1"/>
  <c r="AV324" i="28"/>
  <c r="BC324" i="28" s="1"/>
  <c r="AU324" i="28"/>
  <c r="BB324" i="28" s="1"/>
  <c r="AT324" i="28"/>
  <c r="BA324" i="28" s="1"/>
  <c r="AY323" i="28"/>
  <c r="BF323" i="28" s="1"/>
  <c r="AX323" i="28"/>
  <c r="BE323" i="28" s="1"/>
  <c r="AW323" i="28"/>
  <c r="BD323" i="28" s="1"/>
  <c r="AV323" i="28"/>
  <c r="BC323" i="28" s="1"/>
  <c r="AU323" i="28"/>
  <c r="BB323" i="28" s="1"/>
  <c r="AT323" i="28"/>
  <c r="BA323" i="28" s="1"/>
  <c r="AY322" i="28"/>
  <c r="BF322" i="28" s="1"/>
  <c r="AX322" i="28"/>
  <c r="BE322" i="28" s="1"/>
  <c r="AW322" i="28"/>
  <c r="BD322" i="28" s="1"/>
  <c r="AV322" i="28"/>
  <c r="BC322" i="28" s="1"/>
  <c r="AU322" i="28"/>
  <c r="BB322" i="28" s="1"/>
  <c r="AT322" i="28"/>
  <c r="BA322" i="28" s="1"/>
  <c r="AY321" i="28"/>
  <c r="BF321" i="28" s="1"/>
  <c r="AX321" i="28"/>
  <c r="BE321" i="28" s="1"/>
  <c r="AW321" i="28"/>
  <c r="BD321" i="28" s="1"/>
  <c r="AV321" i="28"/>
  <c r="BC321" i="28" s="1"/>
  <c r="AU321" i="28"/>
  <c r="BB321" i="28" s="1"/>
  <c r="AT321" i="28"/>
  <c r="BA321" i="28" s="1"/>
  <c r="AX320" i="28"/>
  <c r="BE320" i="28" s="1"/>
  <c r="AW320" i="28"/>
  <c r="BD320" i="28" s="1"/>
  <c r="AV320" i="28"/>
  <c r="BC320" i="28" s="1"/>
  <c r="AU320" i="28"/>
  <c r="BB320" i="28" s="1"/>
  <c r="AT320" i="28"/>
  <c r="BA320" i="28" s="1"/>
  <c r="AX319" i="28"/>
  <c r="BE319" i="28" s="1"/>
  <c r="AW319" i="28"/>
  <c r="BD319" i="28" s="1"/>
  <c r="AV319" i="28"/>
  <c r="BC319" i="28" s="1"/>
  <c r="AU319" i="28"/>
  <c r="BB319" i="28" s="1"/>
  <c r="AT319" i="28"/>
  <c r="BA319" i="28" s="1"/>
  <c r="AY318" i="28"/>
  <c r="BF318" i="28" s="1"/>
  <c r="AX318" i="28"/>
  <c r="BE318" i="28" s="1"/>
  <c r="AW318" i="28"/>
  <c r="BD318" i="28" s="1"/>
  <c r="AV318" i="28"/>
  <c r="BC318" i="28" s="1"/>
  <c r="AU318" i="28"/>
  <c r="BB318" i="28" s="1"/>
  <c r="AT318" i="28"/>
  <c r="BA318" i="28" s="1"/>
  <c r="AY317" i="28"/>
  <c r="BF317" i="28" s="1"/>
  <c r="AX317" i="28"/>
  <c r="BE317" i="28" s="1"/>
  <c r="AW317" i="28"/>
  <c r="BD317" i="28" s="1"/>
  <c r="AV317" i="28"/>
  <c r="BC317" i="28" s="1"/>
  <c r="AU317" i="28"/>
  <c r="BB317" i="28" s="1"/>
  <c r="AT317" i="28"/>
  <c r="BA317" i="28" s="1"/>
  <c r="AY316" i="28"/>
  <c r="BF316" i="28" s="1"/>
  <c r="AX316" i="28"/>
  <c r="BE316" i="28" s="1"/>
  <c r="AW316" i="28"/>
  <c r="BD316" i="28" s="1"/>
  <c r="AV316" i="28"/>
  <c r="BC316" i="28" s="1"/>
  <c r="AU316" i="28"/>
  <c r="BB316" i="28" s="1"/>
  <c r="AT316" i="28"/>
  <c r="BA316" i="28" s="1"/>
  <c r="AY315" i="28"/>
  <c r="BF315" i="28" s="1"/>
  <c r="AX315" i="28"/>
  <c r="BE315" i="28" s="1"/>
  <c r="AW315" i="28"/>
  <c r="BD315" i="28" s="1"/>
  <c r="AV315" i="28"/>
  <c r="BC315" i="28" s="1"/>
  <c r="AU315" i="28"/>
  <c r="BB315" i="28" s="1"/>
  <c r="AT315" i="28"/>
  <c r="BA315" i="28" s="1"/>
  <c r="AY314" i="28"/>
  <c r="BF314" i="28" s="1"/>
  <c r="AX314" i="28"/>
  <c r="BE314" i="28" s="1"/>
  <c r="AW314" i="28"/>
  <c r="BD314" i="28" s="1"/>
  <c r="AV314" i="28"/>
  <c r="BC314" i="28" s="1"/>
  <c r="AU314" i="28"/>
  <c r="BB314" i="28" s="1"/>
  <c r="AT314" i="28"/>
  <c r="BA314" i="28" s="1"/>
  <c r="AY313" i="28"/>
  <c r="BF313" i="28" s="1"/>
  <c r="AX313" i="28"/>
  <c r="BE313" i="28" s="1"/>
  <c r="AW313" i="28"/>
  <c r="BD313" i="28" s="1"/>
  <c r="AV313" i="28"/>
  <c r="BC313" i="28" s="1"/>
  <c r="AU313" i="28"/>
  <c r="BB313" i="28" s="1"/>
  <c r="AT313" i="28"/>
  <c r="BA313" i="28" s="1"/>
  <c r="AX312" i="28"/>
  <c r="BE312" i="28" s="1"/>
  <c r="AW312" i="28"/>
  <c r="BD312" i="28" s="1"/>
  <c r="AV312" i="28"/>
  <c r="BC312" i="28" s="1"/>
  <c r="AU312" i="28"/>
  <c r="BB312" i="28" s="1"/>
  <c r="AT312" i="28"/>
  <c r="BA312" i="28" s="1"/>
  <c r="AX311" i="28"/>
  <c r="BE311" i="28" s="1"/>
  <c r="AW311" i="28"/>
  <c r="BD311" i="28" s="1"/>
  <c r="AV311" i="28"/>
  <c r="BC311" i="28" s="1"/>
  <c r="AU311" i="28"/>
  <c r="BB311" i="28" s="1"/>
  <c r="AT311" i="28"/>
  <c r="BA311" i="28" s="1"/>
  <c r="AY310" i="28"/>
  <c r="BF310" i="28" s="1"/>
  <c r="AX310" i="28"/>
  <c r="BE310" i="28" s="1"/>
  <c r="AW310" i="28"/>
  <c r="BD310" i="28" s="1"/>
  <c r="AV310" i="28"/>
  <c r="BC310" i="28" s="1"/>
  <c r="AU310" i="28"/>
  <c r="BB310" i="28" s="1"/>
  <c r="AT310" i="28"/>
  <c r="BA310" i="28" s="1"/>
  <c r="AY309" i="28"/>
  <c r="BF309" i="28" s="1"/>
  <c r="AX309" i="28"/>
  <c r="BE309" i="28" s="1"/>
  <c r="AW309" i="28"/>
  <c r="BD309" i="28" s="1"/>
  <c r="AV309" i="28"/>
  <c r="BC309" i="28" s="1"/>
  <c r="AU309" i="28"/>
  <c r="BB309" i="28" s="1"/>
  <c r="AT309" i="28"/>
  <c r="BA309" i="28" s="1"/>
  <c r="AY308" i="28"/>
  <c r="BF308" i="28" s="1"/>
  <c r="AX308" i="28"/>
  <c r="BE308" i="28" s="1"/>
  <c r="AW308" i="28"/>
  <c r="BD308" i="28" s="1"/>
  <c r="AV308" i="28"/>
  <c r="BC308" i="28" s="1"/>
  <c r="AU308" i="28"/>
  <c r="BB308" i="28" s="1"/>
  <c r="AT308" i="28"/>
  <c r="BA308" i="28" s="1"/>
  <c r="AY307" i="28"/>
  <c r="BF307" i="28" s="1"/>
  <c r="AX307" i="28"/>
  <c r="BE307" i="28" s="1"/>
  <c r="AW307" i="28"/>
  <c r="BD307" i="28" s="1"/>
  <c r="AV307" i="28"/>
  <c r="BC307" i="28" s="1"/>
  <c r="AU307" i="28"/>
  <c r="BB307" i="28" s="1"/>
  <c r="AT307" i="28"/>
  <c r="BA307" i="28" s="1"/>
  <c r="AY306" i="28"/>
  <c r="BF306" i="28" s="1"/>
  <c r="AX306" i="28"/>
  <c r="BE306" i="28" s="1"/>
  <c r="AW306" i="28"/>
  <c r="BD306" i="28" s="1"/>
  <c r="AV306" i="28"/>
  <c r="BC306" i="28" s="1"/>
  <c r="AU306" i="28"/>
  <c r="BB306" i="28" s="1"/>
  <c r="AT306" i="28"/>
  <c r="BA306" i="28" s="1"/>
  <c r="AY305" i="28"/>
  <c r="BF305" i="28" s="1"/>
  <c r="AX305" i="28"/>
  <c r="BE305" i="28" s="1"/>
  <c r="AW305" i="28"/>
  <c r="BD305" i="28" s="1"/>
  <c r="AV305" i="28"/>
  <c r="BC305" i="28" s="1"/>
  <c r="AU305" i="28"/>
  <c r="BB305" i="28" s="1"/>
  <c r="AT305" i="28"/>
  <c r="BA305" i="28" s="1"/>
  <c r="AX304" i="28"/>
  <c r="BE304" i="28" s="1"/>
  <c r="AW304" i="28"/>
  <c r="BD304" i="28" s="1"/>
  <c r="AV304" i="28"/>
  <c r="BC304" i="28" s="1"/>
  <c r="AU304" i="28"/>
  <c r="BB304" i="28" s="1"/>
  <c r="AT304" i="28"/>
  <c r="BA304" i="28" s="1"/>
  <c r="AY303" i="28"/>
  <c r="BF303" i="28" s="1"/>
  <c r="AX303" i="28"/>
  <c r="BE303" i="28" s="1"/>
  <c r="AW303" i="28"/>
  <c r="BD303" i="28" s="1"/>
  <c r="AV303" i="28"/>
  <c r="BC303" i="28" s="1"/>
  <c r="AU303" i="28"/>
  <c r="BB303" i="28" s="1"/>
  <c r="AT303" i="28"/>
  <c r="BA303" i="28" s="1"/>
  <c r="AY302" i="28"/>
  <c r="BF302" i="28" s="1"/>
  <c r="AX302" i="28"/>
  <c r="BE302" i="28" s="1"/>
  <c r="AW302" i="28"/>
  <c r="BD302" i="28" s="1"/>
  <c r="AV302" i="28"/>
  <c r="BC302" i="28" s="1"/>
  <c r="AU302" i="28"/>
  <c r="BB302" i="28" s="1"/>
  <c r="AT302" i="28"/>
  <c r="BA302" i="28" s="1"/>
  <c r="AY301" i="28"/>
  <c r="BF301" i="28" s="1"/>
  <c r="AX301" i="28"/>
  <c r="BE301" i="28" s="1"/>
  <c r="AW301" i="28"/>
  <c r="BD301" i="28" s="1"/>
  <c r="AV301" i="28"/>
  <c r="BC301" i="28" s="1"/>
  <c r="AU301" i="28"/>
  <c r="BB301" i="28" s="1"/>
  <c r="AT301" i="28"/>
  <c r="BA301" i="28" s="1"/>
  <c r="AY300" i="28"/>
  <c r="BF300" i="28" s="1"/>
  <c r="AX300" i="28"/>
  <c r="BE300" i="28" s="1"/>
  <c r="AW300" i="28"/>
  <c r="BD300" i="28" s="1"/>
  <c r="AV300" i="28"/>
  <c r="BC300" i="28" s="1"/>
  <c r="AU300" i="28"/>
  <c r="BB300" i="28" s="1"/>
  <c r="AT300" i="28"/>
  <c r="BA300" i="28" s="1"/>
  <c r="AY299" i="28"/>
  <c r="BF299" i="28" s="1"/>
  <c r="AX299" i="28"/>
  <c r="BE299" i="28" s="1"/>
  <c r="AW299" i="28"/>
  <c r="BD299" i="28" s="1"/>
  <c r="AV299" i="28"/>
  <c r="BC299" i="28" s="1"/>
  <c r="AU299" i="28"/>
  <c r="BB299" i="28" s="1"/>
  <c r="AT299" i="28"/>
  <c r="BA299" i="28" s="1"/>
  <c r="AY298" i="28"/>
  <c r="BF298" i="28" s="1"/>
  <c r="AX298" i="28"/>
  <c r="BE298" i="28" s="1"/>
  <c r="AW298" i="28"/>
  <c r="BD298" i="28" s="1"/>
  <c r="AV298" i="28"/>
  <c r="BC298" i="28" s="1"/>
  <c r="AU298" i="28"/>
  <c r="BB298" i="28" s="1"/>
  <c r="AT298" i="28"/>
  <c r="BA298" i="28" s="1"/>
  <c r="AY297" i="28"/>
  <c r="BF297" i="28" s="1"/>
  <c r="AX297" i="28"/>
  <c r="BE297" i="28" s="1"/>
  <c r="AW297" i="28"/>
  <c r="BD297" i="28" s="1"/>
  <c r="AV297" i="28"/>
  <c r="BC297" i="28" s="1"/>
  <c r="AU297" i="28"/>
  <c r="BB297" i="28" s="1"/>
  <c r="AT297" i="28"/>
  <c r="BA297" i="28" s="1"/>
  <c r="AX296" i="28"/>
  <c r="BE296" i="28" s="1"/>
  <c r="AW296" i="28"/>
  <c r="BD296" i="28" s="1"/>
  <c r="AV296" i="28"/>
  <c r="BC296" i="28" s="1"/>
  <c r="AU296" i="28"/>
  <c r="BB296" i="28" s="1"/>
  <c r="AT296" i="28"/>
  <c r="BA296" i="28" s="1"/>
  <c r="AY295" i="28"/>
  <c r="BF295" i="28" s="1"/>
  <c r="AX295" i="28"/>
  <c r="BE295" i="28" s="1"/>
  <c r="AW295" i="28"/>
  <c r="BD295" i="28" s="1"/>
  <c r="AV295" i="28"/>
  <c r="BC295" i="28" s="1"/>
  <c r="AU295" i="28"/>
  <c r="BB295" i="28" s="1"/>
  <c r="AT295" i="28"/>
  <c r="BA295" i="28" s="1"/>
  <c r="AY294" i="28"/>
  <c r="BF294" i="28" s="1"/>
  <c r="AX294" i="28"/>
  <c r="BE294" i="28" s="1"/>
  <c r="AW294" i="28"/>
  <c r="BD294" i="28" s="1"/>
  <c r="AV294" i="28"/>
  <c r="BC294" i="28" s="1"/>
  <c r="AU294" i="28"/>
  <c r="BB294" i="28" s="1"/>
  <c r="AT294" i="28"/>
  <c r="BA294" i="28" s="1"/>
  <c r="AY293" i="28"/>
  <c r="BF293" i="28" s="1"/>
  <c r="AX293" i="28"/>
  <c r="BE293" i="28" s="1"/>
  <c r="AW293" i="28"/>
  <c r="BD293" i="28" s="1"/>
  <c r="AV293" i="28"/>
  <c r="BC293" i="28" s="1"/>
  <c r="AU293" i="28"/>
  <c r="BB293" i="28" s="1"/>
  <c r="AT293" i="28"/>
  <c r="BA293" i="28" s="1"/>
  <c r="AY292" i="28"/>
  <c r="BF292" i="28" s="1"/>
  <c r="AX292" i="28"/>
  <c r="BE292" i="28" s="1"/>
  <c r="AW292" i="28"/>
  <c r="BD292" i="28" s="1"/>
  <c r="AV292" i="28"/>
  <c r="BC292" i="28" s="1"/>
  <c r="AU292" i="28"/>
  <c r="BB292" i="28" s="1"/>
  <c r="AT292" i="28"/>
  <c r="BA292" i="28" s="1"/>
  <c r="AY291" i="28"/>
  <c r="BF291" i="28" s="1"/>
  <c r="AX291" i="28"/>
  <c r="BE291" i="28" s="1"/>
  <c r="AW291" i="28"/>
  <c r="BD291" i="28" s="1"/>
  <c r="AV291" i="28"/>
  <c r="BC291" i="28" s="1"/>
  <c r="AU291" i="28"/>
  <c r="BB291" i="28" s="1"/>
  <c r="AT291" i="28"/>
  <c r="BA291" i="28" s="1"/>
  <c r="AY290" i="28"/>
  <c r="BF290" i="28" s="1"/>
  <c r="AX290" i="28"/>
  <c r="BE290" i="28" s="1"/>
  <c r="AW290" i="28"/>
  <c r="BD290" i="28" s="1"/>
  <c r="AV290" i="28"/>
  <c r="BC290" i="28" s="1"/>
  <c r="AU290" i="28"/>
  <c r="BB290" i="28" s="1"/>
  <c r="AT290" i="28"/>
  <c r="BA290" i="28" s="1"/>
  <c r="AY289" i="28"/>
  <c r="BF289" i="28" s="1"/>
  <c r="AX289" i="28"/>
  <c r="BE289" i="28" s="1"/>
  <c r="AW289" i="28"/>
  <c r="BD289" i="28" s="1"/>
  <c r="AV289" i="28"/>
  <c r="BC289" i="28" s="1"/>
  <c r="AU289" i="28"/>
  <c r="BB289" i="28" s="1"/>
  <c r="AT289" i="28"/>
  <c r="BA289" i="28" s="1"/>
  <c r="AX288" i="28"/>
  <c r="BE288" i="28" s="1"/>
  <c r="AW288" i="28"/>
  <c r="BD288" i="28" s="1"/>
  <c r="AV288" i="28"/>
  <c r="BC288" i="28" s="1"/>
  <c r="AU288" i="28"/>
  <c r="BB288" i="28" s="1"/>
  <c r="AT288" i="28"/>
  <c r="BA288" i="28" s="1"/>
  <c r="AX287" i="28"/>
  <c r="BE287" i="28" s="1"/>
  <c r="AW287" i="28"/>
  <c r="BD287" i="28" s="1"/>
  <c r="AV287" i="28"/>
  <c r="BC287" i="28" s="1"/>
  <c r="AU287" i="28"/>
  <c r="BB287" i="28" s="1"/>
  <c r="AT287" i="28"/>
  <c r="BA287" i="28" s="1"/>
  <c r="AY286" i="28"/>
  <c r="BF286" i="28" s="1"/>
  <c r="AX286" i="28"/>
  <c r="BE286" i="28" s="1"/>
  <c r="AW286" i="28"/>
  <c r="BD286" i="28" s="1"/>
  <c r="AV286" i="28"/>
  <c r="BC286" i="28" s="1"/>
  <c r="AU286" i="28"/>
  <c r="BB286" i="28" s="1"/>
  <c r="AT286" i="28"/>
  <c r="BA286" i="28" s="1"/>
  <c r="AY285" i="28"/>
  <c r="BF285" i="28" s="1"/>
  <c r="AX285" i="28"/>
  <c r="BE285" i="28" s="1"/>
  <c r="AW285" i="28"/>
  <c r="BD285" i="28" s="1"/>
  <c r="AV285" i="28"/>
  <c r="BC285" i="28" s="1"/>
  <c r="AU285" i="28"/>
  <c r="BB285" i="28" s="1"/>
  <c r="AT285" i="28"/>
  <c r="BA285" i="28" s="1"/>
  <c r="AY284" i="28"/>
  <c r="BF284" i="28" s="1"/>
  <c r="AX284" i="28"/>
  <c r="BE284" i="28" s="1"/>
  <c r="AW284" i="28"/>
  <c r="BD284" i="28" s="1"/>
  <c r="AV284" i="28"/>
  <c r="BC284" i="28" s="1"/>
  <c r="AU284" i="28"/>
  <c r="BB284" i="28" s="1"/>
  <c r="AT284" i="28"/>
  <c r="BA284" i="28" s="1"/>
  <c r="AY283" i="28"/>
  <c r="BF283" i="28" s="1"/>
  <c r="AX283" i="28"/>
  <c r="BE283" i="28" s="1"/>
  <c r="AW283" i="28"/>
  <c r="BD283" i="28" s="1"/>
  <c r="AV283" i="28"/>
  <c r="BC283" i="28" s="1"/>
  <c r="AU283" i="28"/>
  <c r="BB283" i="28" s="1"/>
  <c r="AT283" i="28"/>
  <c r="BA283" i="28" s="1"/>
  <c r="AY282" i="28"/>
  <c r="BF282" i="28" s="1"/>
  <c r="AX282" i="28"/>
  <c r="BE282" i="28" s="1"/>
  <c r="AW282" i="28"/>
  <c r="BD282" i="28" s="1"/>
  <c r="AV282" i="28"/>
  <c r="BC282" i="28" s="1"/>
  <c r="AU282" i="28"/>
  <c r="BB282" i="28" s="1"/>
  <c r="AT282" i="28"/>
  <c r="BA282" i="28" s="1"/>
  <c r="AY281" i="28"/>
  <c r="BF281" i="28" s="1"/>
  <c r="AX281" i="28"/>
  <c r="BE281" i="28" s="1"/>
  <c r="AW281" i="28"/>
  <c r="BD281" i="28" s="1"/>
  <c r="AV281" i="28"/>
  <c r="BC281" i="28" s="1"/>
  <c r="AU281" i="28"/>
  <c r="BB281" i="28" s="1"/>
  <c r="AT281" i="28"/>
  <c r="BA281" i="28" s="1"/>
  <c r="AX280" i="28"/>
  <c r="BE280" i="28" s="1"/>
  <c r="AW280" i="28"/>
  <c r="BD280" i="28" s="1"/>
  <c r="AV280" i="28"/>
  <c r="BC280" i="28" s="1"/>
  <c r="AU280" i="28"/>
  <c r="BB280" i="28" s="1"/>
  <c r="AT280" i="28"/>
  <c r="BA280" i="28" s="1"/>
  <c r="AX279" i="28"/>
  <c r="BE279" i="28" s="1"/>
  <c r="AW279" i="28"/>
  <c r="BD279" i="28" s="1"/>
  <c r="AV279" i="28"/>
  <c r="BC279" i="28" s="1"/>
  <c r="AU279" i="28"/>
  <c r="BB279" i="28" s="1"/>
  <c r="AT279" i="28"/>
  <c r="BA279" i="28" s="1"/>
  <c r="AY278" i="28"/>
  <c r="BF278" i="28" s="1"/>
  <c r="AX278" i="28"/>
  <c r="BE278" i="28" s="1"/>
  <c r="AW278" i="28"/>
  <c r="BD278" i="28" s="1"/>
  <c r="AV278" i="28"/>
  <c r="BC278" i="28" s="1"/>
  <c r="AU278" i="28"/>
  <c r="BB278" i="28" s="1"/>
  <c r="AT278" i="28"/>
  <c r="BA278" i="28" s="1"/>
  <c r="AY277" i="28"/>
  <c r="BF277" i="28" s="1"/>
  <c r="AX277" i="28"/>
  <c r="BE277" i="28" s="1"/>
  <c r="AW277" i="28"/>
  <c r="BD277" i="28" s="1"/>
  <c r="AV277" i="28"/>
  <c r="BC277" i="28" s="1"/>
  <c r="AU277" i="28"/>
  <c r="BB277" i="28" s="1"/>
  <c r="AT277" i="28"/>
  <c r="BA277" i="28" s="1"/>
  <c r="AY276" i="28"/>
  <c r="BF276" i="28" s="1"/>
  <c r="AX276" i="28"/>
  <c r="BE276" i="28" s="1"/>
  <c r="AW276" i="28"/>
  <c r="BD276" i="28" s="1"/>
  <c r="AV276" i="28"/>
  <c r="BC276" i="28" s="1"/>
  <c r="AU276" i="28"/>
  <c r="BB276" i="28" s="1"/>
  <c r="AT276" i="28"/>
  <c r="BA276" i="28" s="1"/>
  <c r="AY275" i="28"/>
  <c r="BF275" i="28" s="1"/>
  <c r="AX275" i="28"/>
  <c r="BE275" i="28" s="1"/>
  <c r="AW275" i="28"/>
  <c r="BD275" i="28" s="1"/>
  <c r="AV275" i="28"/>
  <c r="BC275" i="28" s="1"/>
  <c r="AU275" i="28"/>
  <c r="BB275" i="28" s="1"/>
  <c r="AT275" i="28"/>
  <c r="BA275" i="28" s="1"/>
  <c r="AY274" i="28"/>
  <c r="BF274" i="28" s="1"/>
  <c r="AX274" i="28"/>
  <c r="BE274" i="28" s="1"/>
  <c r="AW274" i="28"/>
  <c r="BD274" i="28" s="1"/>
  <c r="AV274" i="28"/>
  <c r="BC274" i="28" s="1"/>
  <c r="AU274" i="28"/>
  <c r="BB274" i="28" s="1"/>
  <c r="AT274" i="28"/>
  <c r="BA274" i="28" s="1"/>
  <c r="AY273" i="28"/>
  <c r="BF273" i="28" s="1"/>
  <c r="AX273" i="28"/>
  <c r="BE273" i="28" s="1"/>
  <c r="AW273" i="28"/>
  <c r="BD273" i="28" s="1"/>
  <c r="AV273" i="28"/>
  <c r="BC273" i="28" s="1"/>
  <c r="AU273" i="28"/>
  <c r="BB273" i="28" s="1"/>
  <c r="AT273" i="28"/>
  <c r="BA273" i="28" s="1"/>
  <c r="AX272" i="28"/>
  <c r="BE272" i="28" s="1"/>
  <c r="AW272" i="28"/>
  <c r="BD272" i="28" s="1"/>
  <c r="AV272" i="28"/>
  <c r="BC272" i="28" s="1"/>
  <c r="AU272" i="28"/>
  <c r="BB272" i="28" s="1"/>
  <c r="AT272" i="28"/>
  <c r="BA272" i="28" s="1"/>
  <c r="AX271" i="28"/>
  <c r="BE271" i="28" s="1"/>
  <c r="AW271" i="28"/>
  <c r="BD271" i="28" s="1"/>
  <c r="AV271" i="28"/>
  <c r="BC271" i="28" s="1"/>
  <c r="AU271" i="28"/>
  <c r="BB271" i="28" s="1"/>
  <c r="AT271" i="28"/>
  <c r="BA271" i="28" s="1"/>
  <c r="AY270" i="28"/>
  <c r="BF270" i="28" s="1"/>
  <c r="AX270" i="28"/>
  <c r="BE270" i="28" s="1"/>
  <c r="AW270" i="28"/>
  <c r="BD270" i="28" s="1"/>
  <c r="AV270" i="28"/>
  <c r="BC270" i="28" s="1"/>
  <c r="AU270" i="28"/>
  <c r="BB270" i="28" s="1"/>
  <c r="AT270" i="28"/>
  <c r="BA270" i="28" s="1"/>
  <c r="AY269" i="28"/>
  <c r="BF269" i="28" s="1"/>
  <c r="AX269" i="28"/>
  <c r="BE269" i="28" s="1"/>
  <c r="AW269" i="28"/>
  <c r="BD269" i="28" s="1"/>
  <c r="AV269" i="28"/>
  <c r="BC269" i="28" s="1"/>
  <c r="AU269" i="28"/>
  <c r="BB269" i="28" s="1"/>
  <c r="AT269" i="28"/>
  <c r="BA269" i="28" s="1"/>
  <c r="AY268" i="28"/>
  <c r="BF268" i="28" s="1"/>
  <c r="AX268" i="28"/>
  <c r="BE268" i="28" s="1"/>
  <c r="AW268" i="28"/>
  <c r="BD268" i="28" s="1"/>
  <c r="AV268" i="28"/>
  <c r="BC268" i="28" s="1"/>
  <c r="AU268" i="28"/>
  <c r="BB268" i="28" s="1"/>
  <c r="AT268" i="28"/>
  <c r="BA268" i="28" s="1"/>
  <c r="AY267" i="28"/>
  <c r="BF267" i="28" s="1"/>
  <c r="AX267" i="28"/>
  <c r="BE267" i="28" s="1"/>
  <c r="AW267" i="28"/>
  <c r="BD267" i="28" s="1"/>
  <c r="AV267" i="28"/>
  <c r="BC267" i="28" s="1"/>
  <c r="AU267" i="28"/>
  <c r="BB267" i="28" s="1"/>
  <c r="AT267" i="28"/>
  <c r="BA267" i="28" s="1"/>
  <c r="AY266" i="28"/>
  <c r="BF266" i="28" s="1"/>
  <c r="AX266" i="28"/>
  <c r="BE266" i="28" s="1"/>
  <c r="AW266" i="28"/>
  <c r="BD266" i="28" s="1"/>
  <c r="AV266" i="28"/>
  <c r="BC266" i="28" s="1"/>
  <c r="AU266" i="28"/>
  <c r="BB266" i="28" s="1"/>
  <c r="AT266" i="28"/>
  <c r="BA266" i="28" s="1"/>
  <c r="AY265" i="28"/>
  <c r="BF265" i="28" s="1"/>
  <c r="AX265" i="28"/>
  <c r="BE265" i="28" s="1"/>
  <c r="AW265" i="28"/>
  <c r="BD265" i="28" s="1"/>
  <c r="AV265" i="28"/>
  <c r="BC265" i="28" s="1"/>
  <c r="AU265" i="28"/>
  <c r="BB265" i="28" s="1"/>
  <c r="AT265" i="28"/>
  <c r="BA265" i="28" s="1"/>
  <c r="AX264" i="28"/>
  <c r="BE264" i="28" s="1"/>
  <c r="AW264" i="28"/>
  <c r="BD264" i="28" s="1"/>
  <c r="AV264" i="28"/>
  <c r="BC264" i="28" s="1"/>
  <c r="AU264" i="28"/>
  <c r="BB264" i="28" s="1"/>
  <c r="AT264" i="28"/>
  <c r="BA264" i="28" s="1"/>
  <c r="AY263" i="28"/>
  <c r="BF263" i="28" s="1"/>
  <c r="AX263" i="28"/>
  <c r="BE263" i="28" s="1"/>
  <c r="AW263" i="28"/>
  <c r="BD263" i="28" s="1"/>
  <c r="AV263" i="28"/>
  <c r="BC263" i="28" s="1"/>
  <c r="AU263" i="28"/>
  <c r="BB263" i="28" s="1"/>
  <c r="AT263" i="28"/>
  <c r="BA263" i="28" s="1"/>
  <c r="AY262" i="28"/>
  <c r="BF262" i="28" s="1"/>
  <c r="AX262" i="28"/>
  <c r="BE262" i="28" s="1"/>
  <c r="AW262" i="28"/>
  <c r="BD262" i="28" s="1"/>
  <c r="AV262" i="28"/>
  <c r="BC262" i="28" s="1"/>
  <c r="AU262" i="28"/>
  <c r="BB262" i="28" s="1"/>
  <c r="AT262" i="28"/>
  <c r="BA262" i="28" s="1"/>
  <c r="AY261" i="28"/>
  <c r="BF261" i="28" s="1"/>
  <c r="AX261" i="28"/>
  <c r="BE261" i="28" s="1"/>
  <c r="AW261" i="28"/>
  <c r="BD261" i="28" s="1"/>
  <c r="AV261" i="28"/>
  <c r="BC261" i="28" s="1"/>
  <c r="AU261" i="28"/>
  <c r="BB261" i="28" s="1"/>
  <c r="AT261" i="28"/>
  <c r="BA261" i="28" s="1"/>
  <c r="AY260" i="28"/>
  <c r="BF260" i="28" s="1"/>
  <c r="AX260" i="28"/>
  <c r="BE260" i="28" s="1"/>
  <c r="AW260" i="28"/>
  <c r="BD260" i="28" s="1"/>
  <c r="AV260" i="28"/>
  <c r="BC260" i="28" s="1"/>
  <c r="AU260" i="28"/>
  <c r="BB260" i="28" s="1"/>
  <c r="AT260" i="28"/>
  <c r="BA260" i="28" s="1"/>
  <c r="AY259" i="28"/>
  <c r="BF259" i="28" s="1"/>
  <c r="AX259" i="28"/>
  <c r="BE259" i="28" s="1"/>
  <c r="AW259" i="28"/>
  <c r="BD259" i="28" s="1"/>
  <c r="AV259" i="28"/>
  <c r="BC259" i="28" s="1"/>
  <c r="AU259" i="28"/>
  <c r="BB259" i="28" s="1"/>
  <c r="AT259" i="28"/>
  <c r="BA259" i="28" s="1"/>
  <c r="AY258" i="28"/>
  <c r="BF258" i="28" s="1"/>
  <c r="AX258" i="28"/>
  <c r="BE258" i="28" s="1"/>
  <c r="AW258" i="28"/>
  <c r="BD258" i="28" s="1"/>
  <c r="AV258" i="28"/>
  <c r="BC258" i="28" s="1"/>
  <c r="AU258" i="28"/>
  <c r="BB258" i="28" s="1"/>
  <c r="AT258" i="28"/>
  <c r="BA258" i="28" s="1"/>
  <c r="AY257" i="28"/>
  <c r="BF257" i="28" s="1"/>
  <c r="AX257" i="28"/>
  <c r="BE257" i="28" s="1"/>
  <c r="AW257" i="28"/>
  <c r="BD257" i="28" s="1"/>
  <c r="AV257" i="28"/>
  <c r="BC257" i="28" s="1"/>
  <c r="AU257" i="28"/>
  <c r="BB257" i="28" s="1"/>
  <c r="AT257" i="28"/>
  <c r="BA257" i="28" s="1"/>
  <c r="AX256" i="28"/>
  <c r="BE256" i="28" s="1"/>
  <c r="AW256" i="28"/>
  <c r="BD256" i="28" s="1"/>
  <c r="AV256" i="28"/>
  <c r="BC256" i="28" s="1"/>
  <c r="AU256" i="28"/>
  <c r="BB256" i="28" s="1"/>
  <c r="AT256" i="28"/>
  <c r="BA256" i="28" s="1"/>
  <c r="AX255" i="28"/>
  <c r="BE255" i="28" s="1"/>
  <c r="AW255" i="28"/>
  <c r="BD255" i="28" s="1"/>
  <c r="AV255" i="28"/>
  <c r="BC255" i="28" s="1"/>
  <c r="AU255" i="28"/>
  <c r="BB255" i="28" s="1"/>
  <c r="AT255" i="28"/>
  <c r="BA255" i="28" s="1"/>
  <c r="AY254" i="28"/>
  <c r="BF254" i="28" s="1"/>
  <c r="AX254" i="28"/>
  <c r="BE254" i="28" s="1"/>
  <c r="AW254" i="28"/>
  <c r="BD254" i="28" s="1"/>
  <c r="AV254" i="28"/>
  <c r="BC254" i="28" s="1"/>
  <c r="AU254" i="28"/>
  <c r="BB254" i="28" s="1"/>
  <c r="AT254" i="28"/>
  <c r="BA254" i="28" s="1"/>
  <c r="AY253" i="28"/>
  <c r="BF253" i="28" s="1"/>
  <c r="AX253" i="28"/>
  <c r="BE253" i="28" s="1"/>
  <c r="AW253" i="28"/>
  <c r="BD253" i="28" s="1"/>
  <c r="AV253" i="28"/>
  <c r="BC253" i="28" s="1"/>
  <c r="AU253" i="28"/>
  <c r="BB253" i="28" s="1"/>
  <c r="AT253" i="28"/>
  <c r="BA253" i="28" s="1"/>
  <c r="AY252" i="28"/>
  <c r="BF252" i="28" s="1"/>
  <c r="AX252" i="28"/>
  <c r="BE252" i="28" s="1"/>
  <c r="AW252" i="28"/>
  <c r="BD252" i="28" s="1"/>
  <c r="AV252" i="28"/>
  <c r="BC252" i="28" s="1"/>
  <c r="AU252" i="28"/>
  <c r="BB252" i="28" s="1"/>
  <c r="AT252" i="28"/>
  <c r="BA252" i="28" s="1"/>
  <c r="AY251" i="28"/>
  <c r="BF251" i="28" s="1"/>
  <c r="AX251" i="28"/>
  <c r="BE251" i="28" s="1"/>
  <c r="AW251" i="28"/>
  <c r="BD251" i="28" s="1"/>
  <c r="AV251" i="28"/>
  <c r="BC251" i="28" s="1"/>
  <c r="AU251" i="28"/>
  <c r="BB251" i="28" s="1"/>
  <c r="AT251" i="28"/>
  <c r="BA251" i="28" s="1"/>
  <c r="AY250" i="28"/>
  <c r="BF250" i="28" s="1"/>
  <c r="AX250" i="28"/>
  <c r="BE250" i="28" s="1"/>
  <c r="AW250" i="28"/>
  <c r="BD250" i="28" s="1"/>
  <c r="AV250" i="28"/>
  <c r="BC250" i="28" s="1"/>
  <c r="AU250" i="28"/>
  <c r="BB250" i="28" s="1"/>
  <c r="AT250" i="28"/>
  <c r="BA250" i="28" s="1"/>
  <c r="AY249" i="28"/>
  <c r="BF249" i="28" s="1"/>
  <c r="AX249" i="28"/>
  <c r="BE249" i="28" s="1"/>
  <c r="AW249" i="28"/>
  <c r="BD249" i="28" s="1"/>
  <c r="AV249" i="28"/>
  <c r="BC249" i="28" s="1"/>
  <c r="AU249" i="28"/>
  <c r="BB249" i="28" s="1"/>
  <c r="AT249" i="28"/>
  <c r="BA249" i="28" s="1"/>
  <c r="AX248" i="28"/>
  <c r="BE248" i="28" s="1"/>
  <c r="AW248" i="28"/>
  <c r="BD248" i="28" s="1"/>
  <c r="AV248" i="28"/>
  <c r="BC248" i="28" s="1"/>
  <c r="AU248" i="28"/>
  <c r="BB248" i="28" s="1"/>
  <c r="AT248" i="28"/>
  <c r="BA248" i="28" s="1"/>
  <c r="AY247" i="28"/>
  <c r="BF247" i="28" s="1"/>
  <c r="AX247" i="28"/>
  <c r="BE247" i="28" s="1"/>
  <c r="AW247" i="28"/>
  <c r="BD247" i="28" s="1"/>
  <c r="AV247" i="28"/>
  <c r="BC247" i="28" s="1"/>
  <c r="AU247" i="28"/>
  <c r="BB247" i="28" s="1"/>
  <c r="AT247" i="28"/>
  <c r="BA247" i="28" s="1"/>
  <c r="AY246" i="28"/>
  <c r="BF246" i="28" s="1"/>
  <c r="AX246" i="28"/>
  <c r="BE246" i="28" s="1"/>
  <c r="AW246" i="28"/>
  <c r="BD246" i="28" s="1"/>
  <c r="AV246" i="28"/>
  <c r="BC246" i="28" s="1"/>
  <c r="AU246" i="28"/>
  <c r="BB246" i="28" s="1"/>
  <c r="AT246" i="28"/>
  <c r="BA246" i="28" s="1"/>
  <c r="AY245" i="28"/>
  <c r="BF245" i="28" s="1"/>
  <c r="AX245" i="28"/>
  <c r="BE245" i="28" s="1"/>
  <c r="AW245" i="28"/>
  <c r="BD245" i="28" s="1"/>
  <c r="AV245" i="28"/>
  <c r="BC245" i="28" s="1"/>
  <c r="AU245" i="28"/>
  <c r="BB245" i="28" s="1"/>
  <c r="AT245" i="28"/>
  <c r="BA245" i="28" s="1"/>
  <c r="AY244" i="28"/>
  <c r="BF244" i="28" s="1"/>
  <c r="AX244" i="28"/>
  <c r="BE244" i="28" s="1"/>
  <c r="AW244" i="28"/>
  <c r="BD244" i="28" s="1"/>
  <c r="AV244" i="28"/>
  <c r="BC244" i="28" s="1"/>
  <c r="AU244" i="28"/>
  <c r="BB244" i="28" s="1"/>
  <c r="AT244" i="28"/>
  <c r="BA244" i="28" s="1"/>
  <c r="AY243" i="28"/>
  <c r="BF243" i="28" s="1"/>
  <c r="AX243" i="28"/>
  <c r="BE243" i="28" s="1"/>
  <c r="AW243" i="28"/>
  <c r="BD243" i="28" s="1"/>
  <c r="AV243" i="28"/>
  <c r="BC243" i="28" s="1"/>
  <c r="AU243" i="28"/>
  <c r="BB243" i="28" s="1"/>
  <c r="AT243" i="28"/>
  <c r="BA243" i="28" s="1"/>
  <c r="AY242" i="28"/>
  <c r="BF242" i="28" s="1"/>
  <c r="AX242" i="28"/>
  <c r="BE242" i="28" s="1"/>
  <c r="AW242" i="28"/>
  <c r="BD242" i="28" s="1"/>
  <c r="AV242" i="28"/>
  <c r="BC242" i="28" s="1"/>
  <c r="AU242" i="28"/>
  <c r="BB242" i="28" s="1"/>
  <c r="AT242" i="28"/>
  <c r="BA242" i="28" s="1"/>
  <c r="AY241" i="28"/>
  <c r="BF241" i="28" s="1"/>
  <c r="AX241" i="28"/>
  <c r="BE241" i="28" s="1"/>
  <c r="AW241" i="28"/>
  <c r="BD241" i="28" s="1"/>
  <c r="AV241" i="28"/>
  <c r="BC241" i="28" s="1"/>
  <c r="AU241" i="28"/>
  <c r="BB241" i="28" s="1"/>
  <c r="AT241" i="28"/>
  <c r="BA241" i="28" s="1"/>
  <c r="AX240" i="28"/>
  <c r="BE240" i="28" s="1"/>
  <c r="AW240" i="28"/>
  <c r="BD240" i="28" s="1"/>
  <c r="AV240" i="28"/>
  <c r="BC240" i="28" s="1"/>
  <c r="AU240" i="28"/>
  <c r="BB240" i="28" s="1"/>
  <c r="AT240" i="28"/>
  <c r="BA240" i="28" s="1"/>
  <c r="AX239" i="28"/>
  <c r="BE239" i="28" s="1"/>
  <c r="AW239" i="28"/>
  <c r="BD239" i="28" s="1"/>
  <c r="AV239" i="28"/>
  <c r="BC239" i="28" s="1"/>
  <c r="AU239" i="28"/>
  <c r="BB239" i="28" s="1"/>
  <c r="AT239" i="28"/>
  <c r="BA239" i="28" s="1"/>
  <c r="AY238" i="28"/>
  <c r="BF238" i="28" s="1"/>
  <c r="AX238" i="28"/>
  <c r="BE238" i="28" s="1"/>
  <c r="AW238" i="28"/>
  <c r="BD238" i="28" s="1"/>
  <c r="AV238" i="28"/>
  <c r="BC238" i="28" s="1"/>
  <c r="AU238" i="28"/>
  <c r="BB238" i="28" s="1"/>
  <c r="AT238" i="28"/>
  <c r="BA238" i="28" s="1"/>
  <c r="AY237" i="28"/>
  <c r="BF237" i="28" s="1"/>
  <c r="AX237" i="28"/>
  <c r="BE237" i="28" s="1"/>
  <c r="AW237" i="28"/>
  <c r="BD237" i="28" s="1"/>
  <c r="AV237" i="28"/>
  <c r="BC237" i="28" s="1"/>
  <c r="AU237" i="28"/>
  <c r="BB237" i="28" s="1"/>
  <c r="AT237" i="28"/>
  <c r="BA237" i="28" s="1"/>
  <c r="AY236" i="28"/>
  <c r="BF236" i="28" s="1"/>
  <c r="AX236" i="28"/>
  <c r="BE236" i="28" s="1"/>
  <c r="AW236" i="28"/>
  <c r="BD236" i="28" s="1"/>
  <c r="AV236" i="28"/>
  <c r="BC236" i="28" s="1"/>
  <c r="AU236" i="28"/>
  <c r="BB236" i="28" s="1"/>
  <c r="AT236" i="28"/>
  <c r="BA236" i="28" s="1"/>
  <c r="AY235" i="28"/>
  <c r="BF235" i="28" s="1"/>
  <c r="AX235" i="28"/>
  <c r="BE235" i="28" s="1"/>
  <c r="AW235" i="28"/>
  <c r="BD235" i="28" s="1"/>
  <c r="AV235" i="28"/>
  <c r="BC235" i="28" s="1"/>
  <c r="AU235" i="28"/>
  <c r="BB235" i="28" s="1"/>
  <c r="AT235" i="28"/>
  <c r="BA235" i="28" s="1"/>
  <c r="AY234" i="28"/>
  <c r="BF234" i="28" s="1"/>
  <c r="AX234" i="28"/>
  <c r="BE234" i="28" s="1"/>
  <c r="AW234" i="28"/>
  <c r="BD234" i="28" s="1"/>
  <c r="AV234" i="28"/>
  <c r="BC234" i="28" s="1"/>
  <c r="AU234" i="28"/>
  <c r="BB234" i="28" s="1"/>
  <c r="AT234" i="28"/>
  <c r="BA234" i="28" s="1"/>
  <c r="AY233" i="28"/>
  <c r="BF233" i="28" s="1"/>
  <c r="AX233" i="28"/>
  <c r="BE233" i="28" s="1"/>
  <c r="AW233" i="28"/>
  <c r="BD233" i="28" s="1"/>
  <c r="AV233" i="28"/>
  <c r="BC233" i="28" s="1"/>
  <c r="AU233" i="28"/>
  <c r="BB233" i="28" s="1"/>
  <c r="AT233" i="28"/>
  <c r="BA233" i="28" s="1"/>
  <c r="AX232" i="28"/>
  <c r="BE232" i="28" s="1"/>
  <c r="AW232" i="28"/>
  <c r="BD232" i="28" s="1"/>
  <c r="AV232" i="28"/>
  <c r="BC232" i="28" s="1"/>
  <c r="AU232" i="28"/>
  <c r="BB232" i="28" s="1"/>
  <c r="AT232" i="28"/>
  <c r="BA232" i="28" s="1"/>
  <c r="AX231" i="28"/>
  <c r="BE231" i="28" s="1"/>
  <c r="AW231" i="28"/>
  <c r="BD231" i="28" s="1"/>
  <c r="AV231" i="28"/>
  <c r="BC231" i="28" s="1"/>
  <c r="AU231" i="28"/>
  <c r="BB231" i="28" s="1"/>
  <c r="AT231" i="28"/>
  <c r="BA231" i="28" s="1"/>
  <c r="AY230" i="28"/>
  <c r="BF230" i="28" s="1"/>
  <c r="AX230" i="28"/>
  <c r="BE230" i="28" s="1"/>
  <c r="AW230" i="28"/>
  <c r="BD230" i="28" s="1"/>
  <c r="AV230" i="28"/>
  <c r="BC230" i="28" s="1"/>
  <c r="AU230" i="28"/>
  <c r="BB230" i="28" s="1"/>
  <c r="AT230" i="28"/>
  <c r="BA230" i="28" s="1"/>
  <c r="AY229" i="28"/>
  <c r="BF229" i="28" s="1"/>
  <c r="AX229" i="28"/>
  <c r="BE229" i="28" s="1"/>
  <c r="AW229" i="28"/>
  <c r="BD229" i="28" s="1"/>
  <c r="AV229" i="28"/>
  <c r="BC229" i="28" s="1"/>
  <c r="AU229" i="28"/>
  <c r="BB229" i="28" s="1"/>
  <c r="AT229" i="28"/>
  <c r="BA229" i="28" s="1"/>
  <c r="AY228" i="28"/>
  <c r="BF228" i="28" s="1"/>
  <c r="AX228" i="28"/>
  <c r="BE228" i="28" s="1"/>
  <c r="AW228" i="28"/>
  <c r="BD228" i="28" s="1"/>
  <c r="AV228" i="28"/>
  <c r="BC228" i="28" s="1"/>
  <c r="AU228" i="28"/>
  <c r="BB228" i="28" s="1"/>
  <c r="AT228" i="28"/>
  <c r="BA228" i="28" s="1"/>
  <c r="AY227" i="28"/>
  <c r="BF227" i="28" s="1"/>
  <c r="AX227" i="28"/>
  <c r="BE227" i="28" s="1"/>
  <c r="AW227" i="28"/>
  <c r="BD227" i="28" s="1"/>
  <c r="AV227" i="28"/>
  <c r="BC227" i="28" s="1"/>
  <c r="AU227" i="28"/>
  <c r="BB227" i="28" s="1"/>
  <c r="AT227" i="28"/>
  <c r="BA227" i="28" s="1"/>
  <c r="AY226" i="28"/>
  <c r="BF226" i="28" s="1"/>
  <c r="AX226" i="28"/>
  <c r="BE226" i="28" s="1"/>
  <c r="AW226" i="28"/>
  <c r="BD226" i="28" s="1"/>
  <c r="AV226" i="28"/>
  <c r="BC226" i="28" s="1"/>
  <c r="AU226" i="28"/>
  <c r="BB226" i="28" s="1"/>
  <c r="AT226" i="28"/>
  <c r="BA226" i="28" s="1"/>
  <c r="AY225" i="28"/>
  <c r="BF225" i="28" s="1"/>
  <c r="AX225" i="28"/>
  <c r="BE225" i="28" s="1"/>
  <c r="AW225" i="28"/>
  <c r="BD225" i="28" s="1"/>
  <c r="AV225" i="28"/>
  <c r="BC225" i="28" s="1"/>
  <c r="AU225" i="28"/>
  <c r="BB225" i="28" s="1"/>
  <c r="AT225" i="28"/>
  <c r="BA225" i="28" s="1"/>
  <c r="AX224" i="28"/>
  <c r="BE224" i="28" s="1"/>
  <c r="AW224" i="28"/>
  <c r="BD224" i="28" s="1"/>
  <c r="AV224" i="28"/>
  <c r="BC224" i="28" s="1"/>
  <c r="AU224" i="28"/>
  <c r="BB224" i="28" s="1"/>
  <c r="AT224" i="28"/>
  <c r="BA224" i="28" s="1"/>
  <c r="AX223" i="28"/>
  <c r="BE223" i="28" s="1"/>
  <c r="AW223" i="28"/>
  <c r="BD223" i="28" s="1"/>
  <c r="AV223" i="28"/>
  <c r="BC223" i="28" s="1"/>
  <c r="AU223" i="28"/>
  <c r="BB223" i="28" s="1"/>
  <c r="AT223" i="28"/>
  <c r="BA223" i="28" s="1"/>
  <c r="AY222" i="28"/>
  <c r="BF222" i="28" s="1"/>
  <c r="AX222" i="28"/>
  <c r="BE222" i="28" s="1"/>
  <c r="AW222" i="28"/>
  <c r="BD222" i="28" s="1"/>
  <c r="AV222" i="28"/>
  <c r="BC222" i="28" s="1"/>
  <c r="AU222" i="28"/>
  <c r="BB222" i="28" s="1"/>
  <c r="AT222" i="28"/>
  <c r="BA222" i="28" s="1"/>
  <c r="AY221" i="28"/>
  <c r="BF221" i="28" s="1"/>
  <c r="AX221" i="28"/>
  <c r="BE221" i="28" s="1"/>
  <c r="AW221" i="28"/>
  <c r="BD221" i="28" s="1"/>
  <c r="AV221" i="28"/>
  <c r="BC221" i="28" s="1"/>
  <c r="AU221" i="28"/>
  <c r="BB221" i="28" s="1"/>
  <c r="AT221" i="28"/>
  <c r="BA221" i="28" s="1"/>
  <c r="AY220" i="28"/>
  <c r="BF220" i="28" s="1"/>
  <c r="AX220" i="28"/>
  <c r="BE220" i="28" s="1"/>
  <c r="AW220" i="28"/>
  <c r="BD220" i="28" s="1"/>
  <c r="AV220" i="28"/>
  <c r="BC220" i="28" s="1"/>
  <c r="AU220" i="28"/>
  <c r="BB220" i="28" s="1"/>
  <c r="AT220" i="28"/>
  <c r="BA220" i="28" s="1"/>
  <c r="AY219" i="28"/>
  <c r="BF219" i="28" s="1"/>
  <c r="AX219" i="28"/>
  <c r="BE219" i="28" s="1"/>
  <c r="AW219" i="28"/>
  <c r="BD219" i="28" s="1"/>
  <c r="AV219" i="28"/>
  <c r="BC219" i="28" s="1"/>
  <c r="AU219" i="28"/>
  <c r="BB219" i="28" s="1"/>
  <c r="AT219" i="28"/>
  <c r="BA219" i="28" s="1"/>
  <c r="AY218" i="28"/>
  <c r="BF218" i="28" s="1"/>
  <c r="AX218" i="28"/>
  <c r="BE218" i="28" s="1"/>
  <c r="AW218" i="28"/>
  <c r="BD218" i="28" s="1"/>
  <c r="AV218" i="28"/>
  <c r="BC218" i="28" s="1"/>
  <c r="AU218" i="28"/>
  <c r="BB218" i="28" s="1"/>
  <c r="AT218" i="28"/>
  <c r="BA218" i="28" s="1"/>
  <c r="AY217" i="28"/>
  <c r="BF217" i="28" s="1"/>
  <c r="AX217" i="28"/>
  <c r="BE217" i="28" s="1"/>
  <c r="AW217" i="28"/>
  <c r="BD217" i="28" s="1"/>
  <c r="AV217" i="28"/>
  <c r="BC217" i="28" s="1"/>
  <c r="AU217" i="28"/>
  <c r="BB217" i="28" s="1"/>
  <c r="AT217" i="28"/>
  <c r="BA217" i="28" s="1"/>
  <c r="AX216" i="28"/>
  <c r="BE216" i="28" s="1"/>
  <c r="AW216" i="28"/>
  <c r="BD216" i="28" s="1"/>
  <c r="AV216" i="28"/>
  <c r="BC216" i="28" s="1"/>
  <c r="AU216" i="28"/>
  <c r="BB216" i="28" s="1"/>
  <c r="AT216" i="28"/>
  <c r="BA216" i="28" s="1"/>
  <c r="AX215" i="28"/>
  <c r="BE215" i="28" s="1"/>
  <c r="AW215" i="28"/>
  <c r="BD215" i="28" s="1"/>
  <c r="AV215" i="28"/>
  <c r="BC215" i="28" s="1"/>
  <c r="AU215" i="28"/>
  <c r="BB215" i="28" s="1"/>
  <c r="AT215" i="28"/>
  <c r="BA215" i="28" s="1"/>
  <c r="AY214" i="28"/>
  <c r="BF214" i="28" s="1"/>
  <c r="AX214" i="28"/>
  <c r="BE214" i="28" s="1"/>
  <c r="AW214" i="28"/>
  <c r="BD214" i="28" s="1"/>
  <c r="AV214" i="28"/>
  <c r="BC214" i="28" s="1"/>
  <c r="AU214" i="28"/>
  <c r="BB214" i="28" s="1"/>
  <c r="AT214" i="28"/>
  <c r="BA214" i="28" s="1"/>
  <c r="AY213" i="28"/>
  <c r="BF213" i="28" s="1"/>
  <c r="AX213" i="28"/>
  <c r="BE213" i="28" s="1"/>
  <c r="AW213" i="28"/>
  <c r="BD213" i="28" s="1"/>
  <c r="AV213" i="28"/>
  <c r="BC213" i="28" s="1"/>
  <c r="AU213" i="28"/>
  <c r="BB213" i="28" s="1"/>
  <c r="AT213" i="28"/>
  <c r="BA213" i="28" s="1"/>
  <c r="AY212" i="28"/>
  <c r="BF212" i="28" s="1"/>
  <c r="AX212" i="28"/>
  <c r="BE212" i="28" s="1"/>
  <c r="AW212" i="28"/>
  <c r="BD212" i="28" s="1"/>
  <c r="AV212" i="28"/>
  <c r="BC212" i="28" s="1"/>
  <c r="AU212" i="28"/>
  <c r="BB212" i="28" s="1"/>
  <c r="AT212" i="28"/>
  <c r="BA212" i="28" s="1"/>
  <c r="AY211" i="28"/>
  <c r="BF211" i="28" s="1"/>
  <c r="AX211" i="28"/>
  <c r="BE211" i="28" s="1"/>
  <c r="AW211" i="28"/>
  <c r="BD211" i="28" s="1"/>
  <c r="AV211" i="28"/>
  <c r="BC211" i="28" s="1"/>
  <c r="AU211" i="28"/>
  <c r="BB211" i="28" s="1"/>
  <c r="AT211" i="28"/>
  <c r="BA211" i="28" s="1"/>
  <c r="AY210" i="28"/>
  <c r="BF210" i="28" s="1"/>
  <c r="AX210" i="28"/>
  <c r="BE210" i="28" s="1"/>
  <c r="AW210" i="28"/>
  <c r="BD210" i="28" s="1"/>
  <c r="AV210" i="28"/>
  <c r="BC210" i="28" s="1"/>
  <c r="AU210" i="28"/>
  <c r="BB210" i="28" s="1"/>
  <c r="AT210" i="28"/>
  <c r="BA210" i="28" s="1"/>
  <c r="AY209" i="28"/>
  <c r="BF209" i="28" s="1"/>
  <c r="AX209" i="28"/>
  <c r="BE209" i="28" s="1"/>
  <c r="AW209" i="28"/>
  <c r="BD209" i="28" s="1"/>
  <c r="AV209" i="28"/>
  <c r="BC209" i="28" s="1"/>
  <c r="AU209" i="28"/>
  <c r="BB209" i="28" s="1"/>
  <c r="AT209" i="28"/>
  <c r="BA209" i="28" s="1"/>
  <c r="AX208" i="28"/>
  <c r="BE208" i="28" s="1"/>
  <c r="AW208" i="28"/>
  <c r="BD208" i="28" s="1"/>
  <c r="AV208" i="28"/>
  <c r="BC208" i="28" s="1"/>
  <c r="AU208" i="28"/>
  <c r="BB208" i="28" s="1"/>
  <c r="AT208" i="28"/>
  <c r="BA208" i="28" s="1"/>
  <c r="AX207" i="28"/>
  <c r="BE207" i="28" s="1"/>
  <c r="AW207" i="28"/>
  <c r="BD207" i="28" s="1"/>
  <c r="AV207" i="28"/>
  <c r="BC207" i="28" s="1"/>
  <c r="AU207" i="28"/>
  <c r="BB207" i="28" s="1"/>
  <c r="AT207" i="28"/>
  <c r="BA207" i="28" s="1"/>
  <c r="AY206" i="28"/>
  <c r="BF206" i="28" s="1"/>
  <c r="AX206" i="28"/>
  <c r="BE206" i="28" s="1"/>
  <c r="AW206" i="28"/>
  <c r="BD206" i="28" s="1"/>
  <c r="AV206" i="28"/>
  <c r="BC206" i="28" s="1"/>
  <c r="AU206" i="28"/>
  <c r="BB206" i="28" s="1"/>
  <c r="AT206" i="28"/>
  <c r="BA206" i="28" s="1"/>
  <c r="AY205" i="28"/>
  <c r="BF205" i="28" s="1"/>
  <c r="AX205" i="28"/>
  <c r="BE205" i="28" s="1"/>
  <c r="AW205" i="28"/>
  <c r="BD205" i="28" s="1"/>
  <c r="AV205" i="28"/>
  <c r="BC205" i="28" s="1"/>
  <c r="AU205" i="28"/>
  <c r="BB205" i="28" s="1"/>
  <c r="AT205" i="28"/>
  <c r="BA205" i="28" s="1"/>
  <c r="AY204" i="28"/>
  <c r="BF204" i="28" s="1"/>
  <c r="AX204" i="28"/>
  <c r="BE204" i="28" s="1"/>
  <c r="AW204" i="28"/>
  <c r="BD204" i="28" s="1"/>
  <c r="AV204" i="28"/>
  <c r="BC204" i="28" s="1"/>
  <c r="AU204" i="28"/>
  <c r="BB204" i="28" s="1"/>
  <c r="AT204" i="28"/>
  <c r="BA204" i="28" s="1"/>
  <c r="AY203" i="28"/>
  <c r="BF203" i="28" s="1"/>
  <c r="AX203" i="28"/>
  <c r="BE203" i="28" s="1"/>
  <c r="AW203" i="28"/>
  <c r="BD203" i="28" s="1"/>
  <c r="AV203" i="28"/>
  <c r="BC203" i="28" s="1"/>
  <c r="AU203" i="28"/>
  <c r="BB203" i="28" s="1"/>
  <c r="AT203" i="28"/>
  <c r="BA203" i="28" s="1"/>
  <c r="AY202" i="28"/>
  <c r="BF202" i="28" s="1"/>
  <c r="AX202" i="28"/>
  <c r="BE202" i="28" s="1"/>
  <c r="AW202" i="28"/>
  <c r="BD202" i="28" s="1"/>
  <c r="AV202" i="28"/>
  <c r="BC202" i="28" s="1"/>
  <c r="AU202" i="28"/>
  <c r="BB202" i="28" s="1"/>
  <c r="AT202" i="28"/>
  <c r="BA202" i="28" s="1"/>
  <c r="AY201" i="28"/>
  <c r="BF201" i="28" s="1"/>
  <c r="AX201" i="28"/>
  <c r="BE201" i="28" s="1"/>
  <c r="AW201" i="28"/>
  <c r="BD201" i="28" s="1"/>
  <c r="AV201" i="28"/>
  <c r="BC201" i="28" s="1"/>
  <c r="AU201" i="28"/>
  <c r="BB201" i="28" s="1"/>
  <c r="AT201" i="28"/>
  <c r="BA201" i="28" s="1"/>
  <c r="AX200" i="28"/>
  <c r="BE200" i="28" s="1"/>
  <c r="AW200" i="28"/>
  <c r="BD200" i="28" s="1"/>
  <c r="AV200" i="28"/>
  <c r="BC200" i="28" s="1"/>
  <c r="AU200" i="28"/>
  <c r="BB200" i="28" s="1"/>
  <c r="AT200" i="28"/>
  <c r="BA200" i="28" s="1"/>
  <c r="AX199" i="28"/>
  <c r="BE199" i="28" s="1"/>
  <c r="AW199" i="28"/>
  <c r="BD199" i="28" s="1"/>
  <c r="AV199" i="28"/>
  <c r="BC199" i="28" s="1"/>
  <c r="AU199" i="28"/>
  <c r="BB199" i="28" s="1"/>
  <c r="AT199" i="28"/>
  <c r="BA199" i="28" s="1"/>
  <c r="AY198" i="28"/>
  <c r="BF198" i="28" s="1"/>
  <c r="AX198" i="28"/>
  <c r="BE198" i="28" s="1"/>
  <c r="AW198" i="28"/>
  <c r="BD198" i="28" s="1"/>
  <c r="AV198" i="28"/>
  <c r="BC198" i="28" s="1"/>
  <c r="AU198" i="28"/>
  <c r="BB198" i="28" s="1"/>
  <c r="AT198" i="28"/>
  <c r="BA198" i="28" s="1"/>
  <c r="AY197" i="28"/>
  <c r="BF197" i="28" s="1"/>
  <c r="AX197" i="28"/>
  <c r="BE197" i="28" s="1"/>
  <c r="AW197" i="28"/>
  <c r="BD197" i="28" s="1"/>
  <c r="AV197" i="28"/>
  <c r="BC197" i="28" s="1"/>
  <c r="AU197" i="28"/>
  <c r="BB197" i="28" s="1"/>
  <c r="AT197" i="28"/>
  <c r="BA197" i="28" s="1"/>
  <c r="AY196" i="28"/>
  <c r="BF196" i="28" s="1"/>
  <c r="AX196" i="28"/>
  <c r="BE196" i="28" s="1"/>
  <c r="AW196" i="28"/>
  <c r="BD196" i="28" s="1"/>
  <c r="AV196" i="28"/>
  <c r="BC196" i="28" s="1"/>
  <c r="AU196" i="28"/>
  <c r="BB196" i="28" s="1"/>
  <c r="AT196" i="28"/>
  <c r="BA196" i="28" s="1"/>
  <c r="AY195" i="28"/>
  <c r="BF195" i="28" s="1"/>
  <c r="AX195" i="28"/>
  <c r="BE195" i="28" s="1"/>
  <c r="AW195" i="28"/>
  <c r="BD195" i="28" s="1"/>
  <c r="AV195" i="28"/>
  <c r="BC195" i="28" s="1"/>
  <c r="AU195" i="28"/>
  <c r="BB195" i="28" s="1"/>
  <c r="AT195" i="28"/>
  <c r="BA195" i="28" s="1"/>
  <c r="AY194" i="28"/>
  <c r="BF194" i="28" s="1"/>
  <c r="AX194" i="28"/>
  <c r="BE194" i="28" s="1"/>
  <c r="AW194" i="28"/>
  <c r="BD194" i="28" s="1"/>
  <c r="AV194" i="28"/>
  <c r="BC194" i="28" s="1"/>
  <c r="AU194" i="28"/>
  <c r="BB194" i="28" s="1"/>
  <c r="AT194" i="28"/>
  <c r="BA194" i="28" s="1"/>
  <c r="AY193" i="28"/>
  <c r="BF193" i="28" s="1"/>
  <c r="AX193" i="28"/>
  <c r="BE193" i="28" s="1"/>
  <c r="AW193" i="28"/>
  <c r="BD193" i="28" s="1"/>
  <c r="AV193" i="28"/>
  <c r="BC193" i="28" s="1"/>
  <c r="AU193" i="28"/>
  <c r="BB193" i="28" s="1"/>
  <c r="AT193" i="28"/>
  <c r="BA193" i="28" s="1"/>
  <c r="AX192" i="28"/>
  <c r="BE192" i="28" s="1"/>
  <c r="AW192" i="28"/>
  <c r="BD192" i="28" s="1"/>
  <c r="AV192" i="28"/>
  <c r="BC192" i="28" s="1"/>
  <c r="AU192" i="28"/>
  <c r="BB192" i="28" s="1"/>
  <c r="AT192" i="28"/>
  <c r="BA192" i="28" s="1"/>
  <c r="AY191" i="28"/>
  <c r="BF191" i="28" s="1"/>
  <c r="AX191" i="28"/>
  <c r="BE191" i="28" s="1"/>
  <c r="AW191" i="28"/>
  <c r="BD191" i="28" s="1"/>
  <c r="AV191" i="28"/>
  <c r="BC191" i="28" s="1"/>
  <c r="AU191" i="28"/>
  <c r="BB191" i="28" s="1"/>
  <c r="AT191" i="28"/>
  <c r="BA191" i="28" s="1"/>
  <c r="AY190" i="28"/>
  <c r="BF190" i="28" s="1"/>
  <c r="AX190" i="28"/>
  <c r="BE190" i="28" s="1"/>
  <c r="AW190" i="28"/>
  <c r="BD190" i="28" s="1"/>
  <c r="AV190" i="28"/>
  <c r="BC190" i="28" s="1"/>
  <c r="AU190" i="28"/>
  <c r="BB190" i="28" s="1"/>
  <c r="AT190" i="28"/>
  <c r="BA190" i="28" s="1"/>
  <c r="AY189" i="28"/>
  <c r="BF189" i="28" s="1"/>
  <c r="AX189" i="28"/>
  <c r="BE189" i="28" s="1"/>
  <c r="AW189" i="28"/>
  <c r="BD189" i="28" s="1"/>
  <c r="AV189" i="28"/>
  <c r="BC189" i="28" s="1"/>
  <c r="AU189" i="28"/>
  <c r="BB189" i="28" s="1"/>
  <c r="AT189" i="28"/>
  <c r="BA189" i="28" s="1"/>
  <c r="AY188" i="28"/>
  <c r="BF188" i="28" s="1"/>
  <c r="AX188" i="28"/>
  <c r="BE188" i="28" s="1"/>
  <c r="AW188" i="28"/>
  <c r="BD188" i="28" s="1"/>
  <c r="AV188" i="28"/>
  <c r="BC188" i="28" s="1"/>
  <c r="AU188" i="28"/>
  <c r="BB188" i="28" s="1"/>
  <c r="AT188" i="28"/>
  <c r="BA188" i="28" s="1"/>
  <c r="AY187" i="28"/>
  <c r="BF187" i="28" s="1"/>
  <c r="AX187" i="28"/>
  <c r="BE187" i="28" s="1"/>
  <c r="AW187" i="28"/>
  <c r="BD187" i="28" s="1"/>
  <c r="AV187" i="28"/>
  <c r="BC187" i="28" s="1"/>
  <c r="AU187" i="28"/>
  <c r="BB187" i="28" s="1"/>
  <c r="AT187" i="28"/>
  <c r="BA187" i="28" s="1"/>
  <c r="AY186" i="28"/>
  <c r="BF186" i="28" s="1"/>
  <c r="AX186" i="28"/>
  <c r="BE186" i="28" s="1"/>
  <c r="AW186" i="28"/>
  <c r="BD186" i="28" s="1"/>
  <c r="AV186" i="28"/>
  <c r="BC186" i="28" s="1"/>
  <c r="AU186" i="28"/>
  <c r="BB186" i="28" s="1"/>
  <c r="AT186" i="28"/>
  <c r="BA186" i="28" s="1"/>
  <c r="AY185" i="28"/>
  <c r="BF185" i="28" s="1"/>
  <c r="AX185" i="28"/>
  <c r="BE185" i="28" s="1"/>
  <c r="AW185" i="28"/>
  <c r="BD185" i="28" s="1"/>
  <c r="AV185" i="28"/>
  <c r="BC185" i="28" s="1"/>
  <c r="AU185" i="28"/>
  <c r="BB185" i="28" s="1"/>
  <c r="AT185" i="28"/>
  <c r="BA185" i="28" s="1"/>
  <c r="AX184" i="28"/>
  <c r="BE184" i="28" s="1"/>
  <c r="AW184" i="28"/>
  <c r="BD184" i="28" s="1"/>
  <c r="AV184" i="28"/>
  <c r="BC184" i="28" s="1"/>
  <c r="AU184" i="28"/>
  <c r="BB184" i="28" s="1"/>
  <c r="AT184" i="28"/>
  <c r="BA184" i="28" s="1"/>
  <c r="AX183" i="28"/>
  <c r="BE183" i="28" s="1"/>
  <c r="AW183" i="28"/>
  <c r="BD183" i="28" s="1"/>
  <c r="AV183" i="28"/>
  <c r="BC183" i="28" s="1"/>
  <c r="AU183" i="28"/>
  <c r="BB183" i="28" s="1"/>
  <c r="AT183" i="28"/>
  <c r="BA183" i="28" s="1"/>
  <c r="AY182" i="28"/>
  <c r="BF182" i="28" s="1"/>
  <c r="AX182" i="28"/>
  <c r="BE182" i="28" s="1"/>
  <c r="AW182" i="28"/>
  <c r="BD182" i="28" s="1"/>
  <c r="AV182" i="28"/>
  <c r="BC182" i="28" s="1"/>
  <c r="AU182" i="28"/>
  <c r="BB182" i="28" s="1"/>
  <c r="AT182" i="28"/>
  <c r="BA182" i="28" s="1"/>
  <c r="AY181" i="28"/>
  <c r="BF181" i="28" s="1"/>
  <c r="AX181" i="28"/>
  <c r="BE181" i="28" s="1"/>
  <c r="AW181" i="28"/>
  <c r="BD181" i="28" s="1"/>
  <c r="AV181" i="28"/>
  <c r="BC181" i="28" s="1"/>
  <c r="AU181" i="28"/>
  <c r="BB181" i="28" s="1"/>
  <c r="AT181" i="28"/>
  <c r="BA181" i="28" s="1"/>
  <c r="AY180" i="28"/>
  <c r="BF180" i="28" s="1"/>
  <c r="AX180" i="28"/>
  <c r="BE180" i="28" s="1"/>
  <c r="AW180" i="28"/>
  <c r="BD180" i="28" s="1"/>
  <c r="AV180" i="28"/>
  <c r="BC180" i="28" s="1"/>
  <c r="AU180" i="28"/>
  <c r="BB180" i="28" s="1"/>
  <c r="AT180" i="28"/>
  <c r="BA180" i="28" s="1"/>
  <c r="AY179" i="28"/>
  <c r="BF179" i="28" s="1"/>
  <c r="AX179" i="28"/>
  <c r="BE179" i="28" s="1"/>
  <c r="AW179" i="28"/>
  <c r="BD179" i="28" s="1"/>
  <c r="AV179" i="28"/>
  <c r="BC179" i="28" s="1"/>
  <c r="AU179" i="28"/>
  <c r="BB179" i="28" s="1"/>
  <c r="AT179" i="28"/>
  <c r="BA179" i="28" s="1"/>
  <c r="AY178" i="28"/>
  <c r="BF178" i="28" s="1"/>
  <c r="AX178" i="28"/>
  <c r="BE178" i="28" s="1"/>
  <c r="AW178" i="28"/>
  <c r="BD178" i="28" s="1"/>
  <c r="AV178" i="28"/>
  <c r="BC178" i="28" s="1"/>
  <c r="AU178" i="28"/>
  <c r="BB178" i="28" s="1"/>
  <c r="AT178" i="28"/>
  <c r="BA178" i="28" s="1"/>
  <c r="AY177" i="28"/>
  <c r="BF177" i="28" s="1"/>
  <c r="AX177" i="28"/>
  <c r="BE177" i="28" s="1"/>
  <c r="AW177" i="28"/>
  <c r="BD177" i="28" s="1"/>
  <c r="AV177" i="28"/>
  <c r="BC177" i="28" s="1"/>
  <c r="AU177" i="28"/>
  <c r="BB177" i="28" s="1"/>
  <c r="AT177" i="28"/>
  <c r="BA177" i="28" s="1"/>
  <c r="AX176" i="28"/>
  <c r="BE176" i="28" s="1"/>
  <c r="AW176" i="28"/>
  <c r="BD176" i="28" s="1"/>
  <c r="AV176" i="28"/>
  <c r="BC176" i="28" s="1"/>
  <c r="AU176" i="28"/>
  <c r="BB176" i="28" s="1"/>
  <c r="AT176" i="28"/>
  <c r="BA176" i="28" s="1"/>
  <c r="AX175" i="28"/>
  <c r="BE175" i="28" s="1"/>
  <c r="AW175" i="28"/>
  <c r="BD175" i="28" s="1"/>
  <c r="AV175" i="28"/>
  <c r="BC175" i="28" s="1"/>
  <c r="AU175" i="28"/>
  <c r="BB175" i="28" s="1"/>
  <c r="AT175" i="28"/>
  <c r="BA175" i="28" s="1"/>
  <c r="AY174" i="28"/>
  <c r="BF174" i="28" s="1"/>
  <c r="AX174" i="28"/>
  <c r="BE174" i="28" s="1"/>
  <c r="AW174" i="28"/>
  <c r="BD174" i="28" s="1"/>
  <c r="AV174" i="28"/>
  <c r="BC174" i="28" s="1"/>
  <c r="AU174" i="28"/>
  <c r="BB174" i="28" s="1"/>
  <c r="AT174" i="28"/>
  <c r="BA174" i="28" s="1"/>
  <c r="AY173" i="28"/>
  <c r="BF173" i="28" s="1"/>
  <c r="AX173" i="28"/>
  <c r="BE173" i="28" s="1"/>
  <c r="AW173" i="28"/>
  <c r="BD173" i="28" s="1"/>
  <c r="AV173" i="28"/>
  <c r="BC173" i="28" s="1"/>
  <c r="AU173" i="28"/>
  <c r="BB173" i="28" s="1"/>
  <c r="AT173" i="28"/>
  <c r="BA173" i="28" s="1"/>
  <c r="AY172" i="28"/>
  <c r="BF172" i="28" s="1"/>
  <c r="AX172" i="28"/>
  <c r="BE172" i="28" s="1"/>
  <c r="AW172" i="28"/>
  <c r="BD172" i="28" s="1"/>
  <c r="AV172" i="28"/>
  <c r="BC172" i="28" s="1"/>
  <c r="AU172" i="28"/>
  <c r="BB172" i="28" s="1"/>
  <c r="AT172" i="28"/>
  <c r="BA172" i="28" s="1"/>
  <c r="AY171" i="28"/>
  <c r="BF171" i="28" s="1"/>
  <c r="AX171" i="28"/>
  <c r="BE171" i="28" s="1"/>
  <c r="AW171" i="28"/>
  <c r="BD171" i="28" s="1"/>
  <c r="AV171" i="28"/>
  <c r="BC171" i="28" s="1"/>
  <c r="AU171" i="28"/>
  <c r="BB171" i="28" s="1"/>
  <c r="AT171" i="28"/>
  <c r="BA171" i="28" s="1"/>
  <c r="AY170" i="28"/>
  <c r="BF170" i="28" s="1"/>
  <c r="AX170" i="28"/>
  <c r="BE170" i="28" s="1"/>
  <c r="AW170" i="28"/>
  <c r="BD170" i="28" s="1"/>
  <c r="AV170" i="28"/>
  <c r="BC170" i="28" s="1"/>
  <c r="AU170" i="28"/>
  <c r="BB170" i="28" s="1"/>
  <c r="AT170" i="28"/>
  <c r="BA170" i="28" s="1"/>
  <c r="AY169" i="28"/>
  <c r="BF169" i="28" s="1"/>
  <c r="AX169" i="28"/>
  <c r="BE169" i="28" s="1"/>
  <c r="AW169" i="28"/>
  <c r="BD169" i="28" s="1"/>
  <c r="AV169" i="28"/>
  <c r="BC169" i="28" s="1"/>
  <c r="AU169" i="28"/>
  <c r="BB169" i="28" s="1"/>
  <c r="AT169" i="28"/>
  <c r="BA169" i="28" s="1"/>
  <c r="AX168" i="28"/>
  <c r="BE168" i="28" s="1"/>
  <c r="AW168" i="28"/>
  <c r="BD168" i="28" s="1"/>
  <c r="AV168" i="28"/>
  <c r="BC168" i="28" s="1"/>
  <c r="AU168" i="28"/>
  <c r="BB168" i="28" s="1"/>
  <c r="AT168" i="28"/>
  <c r="BA168" i="28" s="1"/>
  <c r="AX167" i="28"/>
  <c r="BE167" i="28" s="1"/>
  <c r="AW167" i="28"/>
  <c r="BD167" i="28" s="1"/>
  <c r="AV167" i="28"/>
  <c r="BC167" i="28" s="1"/>
  <c r="AU167" i="28"/>
  <c r="BB167" i="28" s="1"/>
  <c r="AT167" i="28"/>
  <c r="BA167" i="28" s="1"/>
  <c r="AY166" i="28"/>
  <c r="BF166" i="28" s="1"/>
  <c r="AX166" i="28"/>
  <c r="BE166" i="28" s="1"/>
  <c r="AW166" i="28"/>
  <c r="BD166" i="28" s="1"/>
  <c r="AV166" i="28"/>
  <c r="BC166" i="28" s="1"/>
  <c r="AU166" i="28"/>
  <c r="BB166" i="28" s="1"/>
  <c r="AT166" i="28"/>
  <c r="BA166" i="28" s="1"/>
  <c r="AY165" i="28"/>
  <c r="BF165" i="28" s="1"/>
  <c r="AX165" i="28"/>
  <c r="BE165" i="28" s="1"/>
  <c r="AW165" i="28"/>
  <c r="BD165" i="28" s="1"/>
  <c r="AV165" i="28"/>
  <c r="BC165" i="28" s="1"/>
  <c r="AU165" i="28"/>
  <c r="BB165" i="28" s="1"/>
  <c r="AT165" i="28"/>
  <c r="BA165" i="28" s="1"/>
  <c r="AY164" i="28"/>
  <c r="BF164" i="28" s="1"/>
  <c r="AX164" i="28"/>
  <c r="BE164" i="28" s="1"/>
  <c r="AW164" i="28"/>
  <c r="BD164" i="28" s="1"/>
  <c r="AV164" i="28"/>
  <c r="BC164" i="28" s="1"/>
  <c r="AU164" i="28"/>
  <c r="BB164" i="28" s="1"/>
  <c r="AT164" i="28"/>
  <c r="BA164" i="28" s="1"/>
  <c r="AY163" i="28"/>
  <c r="BF163" i="28" s="1"/>
  <c r="AX163" i="28"/>
  <c r="BE163" i="28" s="1"/>
  <c r="AW163" i="28"/>
  <c r="BD163" i="28" s="1"/>
  <c r="AV163" i="28"/>
  <c r="BC163" i="28" s="1"/>
  <c r="AU163" i="28"/>
  <c r="BB163" i="28" s="1"/>
  <c r="AT163" i="28"/>
  <c r="BA163" i="28" s="1"/>
  <c r="AY162" i="28"/>
  <c r="BF162" i="28" s="1"/>
  <c r="AX162" i="28"/>
  <c r="BE162" i="28" s="1"/>
  <c r="AW162" i="28"/>
  <c r="BD162" i="28" s="1"/>
  <c r="AV162" i="28"/>
  <c r="BC162" i="28" s="1"/>
  <c r="AU162" i="28"/>
  <c r="BB162" i="28" s="1"/>
  <c r="AT162" i="28"/>
  <c r="BA162" i="28" s="1"/>
  <c r="AY161" i="28"/>
  <c r="BF161" i="28" s="1"/>
  <c r="AX161" i="28"/>
  <c r="BE161" i="28" s="1"/>
  <c r="AW161" i="28"/>
  <c r="BD161" i="28" s="1"/>
  <c r="AV161" i="28"/>
  <c r="BC161" i="28" s="1"/>
  <c r="AU161" i="28"/>
  <c r="BB161" i="28" s="1"/>
  <c r="AT161" i="28"/>
  <c r="BA161" i="28" s="1"/>
  <c r="AX160" i="28"/>
  <c r="BE160" i="28" s="1"/>
  <c r="AW160" i="28"/>
  <c r="BD160" i="28" s="1"/>
  <c r="AV160" i="28"/>
  <c r="BC160" i="28" s="1"/>
  <c r="AU160" i="28"/>
  <c r="BB160" i="28" s="1"/>
  <c r="AT160" i="28"/>
  <c r="BA160" i="28" s="1"/>
  <c r="AY159" i="28"/>
  <c r="BF159" i="28" s="1"/>
  <c r="AX159" i="28"/>
  <c r="BE159" i="28" s="1"/>
  <c r="AW159" i="28"/>
  <c r="BD159" i="28" s="1"/>
  <c r="AV159" i="28"/>
  <c r="BC159" i="28" s="1"/>
  <c r="AU159" i="28"/>
  <c r="BB159" i="28" s="1"/>
  <c r="AT159" i="28"/>
  <c r="BA159" i="28" s="1"/>
  <c r="AY158" i="28"/>
  <c r="BF158" i="28" s="1"/>
  <c r="AX158" i="28"/>
  <c r="BE158" i="28" s="1"/>
  <c r="AW158" i="28"/>
  <c r="BD158" i="28" s="1"/>
  <c r="AV158" i="28"/>
  <c r="BC158" i="28" s="1"/>
  <c r="AU158" i="28"/>
  <c r="BB158" i="28" s="1"/>
  <c r="AT158" i="28"/>
  <c r="BA158" i="28" s="1"/>
  <c r="AY157" i="28"/>
  <c r="BF157" i="28" s="1"/>
  <c r="AX157" i="28"/>
  <c r="BE157" i="28" s="1"/>
  <c r="AW157" i="28"/>
  <c r="BD157" i="28" s="1"/>
  <c r="AV157" i="28"/>
  <c r="BC157" i="28" s="1"/>
  <c r="AU157" i="28"/>
  <c r="BB157" i="28" s="1"/>
  <c r="AT157" i="28"/>
  <c r="BA157" i="28" s="1"/>
  <c r="AY156" i="28"/>
  <c r="BF156" i="28" s="1"/>
  <c r="AX156" i="28"/>
  <c r="BE156" i="28" s="1"/>
  <c r="AW156" i="28"/>
  <c r="BD156" i="28" s="1"/>
  <c r="AV156" i="28"/>
  <c r="BC156" i="28" s="1"/>
  <c r="AU156" i="28"/>
  <c r="BB156" i="28" s="1"/>
  <c r="AT156" i="28"/>
  <c r="BA156" i="28" s="1"/>
  <c r="AY155" i="28"/>
  <c r="BF155" i="28" s="1"/>
  <c r="AX155" i="28"/>
  <c r="BE155" i="28" s="1"/>
  <c r="AW155" i="28"/>
  <c r="BD155" i="28" s="1"/>
  <c r="AV155" i="28"/>
  <c r="BC155" i="28" s="1"/>
  <c r="AU155" i="28"/>
  <c r="BB155" i="28" s="1"/>
  <c r="AT155" i="28"/>
  <c r="BA155" i="28" s="1"/>
  <c r="AY154" i="28"/>
  <c r="BF154" i="28" s="1"/>
  <c r="AX154" i="28"/>
  <c r="BE154" i="28" s="1"/>
  <c r="AW154" i="28"/>
  <c r="BD154" i="28" s="1"/>
  <c r="AV154" i="28"/>
  <c r="BC154" i="28" s="1"/>
  <c r="AU154" i="28"/>
  <c r="BB154" i="28" s="1"/>
  <c r="AT154" i="28"/>
  <c r="BA154" i="28" s="1"/>
  <c r="AY153" i="28"/>
  <c r="BF153" i="28" s="1"/>
  <c r="AX153" i="28"/>
  <c r="BE153" i="28" s="1"/>
  <c r="AW153" i="28"/>
  <c r="BD153" i="28" s="1"/>
  <c r="AV153" i="28"/>
  <c r="BC153" i="28" s="1"/>
  <c r="AU153" i="28"/>
  <c r="BB153" i="28" s="1"/>
  <c r="AT153" i="28"/>
  <c r="BA153" i="28" s="1"/>
  <c r="AX152" i="28"/>
  <c r="BE152" i="28" s="1"/>
  <c r="AW152" i="28"/>
  <c r="BD152" i="28" s="1"/>
  <c r="AV152" i="28"/>
  <c r="BC152" i="28" s="1"/>
  <c r="AU152" i="28"/>
  <c r="BB152" i="28" s="1"/>
  <c r="AT152" i="28"/>
  <c r="BA152" i="28" s="1"/>
  <c r="AX151" i="28"/>
  <c r="BE151" i="28" s="1"/>
  <c r="AW151" i="28"/>
  <c r="BD151" i="28" s="1"/>
  <c r="AV151" i="28"/>
  <c r="BC151" i="28" s="1"/>
  <c r="AU151" i="28"/>
  <c r="BB151" i="28" s="1"/>
  <c r="AT151" i="28"/>
  <c r="BA151" i="28" s="1"/>
  <c r="AY150" i="28"/>
  <c r="BF150" i="28" s="1"/>
  <c r="AX150" i="28"/>
  <c r="BE150" i="28" s="1"/>
  <c r="AW150" i="28"/>
  <c r="BD150" i="28" s="1"/>
  <c r="AV150" i="28"/>
  <c r="BC150" i="28" s="1"/>
  <c r="AU150" i="28"/>
  <c r="BB150" i="28" s="1"/>
  <c r="AT150" i="28"/>
  <c r="BA150" i="28" s="1"/>
  <c r="AY149" i="28"/>
  <c r="BF149" i="28" s="1"/>
  <c r="AX149" i="28"/>
  <c r="BE149" i="28" s="1"/>
  <c r="AW149" i="28"/>
  <c r="BD149" i="28" s="1"/>
  <c r="AV149" i="28"/>
  <c r="BC149" i="28" s="1"/>
  <c r="AU149" i="28"/>
  <c r="BB149" i="28" s="1"/>
  <c r="AT149" i="28"/>
  <c r="BA149" i="28" s="1"/>
  <c r="AY148" i="28"/>
  <c r="BF148" i="28" s="1"/>
  <c r="AX148" i="28"/>
  <c r="BE148" i="28" s="1"/>
  <c r="AW148" i="28"/>
  <c r="BD148" i="28" s="1"/>
  <c r="AV148" i="28"/>
  <c r="BC148" i="28" s="1"/>
  <c r="AU148" i="28"/>
  <c r="BB148" i="28" s="1"/>
  <c r="AT148" i="28"/>
  <c r="BA148" i="28" s="1"/>
  <c r="AY147" i="28"/>
  <c r="BF147" i="28" s="1"/>
  <c r="AX147" i="28"/>
  <c r="BE147" i="28" s="1"/>
  <c r="AW147" i="28"/>
  <c r="BD147" i="28" s="1"/>
  <c r="AV147" i="28"/>
  <c r="BC147" i="28" s="1"/>
  <c r="AU147" i="28"/>
  <c r="BB147" i="28" s="1"/>
  <c r="AT147" i="28"/>
  <c r="BA147" i="28" s="1"/>
  <c r="AY146" i="28"/>
  <c r="BF146" i="28" s="1"/>
  <c r="AX146" i="28"/>
  <c r="BE146" i="28" s="1"/>
  <c r="AW146" i="28"/>
  <c r="BD146" i="28" s="1"/>
  <c r="AV146" i="28"/>
  <c r="BC146" i="28" s="1"/>
  <c r="AU146" i="28"/>
  <c r="BB146" i="28" s="1"/>
  <c r="AT146" i="28"/>
  <c r="BA146" i="28" s="1"/>
  <c r="AY145" i="28"/>
  <c r="BF145" i="28" s="1"/>
  <c r="AX145" i="28"/>
  <c r="BE145" i="28" s="1"/>
  <c r="AW145" i="28"/>
  <c r="BD145" i="28" s="1"/>
  <c r="AV145" i="28"/>
  <c r="BC145" i="28" s="1"/>
  <c r="AU145" i="28"/>
  <c r="BB145" i="28" s="1"/>
  <c r="AT145" i="28"/>
  <c r="BA145" i="28" s="1"/>
  <c r="AX144" i="28"/>
  <c r="BE144" i="28" s="1"/>
  <c r="AW144" i="28"/>
  <c r="BD144" i="28" s="1"/>
  <c r="AV144" i="28"/>
  <c r="BC144" i="28" s="1"/>
  <c r="AU144" i="28"/>
  <c r="BB144" i="28" s="1"/>
  <c r="AT144" i="28"/>
  <c r="BA144" i="28" s="1"/>
  <c r="AX143" i="28"/>
  <c r="BE143" i="28" s="1"/>
  <c r="AW143" i="28"/>
  <c r="BD143" i="28" s="1"/>
  <c r="AV143" i="28"/>
  <c r="BC143" i="28" s="1"/>
  <c r="AU143" i="28"/>
  <c r="BB143" i="28" s="1"/>
  <c r="AT143" i="28"/>
  <c r="BA143" i="28" s="1"/>
  <c r="AY142" i="28"/>
  <c r="BF142" i="28" s="1"/>
  <c r="AX142" i="28"/>
  <c r="BE142" i="28" s="1"/>
  <c r="AW142" i="28"/>
  <c r="BD142" i="28" s="1"/>
  <c r="AV142" i="28"/>
  <c r="BC142" i="28" s="1"/>
  <c r="AU142" i="28"/>
  <c r="BB142" i="28" s="1"/>
  <c r="AT142" i="28"/>
  <c r="BA142" i="28" s="1"/>
  <c r="AY141" i="28"/>
  <c r="BF141" i="28" s="1"/>
  <c r="AX141" i="28"/>
  <c r="BE141" i="28" s="1"/>
  <c r="AW141" i="28"/>
  <c r="BD141" i="28" s="1"/>
  <c r="AV141" i="28"/>
  <c r="BC141" i="28" s="1"/>
  <c r="AU141" i="28"/>
  <c r="BB141" i="28" s="1"/>
  <c r="AT141" i="28"/>
  <c r="BA141" i="28" s="1"/>
  <c r="AY140" i="28"/>
  <c r="BF140" i="28" s="1"/>
  <c r="AX140" i="28"/>
  <c r="BE140" i="28" s="1"/>
  <c r="AW140" i="28"/>
  <c r="BD140" i="28" s="1"/>
  <c r="AV140" i="28"/>
  <c r="BC140" i="28" s="1"/>
  <c r="AU140" i="28"/>
  <c r="BB140" i="28" s="1"/>
  <c r="AT140" i="28"/>
  <c r="BA140" i="28" s="1"/>
  <c r="AY139" i="28"/>
  <c r="BF139" i="28" s="1"/>
  <c r="AX139" i="28"/>
  <c r="BE139" i="28" s="1"/>
  <c r="AW139" i="28"/>
  <c r="BD139" i="28" s="1"/>
  <c r="AV139" i="28"/>
  <c r="BC139" i="28" s="1"/>
  <c r="AU139" i="28"/>
  <c r="BB139" i="28" s="1"/>
  <c r="AT139" i="28"/>
  <c r="BA139" i="28" s="1"/>
  <c r="AY138" i="28"/>
  <c r="BF138" i="28" s="1"/>
  <c r="AX138" i="28"/>
  <c r="BE138" i="28" s="1"/>
  <c r="AW138" i="28"/>
  <c r="BD138" i="28" s="1"/>
  <c r="AV138" i="28"/>
  <c r="BC138" i="28" s="1"/>
  <c r="AU138" i="28"/>
  <c r="BB138" i="28" s="1"/>
  <c r="AT138" i="28"/>
  <c r="BA138" i="28" s="1"/>
  <c r="AY137" i="28"/>
  <c r="BF137" i="28" s="1"/>
  <c r="AX137" i="28"/>
  <c r="BE137" i="28" s="1"/>
  <c r="AW137" i="28"/>
  <c r="BD137" i="28" s="1"/>
  <c r="AV137" i="28"/>
  <c r="BC137" i="28" s="1"/>
  <c r="AU137" i="28"/>
  <c r="BB137" i="28" s="1"/>
  <c r="AT137" i="28"/>
  <c r="BA137" i="28" s="1"/>
  <c r="AX136" i="28"/>
  <c r="BE136" i="28" s="1"/>
  <c r="AW136" i="28"/>
  <c r="BD136" i="28" s="1"/>
  <c r="AV136" i="28"/>
  <c r="BC136" i="28" s="1"/>
  <c r="AU136" i="28"/>
  <c r="BB136" i="28" s="1"/>
  <c r="AT136" i="28"/>
  <c r="BA136" i="28" s="1"/>
  <c r="AX135" i="28"/>
  <c r="BE135" i="28" s="1"/>
  <c r="AW135" i="28"/>
  <c r="BD135" i="28" s="1"/>
  <c r="AV135" i="28"/>
  <c r="BC135" i="28" s="1"/>
  <c r="AU135" i="28"/>
  <c r="BB135" i="28" s="1"/>
  <c r="AT135" i="28"/>
  <c r="BA135" i="28" s="1"/>
  <c r="AY134" i="28"/>
  <c r="BF134" i="28" s="1"/>
  <c r="AX134" i="28"/>
  <c r="BE134" i="28" s="1"/>
  <c r="AW134" i="28"/>
  <c r="BD134" i="28" s="1"/>
  <c r="AV134" i="28"/>
  <c r="BC134" i="28" s="1"/>
  <c r="AU134" i="28"/>
  <c r="BB134" i="28" s="1"/>
  <c r="AT134" i="28"/>
  <c r="BA134" i="28" s="1"/>
  <c r="AY133" i="28"/>
  <c r="BF133" i="28" s="1"/>
  <c r="AX133" i="28"/>
  <c r="BE133" i="28" s="1"/>
  <c r="AW133" i="28"/>
  <c r="BD133" i="28" s="1"/>
  <c r="AV133" i="28"/>
  <c r="BC133" i="28" s="1"/>
  <c r="AU133" i="28"/>
  <c r="BB133" i="28" s="1"/>
  <c r="AT133" i="28"/>
  <c r="BA133" i="28" s="1"/>
  <c r="AY132" i="28"/>
  <c r="BF132" i="28" s="1"/>
  <c r="AX132" i="28"/>
  <c r="BE132" i="28" s="1"/>
  <c r="AW132" i="28"/>
  <c r="BD132" i="28" s="1"/>
  <c r="AV132" i="28"/>
  <c r="BC132" i="28" s="1"/>
  <c r="AU132" i="28"/>
  <c r="BB132" i="28" s="1"/>
  <c r="AT132" i="28"/>
  <c r="BA132" i="28" s="1"/>
  <c r="AY131" i="28"/>
  <c r="BF131" i="28" s="1"/>
  <c r="AX131" i="28"/>
  <c r="BE131" i="28" s="1"/>
  <c r="AW131" i="28"/>
  <c r="BD131" i="28" s="1"/>
  <c r="AV131" i="28"/>
  <c r="BC131" i="28" s="1"/>
  <c r="AU131" i="28"/>
  <c r="BB131" i="28" s="1"/>
  <c r="AT131" i="28"/>
  <c r="BA131" i="28" s="1"/>
  <c r="AY130" i="28"/>
  <c r="BF130" i="28" s="1"/>
  <c r="AX130" i="28"/>
  <c r="BE130" i="28" s="1"/>
  <c r="AW130" i="28"/>
  <c r="BD130" i="28" s="1"/>
  <c r="AV130" i="28"/>
  <c r="BC130" i="28" s="1"/>
  <c r="AU130" i="28"/>
  <c r="BB130" i="28" s="1"/>
  <c r="AT130" i="28"/>
  <c r="BA130" i="28" s="1"/>
  <c r="AY129" i="28"/>
  <c r="BF129" i="28" s="1"/>
  <c r="AX129" i="28"/>
  <c r="BE129" i="28" s="1"/>
  <c r="AW129" i="28"/>
  <c r="BD129" i="28" s="1"/>
  <c r="AV129" i="28"/>
  <c r="BC129" i="28" s="1"/>
  <c r="AU129" i="28"/>
  <c r="BB129" i="28" s="1"/>
  <c r="AT129" i="28"/>
  <c r="BA129" i="28" s="1"/>
  <c r="AX128" i="28"/>
  <c r="BE128" i="28" s="1"/>
  <c r="AW128" i="28"/>
  <c r="BD128" i="28" s="1"/>
  <c r="AV128" i="28"/>
  <c r="BC128" i="28" s="1"/>
  <c r="AU128" i="28"/>
  <c r="BB128" i="28" s="1"/>
  <c r="AT128" i="28"/>
  <c r="BA128" i="28" s="1"/>
  <c r="AX127" i="28"/>
  <c r="BE127" i="28" s="1"/>
  <c r="AW127" i="28"/>
  <c r="BD127" i="28" s="1"/>
  <c r="AV127" i="28"/>
  <c r="BC127" i="28" s="1"/>
  <c r="AU127" i="28"/>
  <c r="BB127" i="28" s="1"/>
  <c r="AT127" i="28"/>
  <c r="BA127" i="28" s="1"/>
  <c r="AY126" i="28"/>
  <c r="BF126" i="28" s="1"/>
  <c r="AX126" i="28"/>
  <c r="BE126" i="28" s="1"/>
  <c r="AW126" i="28"/>
  <c r="BD126" i="28" s="1"/>
  <c r="AV126" i="28"/>
  <c r="BC126" i="28" s="1"/>
  <c r="AU126" i="28"/>
  <c r="BB126" i="28" s="1"/>
  <c r="AT126" i="28"/>
  <c r="BA126" i="28" s="1"/>
  <c r="AY125" i="28"/>
  <c r="BF125" i="28" s="1"/>
  <c r="AX125" i="28"/>
  <c r="BE125" i="28" s="1"/>
  <c r="AW125" i="28"/>
  <c r="BD125" i="28" s="1"/>
  <c r="AV125" i="28"/>
  <c r="BC125" i="28" s="1"/>
  <c r="AU125" i="28"/>
  <c r="BB125" i="28" s="1"/>
  <c r="AT125" i="28"/>
  <c r="BA125" i="28" s="1"/>
  <c r="AY124" i="28"/>
  <c r="BF124" i="28" s="1"/>
  <c r="AX124" i="28"/>
  <c r="BE124" i="28" s="1"/>
  <c r="AW124" i="28"/>
  <c r="BD124" i="28" s="1"/>
  <c r="AV124" i="28"/>
  <c r="BC124" i="28" s="1"/>
  <c r="AU124" i="28"/>
  <c r="BB124" i="28" s="1"/>
  <c r="AT124" i="28"/>
  <c r="BA124" i="28" s="1"/>
  <c r="AY123" i="28"/>
  <c r="BF123" i="28" s="1"/>
  <c r="AX123" i="28"/>
  <c r="BE123" i="28" s="1"/>
  <c r="AW123" i="28"/>
  <c r="BD123" i="28" s="1"/>
  <c r="AV123" i="28"/>
  <c r="BC123" i="28" s="1"/>
  <c r="AU123" i="28"/>
  <c r="BB123" i="28" s="1"/>
  <c r="AT123" i="28"/>
  <c r="BA123" i="28" s="1"/>
  <c r="AY122" i="28"/>
  <c r="BF122" i="28" s="1"/>
  <c r="AX122" i="28"/>
  <c r="BE122" i="28" s="1"/>
  <c r="AW122" i="28"/>
  <c r="BD122" i="28" s="1"/>
  <c r="AV122" i="28"/>
  <c r="BC122" i="28" s="1"/>
  <c r="AU122" i="28"/>
  <c r="BB122" i="28" s="1"/>
  <c r="AT122" i="28"/>
  <c r="BA122" i="28" s="1"/>
  <c r="AY121" i="28"/>
  <c r="BF121" i="28" s="1"/>
  <c r="AX121" i="28"/>
  <c r="BE121" i="28" s="1"/>
  <c r="AW121" i="28"/>
  <c r="BD121" i="28" s="1"/>
  <c r="AV121" i="28"/>
  <c r="BC121" i="28" s="1"/>
  <c r="AU121" i="28"/>
  <c r="BB121" i="28" s="1"/>
  <c r="AT121" i="28"/>
  <c r="BA121" i="28" s="1"/>
  <c r="AX120" i="28"/>
  <c r="BE120" i="28" s="1"/>
  <c r="AW120" i="28"/>
  <c r="BD120" i="28" s="1"/>
  <c r="AV120" i="28"/>
  <c r="BC120" i="28" s="1"/>
  <c r="AU120" i="28"/>
  <c r="BB120" i="28" s="1"/>
  <c r="AT120" i="28"/>
  <c r="BA120" i="28" s="1"/>
  <c r="AX119" i="28"/>
  <c r="BE119" i="28" s="1"/>
  <c r="AW119" i="28"/>
  <c r="BD119" i="28" s="1"/>
  <c r="AV119" i="28"/>
  <c r="BC119" i="28" s="1"/>
  <c r="AU119" i="28"/>
  <c r="BB119" i="28" s="1"/>
  <c r="AT119" i="28"/>
  <c r="BA119" i="28" s="1"/>
  <c r="AY118" i="28"/>
  <c r="BF118" i="28" s="1"/>
  <c r="AX118" i="28"/>
  <c r="BE118" i="28" s="1"/>
  <c r="AW118" i="28"/>
  <c r="BD118" i="28" s="1"/>
  <c r="AV118" i="28"/>
  <c r="BC118" i="28" s="1"/>
  <c r="AU118" i="28"/>
  <c r="BB118" i="28" s="1"/>
  <c r="AT118" i="28"/>
  <c r="BA118" i="28" s="1"/>
  <c r="AY117" i="28"/>
  <c r="BF117" i="28" s="1"/>
  <c r="AX117" i="28"/>
  <c r="BE117" i="28" s="1"/>
  <c r="AW117" i="28"/>
  <c r="BD117" i="28" s="1"/>
  <c r="AV117" i="28"/>
  <c r="BC117" i="28" s="1"/>
  <c r="AU117" i="28"/>
  <c r="BB117" i="28" s="1"/>
  <c r="AT117" i="28"/>
  <c r="BA117" i="28" s="1"/>
  <c r="AY116" i="28"/>
  <c r="BF116" i="28" s="1"/>
  <c r="AX116" i="28"/>
  <c r="BE116" i="28" s="1"/>
  <c r="AW116" i="28"/>
  <c r="BD116" i="28" s="1"/>
  <c r="AV116" i="28"/>
  <c r="BC116" i="28" s="1"/>
  <c r="AU116" i="28"/>
  <c r="BB116" i="28" s="1"/>
  <c r="AT116" i="28"/>
  <c r="BA116" i="28" s="1"/>
  <c r="AY115" i="28"/>
  <c r="BF115" i="28" s="1"/>
  <c r="AX115" i="28"/>
  <c r="BE115" i="28" s="1"/>
  <c r="AW115" i="28"/>
  <c r="BD115" i="28" s="1"/>
  <c r="AV115" i="28"/>
  <c r="BC115" i="28" s="1"/>
  <c r="AU115" i="28"/>
  <c r="BB115" i="28" s="1"/>
  <c r="AT115" i="28"/>
  <c r="BA115" i="28" s="1"/>
  <c r="AY114" i="28"/>
  <c r="BF114" i="28" s="1"/>
  <c r="AX114" i="28"/>
  <c r="BE114" i="28" s="1"/>
  <c r="AW114" i="28"/>
  <c r="BD114" i="28" s="1"/>
  <c r="AV114" i="28"/>
  <c r="BC114" i="28" s="1"/>
  <c r="AU114" i="28"/>
  <c r="BB114" i="28" s="1"/>
  <c r="AT114" i="28"/>
  <c r="BA114" i="28" s="1"/>
  <c r="AY113" i="28"/>
  <c r="BF113" i="28" s="1"/>
  <c r="AX113" i="28"/>
  <c r="BE113" i="28" s="1"/>
  <c r="AW113" i="28"/>
  <c r="BD113" i="28" s="1"/>
  <c r="AV113" i="28"/>
  <c r="BC113" i="28" s="1"/>
  <c r="AU113" i="28"/>
  <c r="BB113" i="28" s="1"/>
  <c r="AT113" i="28"/>
  <c r="BA113" i="28" s="1"/>
  <c r="AX112" i="28"/>
  <c r="BE112" i="28" s="1"/>
  <c r="AW112" i="28"/>
  <c r="BD112" i="28" s="1"/>
  <c r="AV112" i="28"/>
  <c r="BC112" i="28" s="1"/>
  <c r="AU112" i="28"/>
  <c r="BB112" i="28" s="1"/>
  <c r="AT112" i="28"/>
  <c r="BA112" i="28" s="1"/>
  <c r="AX111" i="28"/>
  <c r="BE111" i="28" s="1"/>
  <c r="AW111" i="28"/>
  <c r="BD111" i="28" s="1"/>
  <c r="AV111" i="28"/>
  <c r="BC111" i="28" s="1"/>
  <c r="AU111" i="28"/>
  <c r="BB111" i="28" s="1"/>
  <c r="AT111" i="28"/>
  <c r="BA111" i="28" s="1"/>
  <c r="AY110" i="28"/>
  <c r="BF110" i="28" s="1"/>
  <c r="AX110" i="28"/>
  <c r="BE110" i="28" s="1"/>
  <c r="AW110" i="28"/>
  <c r="BD110" i="28" s="1"/>
  <c r="AV110" i="28"/>
  <c r="BC110" i="28" s="1"/>
  <c r="AU110" i="28"/>
  <c r="BB110" i="28" s="1"/>
  <c r="AT110" i="28"/>
  <c r="BA110" i="28" s="1"/>
  <c r="AY109" i="28"/>
  <c r="BF109" i="28" s="1"/>
  <c r="AX109" i="28"/>
  <c r="BE109" i="28" s="1"/>
  <c r="AW109" i="28"/>
  <c r="BD109" i="28" s="1"/>
  <c r="AV109" i="28"/>
  <c r="BC109" i="28" s="1"/>
  <c r="AU109" i="28"/>
  <c r="BB109" i="28" s="1"/>
  <c r="AT109" i="28"/>
  <c r="BA109" i="28" s="1"/>
  <c r="AY108" i="28"/>
  <c r="BF108" i="28" s="1"/>
  <c r="AX108" i="28"/>
  <c r="BE108" i="28" s="1"/>
  <c r="AW108" i="28"/>
  <c r="BD108" i="28" s="1"/>
  <c r="AV108" i="28"/>
  <c r="BC108" i="28" s="1"/>
  <c r="AU108" i="28"/>
  <c r="BB108" i="28" s="1"/>
  <c r="AT108" i="28"/>
  <c r="BA108" i="28" s="1"/>
  <c r="AY107" i="28"/>
  <c r="BF107" i="28" s="1"/>
  <c r="AX107" i="28"/>
  <c r="BE107" i="28" s="1"/>
  <c r="AW107" i="28"/>
  <c r="BD107" i="28" s="1"/>
  <c r="AV107" i="28"/>
  <c r="BC107" i="28" s="1"/>
  <c r="AU107" i="28"/>
  <c r="BB107" i="28" s="1"/>
  <c r="AT107" i="28"/>
  <c r="BA107" i="28" s="1"/>
  <c r="AY106" i="28"/>
  <c r="BF106" i="28" s="1"/>
  <c r="AX106" i="28"/>
  <c r="BE106" i="28" s="1"/>
  <c r="AW106" i="28"/>
  <c r="BD106" i="28" s="1"/>
  <c r="AV106" i="28"/>
  <c r="BC106" i="28" s="1"/>
  <c r="AU106" i="28"/>
  <c r="BB106" i="28" s="1"/>
  <c r="AT106" i="28"/>
  <c r="BA106" i="28" s="1"/>
  <c r="AY105" i="28"/>
  <c r="BF105" i="28" s="1"/>
  <c r="AX105" i="28"/>
  <c r="BE105" i="28" s="1"/>
  <c r="AW105" i="28"/>
  <c r="BD105" i="28" s="1"/>
  <c r="AV105" i="28"/>
  <c r="BC105" i="28" s="1"/>
  <c r="AU105" i="28"/>
  <c r="BB105" i="28" s="1"/>
  <c r="AT105" i="28"/>
  <c r="BA105" i="28" s="1"/>
  <c r="AX104" i="28"/>
  <c r="BE104" i="28" s="1"/>
  <c r="AW104" i="28"/>
  <c r="BD104" i="28" s="1"/>
  <c r="AV104" i="28"/>
  <c r="BC104" i="28" s="1"/>
  <c r="AU104" i="28"/>
  <c r="BB104" i="28" s="1"/>
  <c r="AT104" i="28"/>
  <c r="BA104" i="28" s="1"/>
  <c r="AX103" i="28"/>
  <c r="BE103" i="28" s="1"/>
  <c r="AW103" i="28"/>
  <c r="BD103" i="28" s="1"/>
  <c r="AV103" i="28"/>
  <c r="BC103" i="28" s="1"/>
  <c r="AU103" i="28"/>
  <c r="BB103" i="28" s="1"/>
  <c r="AT103" i="28"/>
  <c r="BA103" i="28" s="1"/>
  <c r="AY102" i="28"/>
  <c r="BF102" i="28" s="1"/>
  <c r="AX102" i="28"/>
  <c r="BE102" i="28" s="1"/>
  <c r="AW102" i="28"/>
  <c r="BD102" i="28" s="1"/>
  <c r="AV102" i="28"/>
  <c r="BC102" i="28" s="1"/>
  <c r="AU102" i="28"/>
  <c r="BB102" i="28" s="1"/>
  <c r="AT102" i="28"/>
  <c r="BA102" i="28" s="1"/>
  <c r="AY101" i="28"/>
  <c r="BF101" i="28" s="1"/>
  <c r="AX101" i="28"/>
  <c r="BE101" i="28" s="1"/>
  <c r="AW101" i="28"/>
  <c r="BD101" i="28" s="1"/>
  <c r="AV101" i="28"/>
  <c r="BC101" i="28" s="1"/>
  <c r="AU101" i="28"/>
  <c r="BB101" i="28" s="1"/>
  <c r="AT101" i="28"/>
  <c r="BA101" i="28" s="1"/>
  <c r="AY100" i="28"/>
  <c r="BF100" i="28" s="1"/>
  <c r="AX100" i="28"/>
  <c r="BE100" i="28" s="1"/>
  <c r="AW100" i="28"/>
  <c r="BD100" i="28" s="1"/>
  <c r="AV100" i="28"/>
  <c r="BC100" i="28" s="1"/>
  <c r="AU100" i="28"/>
  <c r="BB100" i="28" s="1"/>
  <c r="AT100" i="28"/>
  <c r="BA100" i="28" s="1"/>
  <c r="AY99" i="28"/>
  <c r="BF99" i="28" s="1"/>
  <c r="AX99" i="28"/>
  <c r="BE99" i="28" s="1"/>
  <c r="AW99" i="28"/>
  <c r="BD99" i="28" s="1"/>
  <c r="AV99" i="28"/>
  <c r="BC99" i="28" s="1"/>
  <c r="AU99" i="28"/>
  <c r="BB99" i="28" s="1"/>
  <c r="AT99" i="28"/>
  <c r="BA99" i="28" s="1"/>
  <c r="AY98" i="28"/>
  <c r="BF98" i="28" s="1"/>
  <c r="AX98" i="28"/>
  <c r="BE98" i="28" s="1"/>
  <c r="AW98" i="28"/>
  <c r="BD98" i="28" s="1"/>
  <c r="AV98" i="28"/>
  <c r="BC98" i="28" s="1"/>
  <c r="AU98" i="28"/>
  <c r="BB98" i="28" s="1"/>
  <c r="AT98" i="28"/>
  <c r="BA98" i="28" s="1"/>
  <c r="AY97" i="28"/>
  <c r="BF97" i="28" s="1"/>
  <c r="AX97" i="28"/>
  <c r="BE97" i="28" s="1"/>
  <c r="AW97" i="28"/>
  <c r="BD97" i="28" s="1"/>
  <c r="AV97" i="28"/>
  <c r="BC97" i="28" s="1"/>
  <c r="AU97" i="28"/>
  <c r="BB97" i="28" s="1"/>
  <c r="AT97" i="28"/>
  <c r="BA97" i="28" s="1"/>
  <c r="AX96" i="28"/>
  <c r="BE96" i="28" s="1"/>
  <c r="AW96" i="28"/>
  <c r="BD96" i="28" s="1"/>
  <c r="AV96" i="28"/>
  <c r="BC96" i="28" s="1"/>
  <c r="AU96" i="28"/>
  <c r="BB96" i="28" s="1"/>
  <c r="AT96" i="28"/>
  <c r="BA96" i="28" s="1"/>
  <c r="AX95" i="28"/>
  <c r="BE95" i="28" s="1"/>
  <c r="AW95" i="28"/>
  <c r="BD95" i="28" s="1"/>
  <c r="AV95" i="28"/>
  <c r="BC95" i="28" s="1"/>
  <c r="AU95" i="28"/>
  <c r="BB95" i="28" s="1"/>
  <c r="AT95" i="28"/>
  <c r="BA95" i="28" s="1"/>
  <c r="AY94" i="28"/>
  <c r="BF94" i="28" s="1"/>
  <c r="AX94" i="28"/>
  <c r="BE94" i="28" s="1"/>
  <c r="AW94" i="28"/>
  <c r="BD94" i="28" s="1"/>
  <c r="AV94" i="28"/>
  <c r="BC94" i="28" s="1"/>
  <c r="AU94" i="28"/>
  <c r="BB94" i="28" s="1"/>
  <c r="AT94" i="28"/>
  <c r="BA94" i="28" s="1"/>
  <c r="AY93" i="28"/>
  <c r="BF93" i="28" s="1"/>
  <c r="AX93" i="28"/>
  <c r="BE93" i="28" s="1"/>
  <c r="AW93" i="28"/>
  <c r="BD93" i="28" s="1"/>
  <c r="AV93" i="28"/>
  <c r="BC93" i="28" s="1"/>
  <c r="AU93" i="28"/>
  <c r="BB93" i="28" s="1"/>
  <c r="AT93" i="28"/>
  <c r="BA93" i="28" s="1"/>
  <c r="AY92" i="28"/>
  <c r="BF92" i="28" s="1"/>
  <c r="AX92" i="28"/>
  <c r="BE92" i="28" s="1"/>
  <c r="AW92" i="28"/>
  <c r="BD92" i="28" s="1"/>
  <c r="AV92" i="28"/>
  <c r="BC92" i="28" s="1"/>
  <c r="AU92" i="28"/>
  <c r="BB92" i="28" s="1"/>
  <c r="AT92" i="28"/>
  <c r="BA92" i="28" s="1"/>
  <c r="AY91" i="28"/>
  <c r="BF91" i="28" s="1"/>
  <c r="AX91" i="28"/>
  <c r="BE91" i="28" s="1"/>
  <c r="AW91" i="28"/>
  <c r="BD91" i="28" s="1"/>
  <c r="AV91" i="28"/>
  <c r="BC91" i="28" s="1"/>
  <c r="AU91" i="28"/>
  <c r="BB91" i="28" s="1"/>
  <c r="AT91" i="28"/>
  <c r="BA91" i="28" s="1"/>
  <c r="AY90" i="28"/>
  <c r="BF90" i="28" s="1"/>
  <c r="AX90" i="28"/>
  <c r="BE90" i="28" s="1"/>
  <c r="AW90" i="28"/>
  <c r="BD90" i="28" s="1"/>
  <c r="AV90" i="28"/>
  <c r="BC90" i="28" s="1"/>
  <c r="AU90" i="28"/>
  <c r="BB90" i="28" s="1"/>
  <c r="AT90" i="28"/>
  <c r="BA90" i="28" s="1"/>
  <c r="AY89" i="28"/>
  <c r="BF89" i="28" s="1"/>
  <c r="AX89" i="28"/>
  <c r="BE89" i="28" s="1"/>
  <c r="AW89" i="28"/>
  <c r="BD89" i="28" s="1"/>
  <c r="AV89" i="28"/>
  <c r="BC89" i="28" s="1"/>
  <c r="AU89" i="28"/>
  <c r="BB89" i="28" s="1"/>
  <c r="AT89" i="28"/>
  <c r="BA89" i="28" s="1"/>
  <c r="AX88" i="28"/>
  <c r="BE88" i="28" s="1"/>
  <c r="AW88" i="28"/>
  <c r="BD88" i="28" s="1"/>
  <c r="AV88" i="28"/>
  <c r="BC88" i="28" s="1"/>
  <c r="AU88" i="28"/>
  <c r="BB88" i="28" s="1"/>
  <c r="AT88" i="28"/>
  <c r="BA88" i="28" s="1"/>
  <c r="AY87" i="28"/>
  <c r="BF87" i="28" s="1"/>
  <c r="AX87" i="28"/>
  <c r="BE87" i="28" s="1"/>
  <c r="AW87" i="28"/>
  <c r="BD87" i="28" s="1"/>
  <c r="AV87" i="28"/>
  <c r="BC87" i="28" s="1"/>
  <c r="AU87" i="28"/>
  <c r="BB87" i="28" s="1"/>
  <c r="AT87" i="28"/>
  <c r="BA87" i="28" s="1"/>
  <c r="AY86" i="28"/>
  <c r="BF86" i="28" s="1"/>
  <c r="AX86" i="28"/>
  <c r="BE86" i="28" s="1"/>
  <c r="AW86" i="28"/>
  <c r="BD86" i="28" s="1"/>
  <c r="AV86" i="28"/>
  <c r="BC86" i="28" s="1"/>
  <c r="AU86" i="28"/>
  <c r="BB86" i="28" s="1"/>
  <c r="AT86" i="28"/>
  <c r="BA86" i="28" s="1"/>
  <c r="AY85" i="28"/>
  <c r="BF85" i="28" s="1"/>
  <c r="AX85" i="28"/>
  <c r="BE85" i="28" s="1"/>
  <c r="AW85" i="28"/>
  <c r="BD85" i="28" s="1"/>
  <c r="AV85" i="28"/>
  <c r="BC85" i="28" s="1"/>
  <c r="AU85" i="28"/>
  <c r="BB85" i="28" s="1"/>
  <c r="AT85" i="28"/>
  <c r="BA85" i="28" s="1"/>
  <c r="AY84" i="28"/>
  <c r="BF84" i="28" s="1"/>
  <c r="AX84" i="28"/>
  <c r="BE84" i="28" s="1"/>
  <c r="AW84" i="28"/>
  <c r="BD84" i="28" s="1"/>
  <c r="AV84" i="28"/>
  <c r="BC84" i="28" s="1"/>
  <c r="AU84" i="28"/>
  <c r="BB84" i="28" s="1"/>
  <c r="AT84" i="28"/>
  <c r="BA84" i="28" s="1"/>
  <c r="AY83" i="28"/>
  <c r="BF83" i="28" s="1"/>
  <c r="AX83" i="28"/>
  <c r="BE83" i="28" s="1"/>
  <c r="AW83" i="28"/>
  <c r="BD83" i="28" s="1"/>
  <c r="AV83" i="28"/>
  <c r="BC83" i="28" s="1"/>
  <c r="AU83" i="28"/>
  <c r="BB83" i="28" s="1"/>
  <c r="AT83" i="28"/>
  <c r="BA83" i="28" s="1"/>
  <c r="AY82" i="28"/>
  <c r="BF82" i="28" s="1"/>
  <c r="AX82" i="28"/>
  <c r="BE82" i="28" s="1"/>
  <c r="AW82" i="28"/>
  <c r="BD82" i="28" s="1"/>
  <c r="AV82" i="28"/>
  <c r="BC82" i="28" s="1"/>
  <c r="AU82" i="28"/>
  <c r="BB82" i="28" s="1"/>
  <c r="AT82" i="28"/>
  <c r="BA82" i="28" s="1"/>
  <c r="AY81" i="28"/>
  <c r="BF81" i="28" s="1"/>
  <c r="AX81" i="28"/>
  <c r="BE81" i="28" s="1"/>
  <c r="AW81" i="28"/>
  <c r="BD81" i="28" s="1"/>
  <c r="AV81" i="28"/>
  <c r="BC81" i="28" s="1"/>
  <c r="AU81" i="28"/>
  <c r="BB81" i="28" s="1"/>
  <c r="AT81" i="28"/>
  <c r="BA81" i="28" s="1"/>
  <c r="AX80" i="28"/>
  <c r="BE80" i="28" s="1"/>
  <c r="AW80" i="28"/>
  <c r="BD80" i="28" s="1"/>
  <c r="AV80" i="28"/>
  <c r="BC80" i="28" s="1"/>
  <c r="AU80" i="28"/>
  <c r="BB80" i="28" s="1"/>
  <c r="AT80" i="28"/>
  <c r="BA80" i="28" s="1"/>
  <c r="AX79" i="28"/>
  <c r="BE79" i="28" s="1"/>
  <c r="AW79" i="28"/>
  <c r="BD79" i="28" s="1"/>
  <c r="AV79" i="28"/>
  <c r="BC79" i="28" s="1"/>
  <c r="AU79" i="28"/>
  <c r="BB79" i="28" s="1"/>
  <c r="AT79" i="28"/>
  <c r="BA79" i="28" s="1"/>
  <c r="AY78" i="28"/>
  <c r="BF78" i="28" s="1"/>
  <c r="AX78" i="28"/>
  <c r="BE78" i="28" s="1"/>
  <c r="AW78" i="28"/>
  <c r="BD78" i="28" s="1"/>
  <c r="AV78" i="28"/>
  <c r="BC78" i="28" s="1"/>
  <c r="AU78" i="28"/>
  <c r="BB78" i="28" s="1"/>
  <c r="AT78" i="28"/>
  <c r="BA78" i="28" s="1"/>
  <c r="AY77" i="28"/>
  <c r="BF77" i="28" s="1"/>
  <c r="AX77" i="28"/>
  <c r="BE77" i="28" s="1"/>
  <c r="AW77" i="28"/>
  <c r="BD77" i="28" s="1"/>
  <c r="AV77" i="28"/>
  <c r="BC77" i="28" s="1"/>
  <c r="AU77" i="28"/>
  <c r="BB77" i="28" s="1"/>
  <c r="AT77" i="28"/>
  <c r="BA77" i="28" s="1"/>
  <c r="AY76" i="28"/>
  <c r="BF76" i="28" s="1"/>
  <c r="AX76" i="28"/>
  <c r="BE76" i="28" s="1"/>
  <c r="AW76" i="28"/>
  <c r="BD76" i="28" s="1"/>
  <c r="AV76" i="28"/>
  <c r="BC76" i="28" s="1"/>
  <c r="AU76" i="28"/>
  <c r="BB76" i="28" s="1"/>
  <c r="AT76" i="28"/>
  <c r="BA76" i="28" s="1"/>
  <c r="AY75" i="28"/>
  <c r="BF75" i="28" s="1"/>
  <c r="AX75" i="28"/>
  <c r="BE75" i="28" s="1"/>
  <c r="AW75" i="28"/>
  <c r="BD75" i="28" s="1"/>
  <c r="AV75" i="28"/>
  <c r="BC75" i="28" s="1"/>
  <c r="AU75" i="28"/>
  <c r="BB75" i="28" s="1"/>
  <c r="AT75" i="28"/>
  <c r="BA75" i="28" s="1"/>
  <c r="AY74" i="28"/>
  <c r="BF74" i="28" s="1"/>
  <c r="AX74" i="28"/>
  <c r="BE74" i="28" s="1"/>
  <c r="AW74" i="28"/>
  <c r="BD74" i="28" s="1"/>
  <c r="AV74" i="28"/>
  <c r="BC74" i="28" s="1"/>
  <c r="AU74" i="28"/>
  <c r="BB74" i="28" s="1"/>
  <c r="AT74" i="28"/>
  <c r="BA74" i="28" s="1"/>
  <c r="AY73" i="28"/>
  <c r="BF73" i="28" s="1"/>
  <c r="AX73" i="28"/>
  <c r="BE73" i="28" s="1"/>
  <c r="AW73" i="28"/>
  <c r="BD73" i="28" s="1"/>
  <c r="AV73" i="28"/>
  <c r="BC73" i="28" s="1"/>
  <c r="AU73" i="28"/>
  <c r="BB73" i="28" s="1"/>
  <c r="AT73" i="28"/>
  <c r="BA73" i="28" s="1"/>
  <c r="AX72" i="28"/>
  <c r="BE72" i="28" s="1"/>
  <c r="AW72" i="28"/>
  <c r="BD72" i="28" s="1"/>
  <c r="AV72" i="28"/>
  <c r="BC72" i="28" s="1"/>
  <c r="AU72" i="28"/>
  <c r="BB72" i="28" s="1"/>
  <c r="AT72" i="28"/>
  <c r="BA72" i="28" s="1"/>
  <c r="AX71" i="28"/>
  <c r="BE71" i="28" s="1"/>
  <c r="AW71" i="28"/>
  <c r="BD71" i="28" s="1"/>
  <c r="AV71" i="28"/>
  <c r="BC71" i="28" s="1"/>
  <c r="AU71" i="28"/>
  <c r="BB71" i="28" s="1"/>
  <c r="AT71" i="28"/>
  <c r="BA71" i="28" s="1"/>
  <c r="AY70" i="28"/>
  <c r="BF70" i="28" s="1"/>
  <c r="AX70" i="28"/>
  <c r="BE70" i="28" s="1"/>
  <c r="AW70" i="28"/>
  <c r="BD70" i="28" s="1"/>
  <c r="AV70" i="28"/>
  <c r="BC70" i="28" s="1"/>
  <c r="AU70" i="28"/>
  <c r="BB70" i="28" s="1"/>
  <c r="AT70" i="28"/>
  <c r="BA70" i="28" s="1"/>
  <c r="AY69" i="28"/>
  <c r="BF69" i="28" s="1"/>
  <c r="AX69" i="28"/>
  <c r="BE69" i="28" s="1"/>
  <c r="AW69" i="28"/>
  <c r="BD69" i="28" s="1"/>
  <c r="AV69" i="28"/>
  <c r="BC69" i="28" s="1"/>
  <c r="AU69" i="28"/>
  <c r="BB69" i="28" s="1"/>
  <c r="AT69" i="28"/>
  <c r="BA69" i="28" s="1"/>
  <c r="AY68" i="28"/>
  <c r="BF68" i="28" s="1"/>
  <c r="AX68" i="28"/>
  <c r="BE68" i="28" s="1"/>
  <c r="AW68" i="28"/>
  <c r="BD68" i="28" s="1"/>
  <c r="AV68" i="28"/>
  <c r="BC68" i="28" s="1"/>
  <c r="AU68" i="28"/>
  <c r="BB68" i="28" s="1"/>
  <c r="AT68" i="28"/>
  <c r="BA68" i="28" s="1"/>
  <c r="AY67" i="28"/>
  <c r="BF67" i="28" s="1"/>
  <c r="AX67" i="28"/>
  <c r="BE67" i="28" s="1"/>
  <c r="AW67" i="28"/>
  <c r="BD67" i="28" s="1"/>
  <c r="AV67" i="28"/>
  <c r="BC67" i="28" s="1"/>
  <c r="AU67" i="28"/>
  <c r="BB67" i="28" s="1"/>
  <c r="AT67" i="28"/>
  <c r="BA67" i="28" s="1"/>
  <c r="AY66" i="28"/>
  <c r="BF66" i="28" s="1"/>
  <c r="AX66" i="28"/>
  <c r="BE66" i="28" s="1"/>
  <c r="AW66" i="28"/>
  <c r="BD66" i="28" s="1"/>
  <c r="AV66" i="28"/>
  <c r="BC66" i="28" s="1"/>
  <c r="AU66" i="28"/>
  <c r="BB66" i="28" s="1"/>
  <c r="AT66" i="28"/>
  <c r="BA66" i="28" s="1"/>
  <c r="AY65" i="28"/>
  <c r="BF65" i="28" s="1"/>
  <c r="AX65" i="28"/>
  <c r="BE65" i="28" s="1"/>
  <c r="AW65" i="28"/>
  <c r="BD65" i="28" s="1"/>
  <c r="AV65" i="28"/>
  <c r="BC65" i="28" s="1"/>
  <c r="AU65" i="28"/>
  <c r="BB65" i="28" s="1"/>
  <c r="AT65" i="28"/>
  <c r="BA65" i="28" s="1"/>
  <c r="AX64" i="28"/>
  <c r="BE64" i="28" s="1"/>
  <c r="AW64" i="28"/>
  <c r="BD64" i="28" s="1"/>
  <c r="AV64" i="28"/>
  <c r="BC64" i="28" s="1"/>
  <c r="AU64" i="28"/>
  <c r="BB64" i="28" s="1"/>
  <c r="AT64" i="28"/>
  <c r="BA64" i="28" s="1"/>
  <c r="AX63" i="28"/>
  <c r="BE63" i="28" s="1"/>
  <c r="AW63" i="28"/>
  <c r="BD63" i="28" s="1"/>
  <c r="AV63" i="28"/>
  <c r="BC63" i="28" s="1"/>
  <c r="AU63" i="28"/>
  <c r="BB63" i="28" s="1"/>
  <c r="AT63" i="28"/>
  <c r="BA63" i="28" s="1"/>
  <c r="AY62" i="28"/>
  <c r="BF62" i="28" s="1"/>
  <c r="AX62" i="28"/>
  <c r="BE62" i="28" s="1"/>
  <c r="AW62" i="28"/>
  <c r="BD62" i="28" s="1"/>
  <c r="AV62" i="28"/>
  <c r="BC62" i="28" s="1"/>
  <c r="AU62" i="28"/>
  <c r="BB62" i="28" s="1"/>
  <c r="AT62" i="28"/>
  <c r="BA62" i="28" s="1"/>
  <c r="AY61" i="28"/>
  <c r="BF61" i="28" s="1"/>
  <c r="AX61" i="28"/>
  <c r="BE61" i="28" s="1"/>
  <c r="AW61" i="28"/>
  <c r="BD61" i="28" s="1"/>
  <c r="AV61" i="28"/>
  <c r="BC61" i="28" s="1"/>
  <c r="AU61" i="28"/>
  <c r="BB61" i="28" s="1"/>
  <c r="AT61" i="28"/>
  <c r="BA61" i="28" s="1"/>
  <c r="AY60" i="28"/>
  <c r="BF60" i="28" s="1"/>
  <c r="AX60" i="28"/>
  <c r="BE60" i="28" s="1"/>
  <c r="AW60" i="28"/>
  <c r="BD60" i="28" s="1"/>
  <c r="AV60" i="28"/>
  <c r="BC60" i="28" s="1"/>
  <c r="AU60" i="28"/>
  <c r="BB60" i="28" s="1"/>
  <c r="AT60" i="28"/>
  <c r="BA60" i="28" s="1"/>
  <c r="AY59" i="28"/>
  <c r="BF59" i="28" s="1"/>
  <c r="AX59" i="28"/>
  <c r="BE59" i="28" s="1"/>
  <c r="AW59" i="28"/>
  <c r="BD59" i="28" s="1"/>
  <c r="AV59" i="28"/>
  <c r="BC59" i="28" s="1"/>
  <c r="AU59" i="28"/>
  <c r="BB59" i="28" s="1"/>
  <c r="AT59" i="28"/>
  <c r="BA59" i="28" s="1"/>
  <c r="AY58" i="28"/>
  <c r="BF58" i="28" s="1"/>
  <c r="AX58" i="28"/>
  <c r="BE58" i="28" s="1"/>
  <c r="AW58" i="28"/>
  <c r="BD58" i="28" s="1"/>
  <c r="AV58" i="28"/>
  <c r="BC58" i="28" s="1"/>
  <c r="AU58" i="28"/>
  <c r="BB58" i="28" s="1"/>
  <c r="AT58" i="28"/>
  <c r="BA58" i="28" s="1"/>
  <c r="AY57" i="28"/>
  <c r="BF57" i="28" s="1"/>
  <c r="AX57" i="28"/>
  <c r="BE57" i="28" s="1"/>
  <c r="AW57" i="28"/>
  <c r="BD57" i="28" s="1"/>
  <c r="AV57" i="28"/>
  <c r="BC57" i="28" s="1"/>
  <c r="AU57" i="28"/>
  <c r="BB57" i="28" s="1"/>
  <c r="AT57" i="28"/>
  <c r="BA57" i="28" s="1"/>
  <c r="AX56" i="28"/>
  <c r="BE56" i="28" s="1"/>
  <c r="AW56" i="28"/>
  <c r="BD56" i="28" s="1"/>
  <c r="AV56" i="28"/>
  <c r="BC56" i="28" s="1"/>
  <c r="AU56" i="28"/>
  <c r="BB56" i="28" s="1"/>
  <c r="AT56" i="28"/>
  <c r="BA56" i="28" s="1"/>
  <c r="AY55" i="28"/>
  <c r="BF55" i="28" s="1"/>
  <c r="AX55" i="28"/>
  <c r="BE55" i="28" s="1"/>
  <c r="AW55" i="28"/>
  <c r="BD55" i="28" s="1"/>
  <c r="AV55" i="28"/>
  <c r="BC55" i="28" s="1"/>
  <c r="AU55" i="28"/>
  <c r="BB55" i="28" s="1"/>
  <c r="AT55" i="28"/>
  <c r="BA55" i="28" s="1"/>
  <c r="AY54" i="28"/>
  <c r="BF54" i="28" s="1"/>
  <c r="AX54" i="28"/>
  <c r="BE54" i="28" s="1"/>
  <c r="AW54" i="28"/>
  <c r="BD54" i="28" s="1"/>
  <c r="AV54" i="28"/>
  <c r="BC54" i="28" s="1"/>
  <c r="AU54" i="28"/>
  <c r="BB54" i="28" s="1"/>
  <c r="AT54" i="28"/>
  <c r="BA54" i="28" s="1"/>
  <c r="AY53" i="28"/>
  <c r="BF53" i="28" s="1"/>
  <c r="AX53" i="28"/>
  <c r="BE53" i="28" s="1"/>
  <c r="AW53" i="28"/>
  <c r="BD53" i="28" s="1"/>
  <c r="AV53" i="28"/>
  <c r="BC53" i="28" s="1"/>
  <c r="AU53" i="28"/>
  <c r="BB53" i="28" s="1"/>
  <c r="AT53" i="28"/>
  <c r="BA53" i="28" s="1"/>
  <c r="AY52" i="28"/>
  <c r="BF52" i="28" s="1"/>
  <c r="AX52" i="28"/>
  <c r="BE52" i="28" s="1"/>
  <c r="AW52" i="28"/>
  <c r="BD52" i="28" s="1"/>
  <c r="AV52" i="28"/>
  <c r="BC52" i="28" s="1"/>
  <c r="AU52" i="28"/>
  <c r="BB52" i="28" s="1"/>
  <c r="AT52" i="28"/>
  <c r="BA52" i="28" s="1"/>
  <c r="AY51" i="28"/>
  <c r="BF51" i="28" s="1"/>
  <c r="AX51" i="28"/>
  <c r="BE51" i="28" s="1"/>
  <c r="AW51" i="28"/>
  <c r="BD51" i="28" s="1"/>
  <c r="AV51" i="28"/>
  <c r="BC51" i="28" s="1"/>
  <c r="AU51" i="28"/>
  <c r="BB51" i="28" s="1"/>
  <c r="AT51" i="28"/>
  <c r="BA51" i="28" s="1"/>
  <c r="AY50" i="28"/>
  <c r="BF50" i="28" s="1"/>
  <c r="AX50" i="28"/>
  <c r="BE50" i="28" s="1"/>
  <c r="AW50" i="28"/>
  <c r="BD50" i="28" s="1"/>
  <c r="AV50" i="28"/>
  <c r="BC50" i="28" s="1"/>
  <c r="AU50" i="28"/>
  <c r="BB50" i="28" s="1"/>
  <c r="AT50" i="28"/>
  <c r="BA50" i="28" s="1"/>
  <c r="AY49" i="28"/>
  <c r="BF49" i="28" s="1"/>
  <c r="AX49" i="28"/>
  <c r="BE49" i="28" s="1"/>
  <c r="AW49" i="28"/>
  <c r="BD49" i="28" s="1"/>
  <c r="AV49" i="28"/>
  <c r="BC49" i="28" s="1"/>
  <c r="AU49" i="28"/>
  <c r="BB49" i="28" s="1"/>
  <c r="AT49" i="28"/>
  <c r="BA49" i="28" s="1"/>
  <c r="AX48" i="28"/>
  <c r="BE48" i="28" s="1"/>
  <c r="AW48" i="28"/>
  <c r="BD48" i="28" s="1"/>
  <c r="AV48" i="28"/>
  <c r="BC48" i="28" s="1"/>
  <c r="AU48" i="28"/>
  <c r="BB48" i="28" s="1"/>
  <c r="AT48" i="28"/>
  <c r="BA48" i="28" s="1"/>
  <c r="AX47" i="28"/>
  <c r="BE47" i="28" s="1"/>
  <c r="AW47" i="28"/>
  <c r="BD47" i="28" s="1"/>
  <c r="AV47" i="28"/>
  <c r="BC47" i="28" s="1"/>
  <c r="AU47" i="28"/>
  <c r="BB47" i="28" s="1"/>
  <c r="AT47" i="28"/>
  <c r="BA47" i="28" s="1"/>
  <c r="AY46" i="28"/>
  <c r="BF46" i="28" s="1"/>
  <c r="AX46" i="28"/>
  <c r="BE46" i="28" s="1"/>
  <c r="AW46" i="28"/>
  <c r="BD46" i="28" s="1"/>
  <c r="AV46" i="28"/>
  <c r="BC46" i="28" s="1"/>
  <c r="AU46" i="28"/>
  <c r="BB46" i="28" s="1"/>
  <c r="AT46" i="28"/>
  <c r="BA46" i="28" s="1"/>
  <c r="AY45" i="28"/>
  <c r="BF45" i="28" s="1"/>
  <c r="AX45" i="28"/>
  <c r="BE45" i="28" s="1"/>
  <c r="AW45" i="28"/>
  <c r="BD45" i="28" s="1"/>
  <c r="AV45" i="28"/>
  <c r="BC45" i="28" s="1"/>
  <c r="AU45" i="28"/>
  <c r="AT45" i="28"/>
  <c r="BA45" i="28" s="1"/>
  <c r="AY44" i="28"/>
  <c r="BF44" i="28" s="1"/>
  <c r="AX44" i="28"/>
  <c r="BE44" i="28" s="1"/>
  <c r="AW44" i="28"/>
  <c r="BD44" i="28" s="1"/>
  <c r="AV44" i="28"/>
  <c r="BC44" i="28" s="1"/>
  <c r="AU44" i="28"/>
  <c r="BB44" i="28" s="1"/>
  <c r="AT44" i="28"/>
  <c r="BA44" i="28" s="1"/>
  <c r="AY43" i="28"/>
  <c r="BF43" i="28" s="1"/>
  <c r="AX43" i="28"/>
  <c r="BE43" i="28" s="1"/>
  <c r="AW43" i="28"/>
  <c r="BD43" i="28" s="1"/>
  <c r="AV43" i="28"/>
  <c r="BC43" i="28" s="1"/>
  <c r="AU43" i="28"/>
  <c r="BB43" i="28" s="1"/>
  <c r="AT43" i="28"/>
  <c r="BA43" i="28" s="1"/>
  <c r="AY42" i="28"/>
  <c r="BF42" i="28" s="1"/>
  <c r="AX42" i="28"/>
  <c r="BE42" i="28" s="1"/>
  <c r="AW42" i="28"/>
  <c r="BD42" i="28" s="1"/>
  <c r="AV42" i="28"/>
  <c r="BC42" i="28" s="1"/>
  <c r="AU42" i="28"/>
  <c r="BB42" i="28" s="1"/>
  <c r="AT42" i="28"/>
  <c r="BA42" i="28" s="1"/>
  <c r="AY41" i="28"/>
  <c r="BF41" i="28" s="1"/>
  <c r="AX41" i="28"/>
  <c r="BE41" i="28" s="1"/>
  <c r="AW41" i="28"/>
  <c r="BD41" i="28" s="1"/>
  <c r="AV41" i="28"/>
  <c r="BC41" i="28" s="1"/>
  <c r="AU41" i="28"/>
  <c r="BB41" i="28" s="1"/>
  <c r="AT41" i="28"/>
  <c r="BA41" i="28" s="1"/>
  <c r="AX40" i="28"/>
  <c r="BE40" i="28" s="1"/>
  <c r="AW40" i="28"/>
  <c r="BD40" i="28" s="1"/>
  <c r="AV40" i="28"/>
  <c r="BC40" i="28" s="1"/>
  <c r="AU40" i="28"/>
  <c r="BB40" i="28" s="1"/>
  <c r="AT40" i="28"/>
  <c r="BA40" i="28" s="1"/>
  <c r="AX39" i="28"/>
  <c r="BE39" i="28" s="1"/>
  <c r="AW39" i="28"/>
  <c r="BD39" i="28" s="1"/>
  <c r="AV39" i="28"/>
  <c r="BC39" i="28" s="1"/>
  <c r="AU39" i="28"/>
  <c r="BB39" i="28" s="1"/>
  <c r="AT39" i="28"/>
  <c r="BA39" i="28" s="1"/>
  <c r="AY38" i="28"/>
  <c r="BF38" i="28" s="1"/>
  <c r="AX38" i="28"/>
  <c r="BE38" i="28" s="1"/>
  <c r="AW38" i="28"/>
  <c r="BD38" i="28" s="1"/>
  <c r="AV38" i="28"/>
  <c r="BC38" i="28" s="1"/>
  <c r="AU38" i="28"/>
  <c r="BB38" i="28" s="1"/>
  <c r="AT38" i="28"/>
  <c r="BA38" i="28" s="1"/>
  <c r="AY37" i="28"/>
  <c r="BF37" i="28" s="1"/>
  <c r="AX37" i="28"/>
  <c r="BE37" i="28" s="1"/>
  <c r="AW37" i="28"/>
  <c r="BD37" i="28" s="1"/>
  <c r="AV37" i="28"/>
  <c r="BC37" i="28" s="1"/>
  <c r="AU37" i="28"/>
  <c r="BB37" i="28" s="1"/>
  <c r="AT37" i="28"/>
  <c r="BA37" i="28" s="1"/>
  <c r="AY36" i="28"/>
  <c r="BF36" i="28" s="1"/>
  <c r="AX36" i="28"/>
  <c r="BE36" i="28" s="1"/>
  <c r="AW36" i="28"/>
  <c r="BD36" i="28" s="1"/>
  <c r="AV36" i="28"/>
  <c r="BC36" i="28" s="1"/>
  <c r="AU36" i="28"/>
  <c r="BB36" i="28" s="1"/>
  <c r="AT36" i="28"/>
  <c r="BA36" i="28" s="1"/>
  <c r="AY35" i="28"/>
  <c r="BF35" i="28" s="1"/>
  <c r="AX35" i="28"/>
  <c r="BE35" i="28" s="1"/>
  <c r="AW35" i="28"/>
  <c r="BD35" i="28" s="1"/>
  <c r="AV35" i="28"/>
  <c r="BC35" i="28" s="1"/>
  <c r="AU35" i="28"/>
  <c r="BB35" i="28" s="1"/>
  <c r="AT35" i="28"/>
  <c r="BA35" i="28" s="1"/>
  <c r="AY34" i="28"/>
  <c r="BF34" i="28" s="1"/>
  <c r="AX34" i="28"/>
  <c r="BE34" i="28" s="1"/>
  <c r="AW34" i="28"/>
  <c r="BD34" i="28" s="1"/>
  <c r="AV34" i="28"/>
  <c r="BC34" i="28" s="1"/>
  <c r="AU34" i="28"/>
  <c r="BB34" i="28" s="1"/>
  <c r="AT34" i="28"/>
  <c r="BA34" i="28" s="1"/>
  <c r="AY33" i="28"/>
  <c r="BF33" i="28" s="1"/>
  <c r="AX33" i="28"/>
  <c r="BE33" i="28" s="1"/>
  <c r="AW33" i="28"/>
  <c r="BD33" i="28" s="1"/>
  <c r="AV33" i="28"/>
  <c r="BC33" i="28" s="1"/>
  <c r="AU33" i="28"/>
  <c r="BB33" i="28" s="1"/>
  <c r="AT33" i="28"/>
  <c r="BA33" i="28" s="1"/>
  <c r="AX32" i="28"/>
  <c r="BE32" i="28" s="1"/>
  <c r="AW32" i="28"/>
  <c r="BD32" i="28" s="1"/>
  <c r="AV32" i="28"/>
  <c r="BC32" i="28" s="1"/>
  <c r="AU32" i="28"/>
  <c r="BB32" i="28" s="1"/>
  <c r="AT32" i="28"/>
  <c r="BA32" i="28" s="1"/>
  <c r="AY31" i="28"/>
  <c r="BF31" i="28" s="1"/>
  <c r="AX31" i="28"/>
  <c r="BE31" i="28" s="1"/>
  <c r="AW31" i="28"/>
  <c r="BD31" i="28" s="1"/>
  <c r="AV31" i="28"/>
  <c r="BC31" i="28" s="1"/>
  <c r="AU31" i="28"/>
  <c r="BB31" i="28" s="1"/>
  <c r="AT31" i="28"/>
  <c r="BA31" i="28" s="1"/>
  <c r="AY30" i="28"/>
  <c r="BF30" i="28" s="1"/>
  <c r="AX30" i="28"/>
  <c r="BE30" i="28" s="1"/>
  <c r="AW30" i="28"/>
  <c r="BD30" i="28" s="1"/>
  <c r="AV30" i="28"/>
  <c r="BC30" i="28" s="1"/>
  <c r="AU30" i="28"/>
  <c r="BB30" i="28" s="1"/>
  <c r="AT30" i="28"/>
  <c r="BA30" i="28" s="1"/>
  <c r="AY29" i="28"/>
  <c r="BF29" i="28" s="1"/>
  <c r="AX29" i="28"/>
  <c r="BE29" i="28" s="1"/>
  <c r="AW29" i="28"/>
  <c r="BD29" i="28" s="1"/>
  <c r="AV29" i="28"/>
  <c r="BC29" i="28" s="1"/>
  <c r="AU29" i="28"/>
  <c r="BB29" i="28" s="1"/>
  <c r="AT29" i="28"/>
  <c r="BA29" i="28" s="1"/>
  <c r="AY28" i="28"/>
  <c r="BF28" i="28" s="1"/>
  <c r="AX28" i="28"/>
  <c r="BE28" i="28" s="1"/>
  <c r="AW28" i="28"/>
  <c r="BD28" i="28" s="1"/>
  <c r="AV28" i="28"/>
  <c r="BC28" i="28" s="1"/>
  <c r="AU28" i="28"/>
  <c r="BB28" i="28" s="1"/>
  <c r="AT28" i="28"/>
  <c r="BA28" i="28" s="1"/>
  <c r="AY27" i="28"/>
  <c r="BF27" i="28" s="1"/>
  <c r="AX27" i="28"/>
  <c r="BE27" i="28" s="1"/>
  <c r="AW27" i="28"/>
  <c r="BD27" i="28" s="1"/>
  <c r="AV27" i="28"/>
  <c r="BC27" i="28" s="1"/>
  <c r="AU27" i="28"/>
  <c r="BB27" i="28" s="1"/>
  <c r="AT27" i="28"/>
  <c r="BA27" i="28" s="1"/>
  <c r="AY26" i="28"/>
  <c r="BF26" i="28" s="1"/>
  <c r="AX26" i="28"/>
  <c r="BE26" i="28" s="1"/>
  <c r="AW26" i="28"/>
  <c r="BD26" i="28" s="1"/>
  <c r="AV26" i="28"/>
  <c r="BC26" i="28" s="1"/>
  <c r="AU26" i="28"/>
  <c r="BB26" i="28" s="1"/>
  <c r="AT26" i="28"/>
  <c r="BA26" i="28" s="1"/>
  <c r="AY25" i="28"/>
  <c r="BF25" i="28" s="1"/>
  <c r="AX25" i="28"/>
  <c r="BE25" i="28" s="1"/>
  <c r="AW25" i="28"/>
  <c r="BD25" i="28" s="1"/>
  <c r="AV25" i="28"/>
  <c r="BC25" i="28" s="1"/>
  <c r="AU25" i="28"/>
  <c r="BB25" i="28" s="1"/>
  <c r="AT25" i="28"/>
  <c r="BA25" i="28" s="1"/>
  <c r="AX24" i="28"/>
  <c r="BE24" i="28" s="1"/>
  <c r="AW24" i="28"/>
  <c r="BD24" i="28" s="1"/>
  <c r="AV24" i="28"/>
  <c r="BC24" i="28" s="1"/>
  <c r="AU24" i="28"/>
  <c r="BB24" i="28" s="1"/>
  <c r="AT24" i="28"/>
  <c r="BA24" i="28" s="1"/>
  <c r="AY23" i="28"/>
  <c r="BF23" i="28" s="1"/>
  <c r="AX23" i="28"/>
  <c r="BE23" i="28" s="1"/>
  <c r="AW23" i="28"/>
  <c r="BD23" i="28" s="1"/>
  <c r="AV23" i="28"/>
  <c r="BC23" i="28" s="1"/>
  <c r="AU23" i="28"/>
  <c r="BB23" i="28" s="1"/>
  <c r="AT23" i="28"/>
  <c r="BA23" i="28" s="1"/>
  <c r="AY22" i="28"/>
  <c r="BF22" i="28" s="1"/>
  <c r="AX22" i="28"/>
  <c r="BE22" i="28" s="1"/>
  <c r="AW22" i="28"/>
  <c r="BD22" i="28" s="1"/>
  <c r="AV22" i="28"/>
  <c r="BC22" i="28" s="1"/>
  <c r="AU22" i="28"/>
  <c r="BB22" i="28" s="1"/>
  <c r="AT22" i="28"/>
  <c r="BA22" i="28" s="1"/>
  <c r="AY21" i="28"/>
  <c r="BF21" i="28" s="1"/>
  <c r="AX21" i="28"/>
  <c r="BE21" i="28" s="1"/>
  <c r="AW21" i="28"/>
  <c r="BD21" i="28" s="1"/>
  <c r="AV21" i="28"/>
  <c r="BC21" i="28" s="1"/>
  <c r="AU21" i="28"/>
  <c r="BB21" i="28" s="1"/>
  <c r="AT21" i="28"/>
  <c r="BA21" i="28" s="1"/>
  <c r="AY20" i="28"/>
  <c r="BF20" i="28" s="1"/>
  <c r="AX20" i="28"/>
  <c r="BE20" i="28" s="1"/>
  <c r="AW20" i="28"/>
  <c r="BD20" i="28" s="1"/>
  <c r="AV20" i="28"/>
  <c r="BC20" i="28" s="1"/>
  <c r="AU20" i="28"/>
  <c r="BB20" i="28" s="1"/>
  <c r="AT20" i="28"/>
  <c r="BA20" i="28" s="1"/>
  <c r="AY19" i="28"/>
  <c r="BF19" i="28" s="1"/>
  <c r="AX19" i="28"/>
  <c r="BE19" i="28" s="1"/>
  <c r="AW19" i="28"/>
  <c r="BD19" i="28" s="1"/>
  <c r="AV19" i="28"/>
  <c r="BC19" i="28" s="1"/>
  <c r="AU19" i="28"/>
  <c r="BB19" i="28" s="1"/>
  <c r="AT19" i="28"/>
  <c r="BA19" i="28" s="1"/>
  <c r="AY18" i="28"/>
  <c r="BF18" i="28" s="1"/>
  <c r="AX18" i="28"/>
  <c r="BE18" i="28" s="1"/>
  <c r="AW18" i="28"/>
  <c r="BD18" i="28" s="1"/>
  <c r="AV18" i="28"/>
  <c r="BC18" i="28" s="1"/>
  <c r="AU18" i="28"/>
  <c r="BB18" i="28" s="1"/>
  <c r="AT18" i="28"/>
  <c r="BA18" i="28" s="1"/>
  <c r="AY17" i="28"/>
  <c r="BF17" i="28" s="1"/>
  <c r="AX17" i="28"/>
  <c r="BE17" i="28" s="1"/>
  <c r="AW17" i="28"/>
  <c r="BD17" i="28" s="1"/>
  <c r="AV17" i="28"/>
  <c r="BC17" i="28" s="1"/>
  <c r="AU17" i="28"/>
  <c r="BB17" i="28" s="1"/>
  <c r="AT17" i="28"/>
  <c r="BA17" i="28" s="1"/>
  <c r="AY16" i="28"/>
  <c r="AX16" i="28"/>
  <c r="BE16" i="28" s="1"/>
  <c r="AW16" i="28"/>
  <c r="AV16" i="28"/>
  <c r="BC16" i="28" s="1"/>
  <c r="AU16" i="28"/>
  <c r="BB16" i="28" s="1"/>
  <c r="AT16" i="28"/>
  <c r="AQ7" i="28"/>
  <c r="AP7" i="28"/>
  <c r="AO7" i="28"/>
  <c r="AN7" i="28"/>
  <c r="AM7" i="28"/>
  <c r="AK7" i="28"/>
  <c r="AJ7" i="28"/>
  <c r="AI7" i="28"/>
  <c r="AH7" i="28"/>
  <c r="AG7" i="28"/>
  <c r="AT4" i="28"/>
  <c r="AU4" i="28" s="1"/>
  <c r="AV4" i="28" s="1"/>
  <c r="AW4" i="28" s="1"/>
  <c r="AX4" i="28" s="1"/>
  <c r="AM4" i="28"/>
  <c r="AN4" i="28" s="1"/>
  <c r="AO4" i="28" s="1"/>
  <c r="AP4" i="28" s="1"/>
  <c r="AQ4" i="28" s="1"/>
  <c r="AF4" i="28"/>
  <c r="AG4" i="28" s="1"/>
  <c r="AH4" i="28" s="1"/>
  <c r="AI4" i="28" s="1"/>
  <c r="AJ4" i="28" s="1"/>
  <c r="C27" i="11"/>
  <c r="C26" i="11"/>
  <c r="J7" i="28"/>
  <c r="Q17" i="28"/>
  <c r="X17" i="28" s="1"/>
  <c r="R17" i="28"/>
  <c r="Y17" i="28" s="1"/>
  <c r="S17" i="28"/>
  <c r="Z17" i="28" s="1"/>
  <c r="T17" i="28"/>
  <c r="AA17" i="28" s="1"/>
  <c r="U17" i="28"/>
  <c r="AB17" i="28" s="1"/>
  <c r="V17" i="28"/>
  <c r="AC17" i="28" s="1"/>
  <c r="Q18" i="28"/>
  <c r="X18" i="28" s="1"/>
  <c r="R18" i="28"/>
  <c r="Y18" i="28" s="1"/>
  <c r="S18" i="28"/>
  <c r="Z18" i="28" s="1"/>
  <c r="T18" i="28"/>
  <c r="AA18" i="28" s="1"/>
  <c r="U18" i="28"/>
  <c r="AB18" i="28" s="1"/>
  <c r="V18" i="28"/>
  <c r="AC18" i="28" s="1"/>
  <c r="Q19" i="28"/>
  <c r="X19" i="28" s="1"/>
  <c r="R19" i="28"/>
  <c r="Y19" i="28" s="1"/>
  <c r="S19" i="28"/>
  <c r="Z19" i="28" s="1"/>
  <c r="T19" i="28"/>
  <c r="AA19" i="28" s="1"/>
  <c r="U19" i="28"/>
  <c r="AB19" i="28" s="1"/>
  <c r="V19" i="28"/>
  <c r="AC19" i="28" s="1"/>
  <c r="Q20" i="28"/>
  <c r="X20" i="28" s="1"/>
  <c r="R20" i="28"/>
  <c r="Y20" i="28" s="1"/>
  <c r="S20" i="28"/>
  <c r="Z20" i="28" s="1"/>
  <c r="T20" i="28"/>
  <c r="AA20" i="28" s="1"/>
  <c r="U20" i="28"/>
  <c r="AB20" i="28" s="1"/>
  <c r="V20" i="28"/>
  <c r="AC20" i="28" s="1"/>
  <c r="Q21" i="28"/>
  <c r="X21" i="28" s="1"/>
  <c r="R21" i="28"/>
  <c r="Y21" i="28" s="1"/>
  <c r="S21" i="28"/>
  <c r="Z21" i="28" s="1"/>
  <c r="T21" i="28"/>
  <c r="AA21" i="28" s="1"/>
  <c r="U21" i="28"/>
  <c r="AB21" i="28" s="1"/>
  <c r="V21" i="28"/>
  <c r="AC21" i="28" s="1"/>
  <c r="Q22" i="28"/>
  <c r="X22" i="28" s="1"/>
  <c r="R22" i="28"/>
  <c r="Y22" i="28" s="1"/>
  <c r="S22" i="28"/>
  <c r="Z22" i="28" s="1"/>
  <c r="T22" i="28"/>
  <c r="AA22" i="28" s="1"/>
  <c r="U22" i="28"/>
  <c r="AB22" i="28" s="1"/>
  <c r="V22" i="28"/>
  <c r="AC22" i="28" s="1"/>
  <c r="Q23" i="28"/>
  <c r="X23" i="28" s="1"/>
  <c r="R23" i="28"/>
  <c r="Y23" i="28" s="1"/>
  <c r="S23" i="28"/>
  <c r="Z23" i="28" s="1"/>
  <c r="T23" i="28"/>
  <c r="AA23" i="28" s="1"/>
  <c r="U23" i="28"/>
  <c r="AB23" i="28" s="1"/>
  <c r="V23" i="28"/>
  <c r="AC23" i="28" s="1"/>
  <c r="Q24" i="28"/>
  <c r="X24" i="28" s="1"/>
  <c r="R24" i="28"/>
  <c r="Y24" i="28" s="1"/>
  <c r="S24" i="28"/>
  <c r="Z24" i="28" s="1"/>
  <c r="T24" i="28"/>
  <c r="AA24" i="28" s="1"/>
  <c r="U24" i="28"/>
  <c r="AB24" i="28" s="1"/>
  <c r="Q25" i="28"/>
  <c r="X25" i="28" s="1"/>
  <c r="R25" i="28"/>
  <c r="Y25" i="28" s="1"/>
  <c r="S25" i="28"/>
  <c r="Z25" i="28" s="1"/>
  <c r="T25" i="28"/>
  <c r="AA25" i="28" s="1"/>
  <c r="U25" i="28"/>
  <c r="AB25" i="28" s="1"/>
  <c r="V25" i="28"/>
  <c r="AC25" i="28" s="1"/>
  <c r="Q26" i="28"/>
  <c r="X26" i="28" s="1"/>
  <c r="R26" i="28"/>
  <c r="Y26" i="28" s="1"/>
  <c r="S26" i="28"/>
  <c r="Z26" i="28" s="1"/>
  <c r="T26" i="28"/>
  <c r="AA26" i="28" s="1"/>
  <c r="U26" i="28"/>
  <c r="AB26" i="28" s="1"/>
  <c r="V26" i="28"/>
  <c r="AC26" i="28" s="1"/>
  <c r="Q27" i="28"/>
  <c r="X27" i="28" s="1"/>
  <c r="R27" i="28"/>
  <c r="Y27" i="28" s="1"/>
  <c r="S27" i="28"/>
  <c r="Z27" i="28" s="1"/>
  <c r="T27" i="28"/>
  <c r="AA27" i="28" s="1"/>
  <c r="U27" i="28"/>
  <c r="AB27" i="28" s="1"/>
  <c r="V27" i="28"/>
  <c r="AC27" i="28" s="1"/>
  <c r="Q28" i="28"/>
  <c r="X28" i="28" s="1"/>
  <c r="R28" i="28"/>
  <c r="Y28" i="28" s="1"/>
  <c r="S28" i="28"/>
  <c r="Z28" i="28" s="1"/>
  <c r="T28" i="28"/>
  <c r="AA28" i="28" s="1"/>
  <c r="U28" i="28"/>
  <c r="AB28" i="28" s="1"/>
  <c r="V28" i="28"/>
  <c r="AC28" i="28" s="1"/>
  <c r="Q29" i="28"/>
  <c r="X29" i="28" s="1"/>
  <c r="R29" i="28"/>
  <c r="Y29" i="28" s="1"/>
  <c r="S29" i="28"/>
  <c r="Z29" i="28" s="1"/>
  <c r="T29" i="28"/>
  <c r="AA29" i="28" s="1"/>
  <c r="U29" i="28"/>
  <c r="AB29" i="28" s="1"/>
  <c r="V29" i="28"/>
  <c r="AC29" i="28" s="1"/>
  <c r="Q30" i="28"/>
  <c r="X30" i="28" s="1"/>
  <c r="R30" i="28"/>
  <c r="Y30" i="28" s="1"/>
  <c r="S30" i="28"/>
  <c r="Z30" i="28" s="1"/>
  <c r="T30" i="28"/>
  <c r="AA30" i="28" s="1"/>
  <c r="U30" i="28"/>
  <c r="AB30" i="28" s="1"/>
  <c r="V30" i="28"/>
  <c r="AC30" i="28" s="1"/>
  <c r="Q31" i="28"/>
  <c r="X31" i="28" s="1"/>
  <c r="R31" i="28"/>
  <c r="Y31" i="28" s="1"/>
  <c r="S31" i="28"/>
  <c r="Z31" i="28" s="1"/>
  <c r="T31" i="28"/>
  <c r="AA31" i="28" s="1"/>
  <c r="U31" i="28"/>
  <c r="AB31" i="28" s="1"/>
  <c r="V31" i="28"/>
  <c r="AC31" i="28" s="1"/>
  <c r="Q32" i="28"/>
  <c r="X32" i="28" s="1"/>
  <c r="R32" i="28"/>
  <c r="Y32" i="28" s="1"/>
  <c r="S32" i="28"/>
  <c r="Z32" i="28" s="1"/>
  <c r="T32" i="28"/>
  <c r="AA32" i="28" s="1"/>
  <c r="U32" i="28"/>
  <c r="AB32" i="28" s="1"/>
  <c r="Q33" i="28"/>
  <c r="X33" i="28" s="1"/>
  <c r="R33" i="28"/>
  <c r="Y33" i="28" s="1"/>
  <c r="S33" i="28"/>
  <c r="Z33" i="28" s="1"/>
  <c r="T33" i="28"/>
  <c r="AA33" i="28" s="1"/>
  <c r="U33" i="28"/>
  <c r="AB33" i="28" s="1"/>
  <c r="V33" i="28"/>
  <c r="AC33" i="28" s="1"/>
  <c r="Q34" i="28"/>
  <c r="X34" i="28" s="1"/>
  <c r="R34" i="28"/>
  <c r="Y34" i="28" s="1"/>
  <c r="S34" i="28"/>
  <c r="Z34" i="28" s="1"/>
  <c r="T34" i="28"/>
  <c r="AA34" i="28" s="1"/>
  <c r="U34" i="28"/>
  <c r="AB34" i="28" s="1"/>
  <c r="V34" i="28"/>
  <c r="AC34" i="28" s="1"/>
  <c r="Q35" i="28"/>
  <c r="X35" i="28" s="1"/>
  <c r="R35" i="28"/>
  <c r="Y35" i="28" s="1"/>
  <c r="S35" i="28"/>
  <c r="Z35" i="28" s="1"/>
  <c r="T35" i="28"/>
  <c r="AA35" i="28" s="1"/>
  <c r="U35" i="28"/>
  <c r="AB35" i="28" s="1"/>
  <c r="V35" i="28"/>
  <c r="AC35" i="28" s="1"/>
  <c r="Q36" i="28"/>
  <c r="X36" i="28" s="1"/>
  <c r="R36" i="28"/>
  <c r="Y36" i="28" s="1"/>
  <c r="S36" i="28"/>
  <c r="Z36" i="28" s="1"/>
  <c r="T36" i="28"/>
  <c r="AA36" i="28" s="1"/>
  <c r="U36" i="28"/>
  <c r="AB36" i="28" s="1"/>
  <c r="V36" i="28"/>
  <c r="AC36" i="28" s="1"/>
  <c r="Q37" i="28"/>
  <c r="X37" i="28" s="1"/>
  <c r="R37" i="28"/>
  <c r="Y37" i="28" s="1"/>
  <c r="S37" i="28"/>
  <c r="Z37" i="28" s="1"/>
  <c r="T37" i="28"/>
  <c r="AA37" i="28" s="1"/>
  <c r="U37" i="28"/>
  <c r="AB37" i="28" s="1"/>
  <c r="V37" i="28"/>
  <c r="AC37" i="28" s="1"/>
  <c r="Q38" i="28"/>
  <c r="X38" i="28" s="1"/>
  <c r="R38" i="28"/>
  <c r="Y38" i="28" s="1"/>
  <c r="S38" i="28"/>
  <c r="Z38" i="28" s="1"/>
  <c r="T38" i="28"/>
  <c r="AA38" i="28" s="1"/>
  <c r="U38" i="28"/>
  <c r="AB38" i="28" s="1"/>
  <c r="V38" i="28"/>
  <c r="AC38" i="28" s="1"/>
  <c r="Q39" i="28"/>
  <c r="X39" i="28" s="1"/>
  <c r="R39" i="28"/>
  <c r="Y39" i="28" s="1"/>
  <c r="S39" i="28"/>
  <c r="Z39" i="28" s="1"/>
  <c r="T39" i="28"/>
  <c r="AA39" i="28" s="1"/>
  <c r="U39" i="28"/>
  <c r="AB39" i="28" s="1"/>
  <c r="V39" i="28"/>
  <c r="AC39" i="28" s="1"/>
  <c r="Q40" i="28"/>
  <c r="X40" i="28" s="1"/>
  <c r="R40" i="28"/>
  <c r="Y40" i="28" s="1"/>
  <c r="S40" i="28"/>
  <c r="Z40" i="28" s="1"/>
  <c r="T40" i="28"/>
  <c r="AA40" i="28" s="1"/>
  <c r="U40" i="28"/>
  <c r="AB40" i="28" s="1"/>
  <c r="Q41" i="28"/>
  <c r="X41" i="28" s="1"/>
  <c r="R41" i="28"/>
  <c r="Y41" i="28" s="1"/>
  <c r="S41" i="28"/>
  <c r="Z41" i="28" s="1"/>
  <c r="T41" i="28"/>
  <c r="AA41" i="28" s="1"/>
  <c r="U41" i="28"/>
  <c r="AB41" i="28" s="1"/>
  <c r="V41" i="28"/>
  <c r="AC41" i="28" s="1"/>
  <c r="Q42" i="28"/>
  <c r="X42" i="28" s="1"/>
  <c r="R42" i="28"/>
  <c r="Y42" i="28" s="1"/>
  <c r="S42" i="28"/>
  <c r="Z42" i="28" s="1"/>
  <c r="T42" i="28"/>
  <c r="AA42" i="28" s="1"/>
  <c r="U42" i="28"/>
  <c r="AB42" i="28" s="1"/>
  <c r="V42" i="28"/>
  <c r="AC42" i="28" s="1"/>
  <c r="Q43" i="28"/>
  <c r="X43" i="28" s="1"/>
  <c r="R43" i="28"/>
  <c r="Y43" i="28" s="1"/>
  <c r="S43" i="28"/>
  <c r="Z43" i="28" s="1"/>
  <c r="T43" i="28"/>
  <c r="AA43" i="28" s="1"/>
  <c r="U43" i="28"/>
  <c r="AB43" i="28" s="1"/>
  <c r="V43" i="28"/>
  <c r="AC43" i="28" s="1"/>
  <c r="Q44" i="28"/>
  <c r="X44" i="28" s="1"/>
  <c r="R44" i="28"/>
  <c r="Y44" i="28" s="1"/>
  <c r="S44" i="28"/>
  <c r="Z44" i="28" s="1"/>
  <c r="T44" i="28"/>
  <c r="AA44" i="28" s="1"/>
  <c r="U44" i="28"/>
  <c r="AB44" i="28" s="1"/>
  <c r="V44" i="28"/>
  <c r="AC44" i="28" s="1"/>
  <c r="Q45" i="28"/>
  <c r="X45" i="28" s="1"/>
  <c r="R45" i="28"/>
  <c r="Y45" i="28" s="1"/>
  <c r="S45" i="28"/>
  <c r="Z45" i="28" s="1"/>
  <c r="T45" i="28"/>
  <c r="AA45" i="28" s="1"/>
  <c r="U45" i="28"/>
  <c r="AB45" i="28" s="1"/>
  <c r="V45" i="28"/>
  <c r="AC45" i="28" s="1"/>
  <c r="Q46" i="28"/>
  <c r="X46" i="28" s="1"/>
  <c r="R46" i="28"/>
  <c r="Y46" i="28" s="1"/>
  <c r="S46" i="28"/>
  <c r="Z46" i="28" s="1"/>
  <c r="T46" i="28"/>
  <c r="AA46" i="28" s="1"/>
  <c r="U46" i="28"/>
  <c r="AB46" i="28" s="1"/>
  <c r="V46" i="28"/>
  <c r="AC46" i="28" s="1"/>
  <c r="Q47" i="28"/>
  <c r="X47" i="28" s="1"/>
  <c r="R47" i="28"/>
  <c r="Y47" i="28" s="1"/>
  <c r="S47" i="28"/>
  <c r="Z47" i="28" s="1"/>
  <c r="T47" i="28"/>
  <c r="AA47" i="28" s="1"/>
  <c r="U47" i="28"/>
  <c r="AB47" i="28" s="1"/>
  <c r="V47" i="28"/>
  <c r="AC47" i="28" s="1"/>
  <c r="Q48" i="28"/>
  <c r="X48" i="28" s="1"/>
  <c r="R48" i="28"/>
  <c r="Y48" i="28" s="1"/>
  <c r="S48" i="28"/>
  <c r="Z48" i="28" s="1"/>
  <c r="T48" i="28"/>
  <c r="AA48" i="28" s="1"/>
  <c r="U48" i="28"/>
  <c r="AB48" i="28" s="1"/>
  <c r="Q49" i="28"/>
  <c r="X49" i="28" s="1"/>
  <c r="R49" i="28"/>
  <c r="Y49" i="28" s="1"/>
  <c r="S49" i="28"/>
  <c r="Z49" i="28" s="1"/>
  <c r="T49" i="28"/>
  <c r="AA49" i="28" s="1"/>
  <c r="U49" i="28"/>
  <c r="AB49" i="28" s="1"/>
  <c r="V49" i="28"/>
  <c r="AC49" i="28" s="1"/>
  <c r="Q50" i="28"/>
  <c r="X50" i="28" s="1"/>
  <c r="R50" i="28"/>
  <c r="Y50" i="28" s="1"/>
  <c r="S50" i="28"/>
  <c r="Z50" i="28" s="1"/>
  <c r="T50" i="28"/>
  <c r="AA50" i="28" s="1"/>
  <c r="U50" i="28"/>
  <c r="AB50" i="28" s="1"/>
  <c r="V50" i="28"/>
  <c r="AC50" i="28" s="1"/>
  <c r="Q51" i="28"/>
  <c r="X51" i="28" s="1"/>
  <c r="R51" i="28"/>
  <c r="Y51" i="28" s="1"/>
  <c r="S51" i="28"/>
  <c r="Z51" i="28" s="1"/>
  <c r="T51" i="28"/>
  <c r="AA51" i="28" s="1"/>
  <c r="U51" i="28"/>
  <c r="AB51" i="28" s="1"/>
  <c r="V51" i="28"/>
  <c r="AC51" i="28" s="1"/>
  <c r="Q52" i="28"/>
  <c r="X52" i="28" s="1"/>
  <c r="R52" i="28"/>
  <c r="Y52" i="28" s="1"/>
  <c r="S52" i="28"/>
  <c r="Z52" i="28" s="1"/>
  <c r="T52" i="28"/>
  <c r="AA52" i="28" s="1"/>
  <c r="U52" i="28"/>
  <c r="AB52" i="28" s="1"/>
  <c r="V52" i="28"/>
  <c r="AC52" i="28" s="1"/>
  <c r="Q53" i="28"/>
  <c r="X53" i="28" s="1"/>
  <c r="R53" i="28"/>
  <c r="Y53" i="28" s="1"/>
  <c r="S53" i="28"/>
  <c r="Z53" i="28" s="1"/>
  <c r="T53" i="28"/>
  <c r="AA53" i="28" s="1"/>
  <c r="U53" i="28"/>
  <c r="AB53" i="28" s="1"/>
  <c r="V53" i="28"/>
  <c r="AC53" i="28" s="1"/>
  <c r="Q54" i="28"/>
  <c r="X54" i="28" s="1"/>
  <c r="R54" i="28"/>
  <c r="Y54" i="28" s="1"/>
  <c r="S54" i="28"/>
  <c r="Z54" i="28" s="1"/>
  <c r="T54" i="28"/>
  <c r="AA54" i="28" s="1"/>
  <c r="U54" i="28"/>
  <c r="AB54" i="28" s="1"/>
  <c r="V54" i="28"/>
  <c r="AC54" i="28" s="1"/>
  <c r="Q55" i="28"/>
  <c r="X55" i="28" s="1"/>
  <c r="R55" i="28"/>
  <c r="Y55" i="28" s="1"/>
  <c r="S55" i="28"/>
  <c r="Z55" i="28" s="1"/>
  <c r="T55" i="28"/>
  <c r="AA55" i="28" s="1"/>
  <c r="U55" i="28"/>
  <c r="AB55" i="28" s="1"/>
  <c r="V55" i="28"/>
  <c r="AC55" i="28" s="1"/>
  <c r="Q56" i="28"/>
  <c r="X56" i="28" s="1"/>
  <c r="R56" i="28"/>
  <c r="Y56" i="28" s="1"/>
  <c r="S56" i="28"/>
  <c r="Z56" i="28" s="1"/>
  <c r="T56" i="28"/>
  <c r="AA56" i="28" s="1"/>
  <c r="U56" i="28"/>
  <c r="AB56" i="28" s="1"/>
  <c r="Q57" i="28"/>
  <c r="X57" i="28" s="1"/>
  <c r="R57" i="28"/>
  <c r="Y57" i="28" s="1"/>
  <c r="S57" i="28"/>
  <c r="Z57" i="28" s="1"/>
  <c r="T57" i="28"/>
  <c r="AA57" i="28" s="1"/>
  <c r="U57" i="28"/>
  <c r="AB57" i="28" s="1"/>
  <c r="V57" i="28"/>
  <c r="AC57" i="28" s="1"/>
  <c r="Q58" i="28"/>
  <c r="X58" i="28" s="1"/>
  <c r="R58" i="28"/>
  <c r="Y58" i="28" s="1"/>
  <c r="S58" i="28"/>
  <c r="Z58" i="28" s="1"/>
  <c r="T58" i="28"/>
  <c r="AA58" i="28" s="1"/>
  <c r="U58" i="28"/>
  <c r="AB58" i="28" s="1"/>
  <c r="V58" i="28"/>
  <c r="AC58" i="28" s="1"/>
  <c r="Q59" i="28"/>
  <c r="X59" i="28" s="1"/>
  <c r="R59" i="28"/>
  <c r="Y59" i="28" s="1"/>
  <c r="S59" i="28"/>
  <c r="Z59" i="28" s="1"/>
  <c r="T59" i="28"/>
  <c r="AA59" i="28" s="1"/>
  <c r="U59" i="28"/>
  <c r="AB59" i="28" s="1"/>
  <c r="V59" i="28"/>
  <c r="AC59" i="28" s="1"/>
  <c r="Q60" i="28"/>
  <c r="X60" i="28" s="1"/>
  <c r="R60" i="28"/>
  <c r="Y60" i="28" s="1"/>
  <c r="S60" i="28"/>
  <c r="Z60" i="28" s="1"/>
  <c r="T60" i="28"/>
  <c r="AA60" i="28" s="1"/>
  <c r="U60" i="28"/>
  <c r="AB60" i="28" s="1"/>
  <c r="V60" i="28"/>
  <c r="AC60" i="28" s="1"/>
  <c r="Q61" i="28"/>
  <c r="X61" i="28" s="1"/>
  <c r="R61" i="28"/>
  <c r="Y61" i="28" s="1"/>
  <c r="S61" i="28"/>
  <c r="Z61" i="28" s="1"/>
  <c r="T61" i="28"/>
  <c r="AA61" i="28" s="1"/>
  <c r="U61" i="28"/>
  <c r="AB61" i="28" s="1"/>
  <c r="V61" i="28"/>
  <c r="AC61" i="28" s="1"/>
  <c r="Q62" i="28"/>
  <c r="X62" i="28" s="1"/>
  <c r="R62" i="28"/>
  <c r="Y62" i="28" s="1"/>
  <c r="S62" i="28"/>
  <c r="Z62" i="28" s="1"/>
  <c r="T62" i="28"/>
  <c r="AA62" i="28" s="1"/>
  <c r="U62" i="28"/>
  <c r="AB62" i="28" s="1"/>
  <c r="V62" i="28"/>
  <c r="AC62" i="28" s="1"/>
  <c r="Q63" i="28"/>
  <c r="X63" i="28" s="1"/>
  <c r="R63" i="28"/>
  <c r="Y63" i="28" s="1"/>
  <c r="S63" i="28"/>
  <c r="Z63" i="28" s="1"/>
  <c r="T63" i="28"/>
  <c r="AA63" i="28" s="1"/>
  <c r="U63" i="28"/>
  <c r="AB63" i="28" s="1"/>
  <c r="V63" i="28"/>
  <c r="AC63" i="28" s="1"/>
  <c r="Q64" i="28"/>
  <c r="X64" i="28" s="1"/>
  <c r="R64" i="28"/>
  <c r="Y64" i="28" s="1"/>
  <c r="S64" i="28"/>
  <c r="Z64" i="28" s="1"/>
  <c r="T64" i="28"/>
  <c r="AA64" i="28" s="1"/>
  <c r="U64" i="28"/>
  <c r="AB64" i="28" s="1"/>
  <c r="Q65" i="28"/>
  <c r="X65" i="28" s="1"/>
  <c r="R65" i="28"/>
  <c r="Y65" i="28" s="1"/>
  <c r="S65" i="28"/>
  <c r="Z65" i="28" s="1"/>
  <c r="T65" i="28"/>
  <c r="AA65" i="28" s="1"/>
  <c r="U65" i="28"/>
  <c r="AB65" i="28" s="1"/>
  <c r="V65" i="28"/>
  <c r="AC65" i="28" s="1"/>
  <c r="Q66" i="28"/>
  <c r="X66" i="28" s="1"/>
  <c r="R66" i="28"/>
  <c r="Y66" i="28" s="1"/>
  <c r="S66" i="28"/>
  <c r="Z66" i="28" s="1"/>
  <c r="T66" i="28"/>
  <c r="AA66" i="28" s="1"/>
  <c r="U66" i="28"/>
  <c r="AB66" i="28" s="1"/>
  <c r="V66" i="28"/>
  <c r="AC66" i="28" s="1"/>
  <c r="Q67" i="28"/>
  <c r="X67" i="28" s="1"/>
  <c r="R67" i="28"/>
  <c r="Y67" i="28" s="1"/>
  <c r="S67" i="28"/>
  <c r="Z67" i="28" s="1"/>
  <c r="T67" i="28"/>
  <c r="AA67" i="28" s="1"/>
  <c r="U67" i="28"/>
  <c r="AB67" i="28" s="1"/>
  <c r="V67" i="28"/>
  <c r="AC67" i="28" s="1"/>
  <c r="Q68" i="28"/>
  <c r="X68" i="28" s="1"/>
  <c r="R68" i="28"/>
  <c r="Y68" i="28" s="1"/>
  <c r="S68" i="28"/>
  <c r="Z68" i="28" s="1"/>
  <c r="T68" i="28"/>
  <c r="AA68" i="28" s="1"/>
  <c r="U68" i="28"/>
  <c r="AB68" i="28" s="1"/>
  <c r="V68" i="28"/>
  <c r="AC68" i="28" s="1"/>
  <c r="Q69" i="28"/>
  <c r="X69" i="28" s="1"/>
  <c r="R69" i="28"/>
  <c r="Y69" i="28" s="1"/>
  <c r="S69" i="28"/>
  <c r="Z69" i="28" s="1"/>
  <c r="T69" i="28"/>
  <c r="AA69" i="28" s="1"/>
  <c r="U69" i="28"/>
  <c r="AB69" i="28" s="1"/>
  <c r="V69" i="28"/>
  <c r="AC69" i="28" s="1"/>
  <c r="Q70" i="28"/>
  <c r="X70" i="28" s="1"/>
  <c r="R70" i="28"/>
  <c r="Y70" i="28" s="1"/>
  <c r="S70" i="28"/>
  <c r="Z70" i="28" s="1"/>
  <c r="T70" i="28"/>
  <c r="AA70" i="28" s="1"/>
  <c r="U70" i="28"/>
  <c r="AB70" i="28" s="1"/>
  <c r="V70" i="28"/>
  <c r="AC70" i="28" s="1"/>
  <c r="Q71" i="28"/>
  <c r="X71" i="28" s="1"/>
  <c r="R71" i="28"/>
  <c r="Y71" i="28" s="1"/>
  <c r="S71" i="28"/>
  <c r="Z71" i="28" s="1"/>
  <c r="T71" i="28"/>
  <c r="AA71" i="28" s="1"/>
  <c r="U71" i="28"/>
  <c r="AB71" i="28" s="1"/>
  <c r="V71" i="28"/>
  <c r="AC71" i="28" s="1"/>
  <c r="Q72" i="28"/>
  <c r="X72" i="28" s="1"/>
  <c r="R72" i="28"/>
  <c r="Y72" i="28" s="1"/>
  <c r="S72" i="28"/>
  <c r="Z72" i="28" s="1"/>
  <c r="T72" i="28"/>
  <c r="AA72" i="28" s="1"/>
  <c r="U72" i="28"/>
  <c r="AB72" i="28" s="1"/>
  <c r="Q73" i="28"/>
  <c r="X73" i="28" s="1"/>
  <c r="R73" i="28"/>
  <c r="Y73" i="28" s="1"/>
  <c r="S73" i="28"/>
  <c r="Z73" i="28" s="1"/>
  <c r="T73" i="28"/>
  <c r="AA73" i="28" s="1"/>
  <c r="U73" i="28"/>
  <c r="AB73" i="28" s="1"/>
  <c r="V73" i="28"/>
  <c r="AC73" i="28" s="1"/>
  <c r="Q74" i="28"/>
  <c r="X74" i="28" s="1"/>
  <c r="R74" i="28"/>
  <c r="Y74" i="28" s="1"/>
  <c r="S74" i="28"/>
  <c r="Z74" i="28" s="1"/>
  <c r="T74" i="28"/>
  <c r="AA74" i="28" s="1"/>
  <c r="U74" i="28"/>
  <c r="AB74" i="28" s="1"/>
  <c r="V74" i="28"/>
  <c r="AC74" i="28" s="1"/>
  <c r="Q75" i="28"/>
  <c r="X75" i="28" s="1"/>
  <c r="R75" i="28"/>
  <c r="Y75" i="28" s="1"/>
  <c r="S75" i="28"/>
  <c r="Z75" i="28" s="1"/>
  <c r="T75" i="28"/>
  <c r="AA75" i="28" s="1"/>
  <c r="U75" i="28"/>
  <c r="AB75" i="28" s="1"/>
  <c r="V75" i="28"/>
  <c r="AC75" i="28" s="1"/>
  <c r="Q76" i="28"/>
  <c r="X76" i="28" s="1"/>
  <c r="R76" i="28"/>
  <c r="Y76" i="28" s="1"/>
  <c r="S76" i="28"/>
  <c r="Z76" i="28" s="1"/>
  <c r="T76" i="28"/>
  <c r="AA76" i="28" s="1"/>
  <c r="U76" i="28"/>
  <c r="AB76" i="28" s="1"/>
  <c r="V76" i="28"/>
  <c r="AC76" i="28" s="1"/>
  <c r="Q77" i="28"/>
  <c r="X77" i="28" s="1"/>
  <c r="R77" i="28"/>
  <c r="Y77" i="28" s="1"/>
  <c r="S77" i="28"/>
  <c r="Z77" i="28" s="1"/>
  <c r="T77" i="28"/>
  <c r="AA77" i="28" s="1"/>
  <c r="U77" i="28"/>
  <c r="AB77" i="28" s="1"/>
  <c r="V77" i="28"/>
  <c r="AC77" i="28" s="1"/>
  <c r="Q78" i="28"/>
  <c r="X78" i="28" s="1"/>
  <c r="R78" i="28"/>
  <c r="Y78" i="28" s="1"/>
  <c r="S78" i="28"/>
  <c r="Z78" i="28" s="1"/>
  <c r="T78" i="28"/>
  <c r="AA78" i="28" s="1"/>
  <c r="U78" i="28"/>
  <c r="AB78" i="28" s="1"/>
  <c r="V78" i="28"/>
  <c r="AC78" i="28" s="1"/>
  <c r="Q79" i="28"/>
  <c r="X79" i="28" s="1"/>
  <c r="R79" i="28"/>
  <c r="Y79" i="28" s="1"/>
  <c r="S79" i="28"/>
  <c r="Z79" i="28" s="1"/>
  <c r="T79" i="28"/>
  <c r="AA79" i="28" s="1"/>
  <c r="U79" i="28"/>
  <c r="AB79" i="28" s="1"/>
  <c r="V79" i="28"/>
  <c r="AC79" i="28" s="1"/>
  <c r="Q80" i="28"/>
  <c r="X80" i="28" s="1"/>
  <c r="R80" i="28"/>
  <c r="Y80" i="28" s="1"/>
  <c r="S80" i="28"/>
  <c r="Z80" i="28" s="1"/>
  <c r="T80" i="28"/>
  <c r="AA80" i="28" s="1"/>
  <c r="U80" i="28"/>
  <c r="AB80" i="28" s="1"/>
  <c r="Q81" i="28"/>
  <c r="X81" i="28" s="1"/>
  <c r="R81" i="28"/>
  <c r="Y81" i="28" s="1"/>
  <c r="S81" i="28"/>
  <c r="Z81" i="28" s="1"/>
  <c r="T81" i="28"/>
  <c r="AA81" i="28" s="1"/>
  <c r="U81" i="28"/>
  <c r="AB81" i="28" s="1"/>
  <c r="V81" i="28"/>
  <c r="AC81" i="28" s="1"/>
  <c r="Q82" i="28"/>
  <c r="X82" i="28" s="1"/>
  <c r="R82" i="28"/>
  <c r="Y82" i="28" s="1"/>
  <c r="S82" i="28"/>
  <c r="Z82" i="28" s="1"/>
  <c r="T82" i="28"/>
  <c r="AA82" i="28" s="1"/>
  <c r="U82" i="28"/>
  <c r="AB82" i="28" s="1"/>
  <c r="V82" i="28"/>
  <c r="AC82" i="28" s="1"/>
  <c r="Q83" i="28"/>
  <c r="X83" i="28" s="1"/>
  <c r="R83" i="28"/>
  <c r="Y83" i="28" s="1"/>
  <c r="S83" i="28"/>
  <c r="Z83" i="28" s="1"/>
  <c r="T83" i="28"/>
  <c r="AA83" i="28" s="1"/>
  <c r="U83" i="28"/>
  <c r="AB83" i="28" s="1"/>
  <c r="V83" i="28"/>
  <c r="AC83" i="28" s="1"/>
  <c r="Q84" i="28"/>
  <c r="X84" i="28" s="1"/>
  <c r="R84" i="28"/>
  <c r="Y84" i="28" s="1"/>
  <c r="S84" i="28"/>
  <c r="Z84" i="28" s="1"/>
  <c r="T84" i="28"/>
  <c r="AA84" i="28" s="1"/>
  <c r="U84" i="28"/>
  <c r="AB84" i="28" s="1"/>
  <c r="V84" i="28"/>
  <c r="AC84" i="28" s="1"/>
  <c r="Q85" i="28"/>
  <c r="X85" i="28" s="1"/>
  <c r="R85" i="28"/>
  <c r="Y85" i="28" s="1"/>
  <c r="S85" i="28"/>
  <c r="Z85" i="28" s="1"/>
  <c r="T85" i="28"/>
  <c r="AA85" i="28" s="1"/>
  <c r="U85" i="28"/>
  <c r="AB85" i="28" s="1"/>
  <c r="V85" i="28"/>
  <c r="AC85" i="28" s="1"/>
  <c r="Q86" i="28"/>
  <c r="X86" i="28" s="1"/>
  <c r="R86" i="28"/>
  <c r="Y86" i="28" s="1"/>
  <c r="S86" i="28"/>
  <c r="Z86" i="28" s="1"/>
  <c r="T86" i="28"/>
  <c r="AA86" i="28" s="1"/>
  <c r="U86" i="28"/>
  <c r="AB86" i="28" s="1"/>
  <c r="V86" i="28"/>
  <c r="AC86" i="28" s="1"/>
  <c r="Q87" i="28"/>
  <c r="X87" i="28" s="1"/>
  <c r="R87" i="28"/>
  <c r="Y87" i="28" s="1"/>
  <c r="S87" i="28"/>
  <c r="Z87" i="28" s="1"/>
  <c r="T87" i="28"/>
  <c r="AA87" i="28" s="1"/>
  <c r="U87" i="28"/>
  <c r="AB87" i="28" s="1"/>
  <c r="V87" i="28"/>
  <c r="AC87" i="28" s="1"/>
  <c r="Q88" i="28"/>
  <c r="X88" i="28" s="1"/>
  <c r="R88" i="28"/>
  <c r="Y88" i="28" s="1"/>
  <c r="S88" i="28"/>
  <c r="Z88" i="28" s="1"/>
  <c r="T88" i="28"/>
  <c r="AA88" i="28" s="1"/>
  <c r="U88" i="28"/>
  <c r="AB88" i="28" s="1"/>
  <c r="Q89" i="28"/>
  <c r="X89" i="28" s="1"/>
  <c r="R89" i="28"/>
  <c r="Y89" i="28" s="1"/>
  <c r="S89" i="28"/>
  <c r="Z89" i="28" s="1"/>
  <c r="T89" i="28"/>
  <c r="AA89" i="28" s="1"/>
  <c r="U89" i="28"/>
  <c r="AB89" i="28" s="1"/>
  <c r="V89" i="28"/>
  <c r="AC89" i="28" s="1"/>
  <c r="Q90" i="28"/>
  <c r="X90" i="28" s="1"/>
  <c r="R90" i="28"/>
  <c r="Y90" i="28" s="1"/>
  <c r="S90" i="28"/>
  <c r="Z90" i="28" s="1"/>
  <c r="T90" i="28"/>
  <c r="AA90" i="28" s="1"/>
  <c r="U90" i="28"/>
  <c r="AB90" i="28" s="1"/>
  <c r="V90" i="28"/>
  <c r="AC90" i="28" s="1"/>
  <c r="Q91" i="28"/>
  <c r="X91" i="28" s="1"/>
  <c r="R91" i="28"/>
  <c r="Y91" i="28" s="1"/>
  <c r="S91" i="28"/>
  <c r="Z91" i="28" s="1"/>
  <c r="T91" i="28"/>
  <c r="AA91" i="28" s="1"/>
  <c r="U91" i="28"/>
  <c r="AB91" i="28" s="1"/>
  <c r="V91" i="28"/>
  <c r="AC91" i="28" s="1"/>
  <c r="Q92" i="28"/>
  <c r="X92" i="28" s="1"/>
  <c r="R92" i="28"/>
  <c r="Y92" i="28" s="1"/>
  <c r="S92" i="28"/>
  <c r="Z92" i="28" s="1"/>
  <c r="T92" i="28"/>
  <c r="AA92" i="28" s="1"/>
  <c r="U92" i="28"/>
  <c r="AB92" i="28" s="1"/>
  <c r="V92" i="28"/>
  <c r="AC92" i="28" s="1"/>
  <c r="Q93" i="28"/>
  <c r="X93" i="28" s="1"/>
  <c r="R93" i="28"/>
  <c r="Y93" i="28" s="1"/>
  <c r="S93" i="28"/>
  <c r="Z93" i="28" s="1"/>
  <c r="T93" i="28"/>
  <c r="AA93" i="28" s="1"/>
  <c r="U93" i="28"/>
  <c r="AB93" i="28" s="1"/>
  <c r="V93" i="28"/>
  <c r="AC93" i="28" s="1"/>
  <c r="Q94" i="28"/>
  <c r="X94" i="28" s="1"/>
  <c r="R94" i="28"/>
  <c r="Y94" i="28" s="1"/>
  <c r="S94" i="28"/>
  <c r="Z94" i="28" s="1"/>
  <c r="T94" i="28"/>
  <c r="AA94" i="28" s="1"/>
  <c r="U94" i="28"/>
  <c r="AB94" i="28" s="1"/>
  <c r="V94" i="28"/>
  <c r="AC94" i="28" s="1"/>
  <c r="Q95" i="28"/>
  <c r="X95" i="28" s="1"/>
  <c r="R95" i="28"/>
  <c r="Y95" i="28" s="1"/>
  <c r="S95" i="28"/>
  <c r="Z95" i="28" s="1"/>
  <c r="T95" i="28"/>
  <c r="AA95" i="28" s="1"/>
  <c r="U95" i="28"/>
  <c r="AB95" i="28" s="1"/>
  <c r="V95" i="28"/>
  <c r="AC95" i="28" s="1"/>
  <c r="Q96" i="28"/>
  <c r="X96" i="28" s="1"/>
  <c r="R96" i="28"/>
  <c r="Y96" i="28" s="1"/>
  <c r="S96" i="28"/>
  <c r="Z96" i="28" s="1"/>
  <c r="T96" i="28"/>
  <c r="AA96" i="28" s="1"/>
  <c r="U96" i="28"/>
  <c r="AB96" i="28" s="1"/>
  <c r="Q97" i="28"/>
  <c r="X97" i="28" s="1"/>
  <c r="R97" i="28"/>
  <c r="Y97" i="28" s="1"/>
  <c r="S97" i="28"/>
  <c r="Z97" i="28" s="1"/>
  <c r="T97" i="28"/>
  <c r="AA97" i="28" s="1"/>
  <c r="U97" i="28"/>
  <c r="AB97" i="28" s="1"/>
  <c r="V97" i="28"/>
  <c r="AC97" i="28" s="1"/>
  <c r="Q98" i="28"/>
  <c r="X98" i="28" s="1"/>
  <c r="R98" i="28"/>
  <c r="Y98" i="28" s="1"/>
  <c r="S98" i="28"/>
  <c r="Z98" i="28" s="1"/>
  <c r="T98" i="28"/>
  <c r="AA98" i="28" s="1"/>
  <c r="U98" i="28"/>
  <c r="AB98" i="28" s="1"/>
  <c r="V98" i="28"/>
  <c r="AC98" i="28" s="1"/>
  <c r="Q99" i="28"/>
  <c r="X99" i="28" s="1"/>
  <c r="R99" i="28"/>
  <c r="Y99" i="28" s="1"/>
  <c r="S99" i="28"/>
  <c r="Z99" i="28" s="1"/>
  <c r="T99" i="28"/>
  <c r="AA99" i="28" s="1"/>
  <c r="U99" i="28"/>
  <c r="AB99" i="28" s="1"/>
  <c r="V99" i="28"/>
  <c r="AC99" i="28" s="1"/>
  <c r="Q100" i="28"/>
  <c r="X100" i="28" s="1"/>
  <c r="R100" i="28"/>
  <c r="Y100" i="28" s="1"/>
  <c r="S100" i="28"/>
  <c r="Z100" i="28" s="1"/>
  <c r="T100" i="28"/>
  <c r="AA100" i="28" s="1"/>
  <c r="U100" i="28"/>
  <c r="AB100" i="28" s="1"/>
  <c r="V100" i="28"/>
  <c r="AC100" i="28" s="1"/>
  <c r="Q101" i="28"/>
  <c r="X101" i="28" s="1"/>
  <c r="R101" i="28"/>
  <c r="Y101" i="28" s="1"/>
  <c r="S101" i="28"/>
  <c r="Z101" i="28" s="1"/>
  <c r="T101" i="28"/>
  <c r="AA101" i="28" s="1"/>
  <c r="U101" i="28"/>
  <c r="AB101" i="28" s="1"/>
  <c r="V101" i="28"/>
  <c r="AC101" i="28" s="1"/>
  <c r="Q102" i="28"/>
  <c r="X102" i="28" s="1"/>
  <c r="R102" i="28"/>
  <c r="Y102" i="28" s="1"/>
  <c r="S102" i="28"/>
  <c r="Z102" i="28" s="1"/>
  <c r="T102" i="28"/>
  <c r="AA102" i="28" s="1"/>
  <c r="U102" i="28"/>
  <c r="AB102" i="28" s="1"/>
  <c r="V102" i="28"/>
  <c r="AC102" i="28" s="1"/>
  <c r="Q103" i="28"/>
  <c r="X103" i="28" s="1"/>
  <c r="R103" i="28"/>
  <c r="Y103" i="28" s="1"/>
  <c r="S103" i="28"/>
  <c r="Z103" i="28" s="1"/>
  <c r="T103" i="28"/>
  <c r="AA103" i="28" s="1"/>
  <c r="U103" i="28"/>
  <c r="AB103" i="28" s="1"/>
  <c r="V103" i="28"/>
  <c r="AC103" i="28" s="1"/>
  <c r="Q104" i="28"/>
  <c r="X104" i="28" s="1"/>
  <c r="R104" i="28"/>
  <c r="Y104" i="28" s="1"/>
  <c r="S104" i="28"/>
  <c r="Z104" i="28" s="1"/>
  <c r="T104" i="28"/>
  <c r="AA104" i="28" s="1"/>
  <c r="U104" i="28"/>
  <c r="AB104" i="28" s="1"/>
  <c r="Q105" i="28"/>
  <c r="X105" i="28" s="1"/>
  <c r="R105" i="28"/>
  <c r="Y105" i="28" s="1"/>
  <c r="S105" i="28"/>
  <c r="Z105" i="28" s="1"/>
  <c r="T105" i="28"/>
  <c r="AA105" i="28" s="1"/>
  <c r="U105" i="28"/>
  <c r="AB105" i="28" s="1"/>
  <c r="V105" i="28"/>
  <c r="AC105" i="28" s="1"/>
  <c r="Q106" i="28"/>
  <c r="X106" i="28" s="1"/>
  <c r="R106" i="28"/>
  <c r="Y106" i="28" s="1"/>
  <c r="S106" i="28"/>
  <c r="Z106" i="28" s="1"/>
  <c r="T106" i="28"/>
  <c r="AA106" i="28" s="1"/>
  <c r="U106" i="28"/>
  <c r="AB106" i="28" s="1"/>
  <c r="V106" i="28"/>
  <c r="AC106" i="28" s="1"/>
  <c r="Q107" i="28"/>
  <c r="X107" i="28" s="1"/>
  <c r="R107" i="28"/>
  <c r="Y107" i="28" s="1"/>
  <c r="S107" i="28"/>
  <c r="Z107" i="28" s="1"/>
  <c r="T107" i="28"/>
  <c r="AA107" i="28" s="1"/>
  <c r="U107" i="28"/>
  <c r="AB107" i="28" s="1"/>
  <c r="V107" i="28"/>
  <c r="AC107" i="28" s="1"/>
  <c r="Q108" i="28"/>
  <c r="X108" i="28" s="1"/>
  <c r="R108" i="28"/>
  <c r="Y108" i="28" s="1"/>
  <c r="S108" i="28"/>
  <c r="Z108" i="28" s="1"/>
  <c r="T108" i="28"/>
  <c r="AA108" i="28" s="1"/>
  <c r="U108" i="28"/>
  <c r="AB108" i="28" s="1"/>
  <c r="V108" i="28"/>
  <c r="AC108" i="28" s="1"/>
  <c r="Q109" i="28"/>
  <c r="X109" i="28" s="1"/>
  <c r="R109" i="28"/>
  <c r="Y109" i="28" s="1"/>
  <c r="S109" i="28"/>
  <c r="Z109" i="28" s="1"/>
  <c r="T109" i="28"/>
  <c r="AA109" i="28" s="1"/>
  <c r="U109" i="28"/>
  <c r="AB109" i="28" s="1"/>
  <c r="V109" i="28"/>
  <c r="AC109" i="28" s="1"/>
  <c r="Q110" i="28"/>
  <c r="X110" i="28" s="1"/>
  <c r="R110" i="28"/>
  <c r="Y110" i="28" s="1"/>
  <c r="S110" i="28"/>
  <c r="Z110" i="28" s="1"/>
  <c r="T110" i="28"/>
  <c r="AA110" i="28" s="1"/>
  <c r="U110" i="28"/>
  <c r="AB110" i="28" s="1"/>
  <c r="V110" i="28"/>
  <c r="AC110" i="28" s="1"/>
  <c r="Q111" i="28"/>
  <c r="X111" i="28" s="1"/>
  <c r="R111" i="28"/>
  <c r="Y111" i="28" s="1"/>
  <c r="S111" i="28"/>
  <c r="Z111" i="28" s="1"/>
  <c r="T111" i="28"/>
  <c r="AA111" i="28" s="1"/>
  <c r="U111" i="28"/>
  <c r="AB111" i="28" s="1"/>
  <c r="V111" i="28"/>
  <c r="AC111" i="28" s="1"/>
  <c r="Q112" i="28"/>
  <c r="X112" i="28" s="1"/>
  <c r="R112" i="28"/>
  <c r="Y112" i="28" s="1"/>
  <c r="S112" i="28"/>
  <c r="Z112" i="28" s="1"/>
  <c r="T112" i="28"/>
  <c r="AA112" i="28" s="1"/>
  <c r="U112" i="28"/>
  <c r="AB112" i="28" s="1"/>
  <c r="Q113" i="28"/>
  <c r="X113" i="28" s="1"/>
  <c r="R113" i="28"/>
  <c r="Y113" i="28" s="1"/>
  <c r="S113" i="28"/>
  <c r="Z113" i="28" s="1"/>
  <c r="T113" i="28"/>
  <c r="AA113" i="28" s="1"/>
  <c r="U113" i="28"/>
  <c r="AB113" i="28" s="1"/>
  <c r="V113" i="28"/>
  <c r="AC113" i="28" s="1"/>
  <c r="Q114" i="28"/>
  <c r="X114" i="28" s="1"/>
  <c r="R114" i="28"/>
  <c r="Y114" i="28" s="1"/>
  <c r="S114" i="28"/>
  <c r="Z114" i="28" s="1"/>
  <c r="T114" i="28"/>
  <c r="AA114" i="28" s="1"/>
  <c r="U114" i="28"/>
  <c r="AB114" i="28" s="1"/>
  <c r="V114" i="28"/>
  <c r="AC114" i="28" s="1"/>
  <c r="Q115" i="28"/>
  <c r="X115" i="28" s="1"/>
  <c r="R115" i="28"/>
  <c r="Y115" i="28" s="1"/>
  <c r="S115" i="28"/>
  <c r="Z115" i="28" s="1"/>
  <c r="T115" i="28"/>
  <c r="AA115" i="28" s="1"/>
  <c r="U115" i="28"/>
  <c r="AB115" i="28" s="1"/>
  <c r="V115" i="28"/>
  <c r="AC115" i="28" s="1"/>
  <c r="Q116" i="28"/>
  <c r="X116" i="28" s="1"/>
  <c r="R116" i="28"/>
  <c r="Y116" i="28" s="1"/>
  <c r="S116" i="28"/>
  <c r="Z116" i="28" s="1"/>
  <c r="T116" i="28"/>
  <c r="AA116" i="28" s="1"/>
  <c r="U116" i="28"/>
  <c r="AB116" i="28" s="1"/>
  <c r="V116" i="28"/>
  <c r="AC116" i="28" s="1"/>
  <c r="Q117" i="28"/>
  <c r="X117" i="28" s="1"/>
  <c r="R117" i="28"/>
  <c r="Y117" i="28" s="1"/>
  <c r="S117" i="28"/>
  <c r="Z117" i="28" s="1"/>
  <c r="T117" i="28"/>
  <c r="AA117" i="28" s="1"/>
  <c r="U117" i="28"/>
  <c r="AB117" i="28" s="1"/>
  <c r="V117" i="28"/>
  <c r="AC117" i="28" s="1"/>
  <c r="Q118" i="28"/>
  <c r="X118" i="28" s="1"/>
  <c r="R118" i="28"/>
  <c r="Y118" i="28" s="1"/>
  <c r="S118" i="28"/>
  <c r="Z118" i="28" s="1"/>
  <c r="T118" i="28"/>
  <c r="AA118" i="28" s="1"/>
  <c r="U118" i="28"/>
  <c r="AB118" i="28" s="1"/>
  <c r="V118" i="28"/>
  <c r="AC118" i="28" s="1"/>
  <c r="Q119" i="28"/>
  <c r="X119" i="28" s="1"/>
  <c r="R119" i="28"/>
  <c r="Y119" i="28" s="1"/>
  <c r="S119" i="28"/>
  <c r="Z119" i="28" s="1"/>
  <c r="T119" i="28"/>
  <c r="AA119" i="28" s="1"/>
  <c r="U119" i="28"/>
  <c r="AB119" i="28" s="1"/>
  <c r="V119" i="28"/>
  <c r="AC119" i="28" s="1"/>
  <c r="Q120" i="28"/>
  <c r="X120" i="28" s="1"/>
  <c r="R120" i="28"/>
  <c r="Y120" i="28" s="1"/>
  <c r="S120" i="28"/>
  <c r="Z120" i="28" s="1"/>
  <c r="T120" i="28"/>
  <c r="AA120" i="28" s="1"/>
  <c r="U120" i="28"/>
  <c r="AB120" i="28" s="1"/>
  <c r="Q121" i="28"/>
  <c r="X121" i="28" s="1"/>
  <c r="R121" i="28"/>
  <c r="Y121" i="28" s="1"/>
  <c r="S121" i="28"/>
  <c r="Z121" i="28" s="1"/>
  <c r="T121" i="28"/>
  <c r="AA121" i="28" s="1"/>
  <c r="U121" i="28"/>
  <c r="AB121" i="28" s="1"/>
  <c r="V121" i="28"/>
  <c r="AC121" i="28" s="1"/>
  <c r="Q122" i="28"/>
  <c r="X122" i="28" s="1"/>
  <c r="R122" i="28"/>
  <c r="Y122" i="28" s="1"/>
  <c r="S122" i="28"/>
  <c r="Z122" i="28" s="1"/>
  <c r="T122" i="28"/>
  <c r="AA122" i="28" s="1"/>
  <c r="U122" i="28"/>
  <c r="AB122" i="28" s="1"/>
  <c r="V122" i="28"/>
  <c r="AC122" i="28" s="1"/>
  <c r="Q123" i="28"/>
  <c r="X123" i="28" s="1"/>
  <c r="R123" i="28"/>
  <c r="Y123" i="28" s="1"/>
  <c r="S123" i="28"/>
  <c r="Z123" i="28" s="1"/>
  <c r="T123" i="28"/>
  <c r="AA123" i="28" s="1"/>
  <c r="U123" i="28"/>
  <c r="AB123" i="28" s="1"/>
  <c r="V123" i="28"/>
  <c r="AC123" i="28" s="1"/>
  <c r="Q124" i="28"/>
  <c r="X124" i="28" s="1"/>
  <c r="R124" i="28"/>
  <c r="Y124" i="28" s="1"/>
  <c r="S124" i="28"/>
  <c r="Z124" i="28" s="1"/>
  <c r="T124" i="28"/>
  <c r="AA124" i="28" s="1"/>
  <c r="U124" i="28"/>
  <c r="AB124" i="28" s="1"/>
  <c r="V124" i="28"/>
  <c r="AC124" i="28" s="1"/>
  <c r="Q125" i="28"/>
  <c r="X125" i="28" s="1"/>
  <c r="R125" i="28"/>
  <c r="Y125" i="28" s="1"/>
  <c r="S125" i="28"/>
  <c r="Z125" i="28" s="1"/>
  <c r="T125" i="28"/>
  <c r="AA125" i="28" s="1"/>
  <c r="U125" i="28"/>
  <c r="AB125" i="28" s="1"/>
  <c r="V125" i="28"/>
  <c r="AC125" i="28" s="1"/>
  <c r="Q126" i="28"/>
  <c r="X126" i="28" s="1"/>
  <c r="R126" i="28"/>
  <c r="Y126" i="28" s="1"/>
  <c r="S126" i="28"/>
  <c r="Z126" i="28" s="1"/>
  <c r="T126" i="28"/>
  <c r="AA126" i="28" s="1"/>
  <c r="U126" i="28"/>
  <c r="AB126" i="28" s="1"/>
  <c r="V126" i="28"/>
  <c r="AC126" i="28" s="1"/>
  <c r="Q127" i="28"/>
  <c r="X127" i="28" s="1"/>
  <c r="R127" i="28"/>
  <c r="Y127" i="28" s="1"/>
  <c r="S127" i="28"/>
  <c r="Z127" i="28" s="1"/>
  <c r="T127" i="28"/>
  <c r="AA127" i="28" s="1"/>
  <c r="U127" i="28"/>
  <c r="AB127" i="28" s="1"/>
  <c r="V127" i="28"/>
  <c r="AC127" i="28" s="1"/>
  <c r="Q128" i="28"/>
  <c r="X128" i="28" s="1"/>
  <c r="R128" i="28"/>
  <c r="Y128" i="28" s="1"/>
  <c r="S128" i="28"/>
  <c r="Z128" i="28" s="1"/>
  <c r="T128" i="28"/>
  <c r="AA128" i="28" s="1"/>
  <c r="U128" i="28"/>
  <c r="AB128" i="28" s="1"/>
  <c r="Q129" i="28"/>
  <c r="X129" i="28" s="1"/>
  <c r="R129" i="28"/>
  <c r="Y129" i="28" s="1"/>
  <c r="S129" i="28"/>
  <c r="Z129" i="28" s="1"/>
  <c r="T129" i="28"/>
  <c r="AA129" i="28" s="1"/>
  <c r="U129" i="28"/>
  <c r="AB129" i="28" s="1"/>
  <c r="V129" i="28"/>
  <c r="AC129" i="28" s="1"/>
  <c r="Q130" i="28"/>
  <c r="X130" i="28" s="1"/>
  <c r="R130" i="28"/>
  <c r="Y130" i="28" s="1"/>
  <c r="S130" i="28"/>
  <c r="Z130" i="28" s="1"/>
  <c r="T130" i="28"/>
  <c r="AA130" i="28" s="1"/>
  <c r="U130" i="28"/>
  <c r="AB130" i="28" s="1"/>
  <c r="V130" i="28"/>
  <c r="AC130" i="28" s="1"/>
  <c r="Q131" i="28"/>
  <c r="X131" i="28" s="1"/>
  <c r="R131" i="28"/>
  <c r="Y131" i="28" s="1"/>
  <c r="S131" i="28"/>
  <c r="Z131" i="28" s="1"/>
  <c r="T131" i="28"/>
  <c r="AA131" i="28" s="1"/>
  <c r="U131" i="28"/>
  <c r="AB131" i="28" s="1"/>
  <c r="V131" i="28"/>
  <c r="AC131" i="28" s="1"/>
  <c r="Q132" i="28"/>
  <c r="X132" i="28" s="1"/>
  <c r="R132" i="28"/>
  <c r="Y132" i="28" s="1"/>
  <c r="S132" i="28"/>
  <c r="Z132" i="28" s="1"/>
  <c r="T132" i="28"/>
  <c r="AA132" i="28" s="1"/>
  <c r="U132" i="28"/>
  <c r="AB132" i="28" s="1"/>
  <c r="V132" i="28"/>
  <c r="AC132" i="28" s="1"/>
  <c r="Q133" i="28"/>
  <c r="X133" i="28" s="1"/>
  <c r="R133" i="28"/>
  <c r="Y133" i="28" s="1"/>
  <c r="S133" i="28"/>
  <c r="Z133" i="28" s="1"/>
  <c r="T133" i="28"/>
  <c r="AA133" i="28" s="1"/>
  <c r="U133" i="28"/>
  <c r="AB133" i="28" s="1"/>
  <c r="V133" i="28"/>
  <c r="AC133" i="28" s="1"/>
  <c r="Q134" i="28"/>
  <c r="X134" i="28" s="1"/>
  <c r="R134" i="28"/>
  <c r="Y134" i="28" s="1"/>
  <c r="S134" i="28"/>
  <c r="Z134" i="28" s="1"/>
  <c r="T134" i="28"/>
  <c r="AA134" i="28" s="1"/>
  <c r="U134" i="28"/>
  <c r="AB134" i="28" s="1"/>
  <c r="V134" i="28"/>
  <c r="AC134" i="28" s="1"/>
  <c r="Q135" i="28"/>
  <c r="X135" i="28" s="1"/>
  <c r="R135" i="28"/>
  <c r="Y135" i="28" s="1"/>
  <c r="S135" i="28"/>
  <c r="Z135" i="28" s="1"/>
  <c r="T135" i="28"/>
  <c r="AA135" i="28" s="1"/>
  <c r="U135" i="28"/>
  <c r="AB135" i="28" s="1"/>
  <c r="V135" i="28"/>
  <c r="AC135" i="28" s="1"/>
  <c r="Q136" i="28"/>
  <c r="X136" i="28" s="1"/>
  <c r="R136" i="28"/>
  <c r="Y136" i="28" s="1"/>
  <c r="S136" i="28"/>
  <c r="Z136" i="28" s="1"/>
  <c r="T136" i="28"/>
  <c r="AA136" i="28" s="1"/>
  <c r="U136" i="28"/>
  <c r="AB136" i="28" s="1"/>
  <c r="Q137" i="28"/>
  <c r="X137" i="28" s="1"/>
  <c r="R137" i="28"/>
  <c r="Y137" i="28" s="1"/>
  <c r="S137" i="28"/>
  <c r="Z137" i="28" s="1"/>
  <c r="T137" i="28"/>
  <c r="AA137" i="28" s="1"/>
  <c r="U137" i="28"/>
  <c r="AB137" i="28" s="1"/>
  <c r="V137" i="28"/>
  <c r="AC137" i="28" s="1"/>
  <c r="Q138" i="28"/>
  <c r="X138" i="28" s="1"/>
  <c r="R138" i="28"/>
  <c r="Y138" i="28" s="1"/>
  <c r="S138" i="28"/>
  <c r="Z138" i="28" s="1"/>
  <c r="T138" i="28"/>
  <c r="AA138" i="28" s="1"/>
  <c r="U138" i="28"/>
  <c r="AB138" i="28" s="1"/>
  <c r="V138" i="28"/>
  <c r="AC138" i="28" s="1"/>
  <c r="Q139" i="28"/>
  <c r="X139" i="28" s="1"/>
  <c r="R139" i="28"/>
  <c r="Y139" i="28" s="1"/>
  <c r="S139" i="28"/>
  <c r="Z139" i="28" s="1"/>
  <c r="T139" i="28"/>
  <c r="AA139" i="28" s="1"/>
  <c r="U139" i="28"/>
  <c r="AB139" i="28" s="1"/>
  <c r="V139" i="28"/>
  <c r="AC139" i="28" s="1"/>
  <c r="Q140" i="28"/>
  <c r="X140" i="28" s="1"/>
  <c r="R140" i="28"/>
  <c r="Y140" i="28" s="1"/>
  <c r="S140" i="28"/>
  <c r="Z140" i="28" s="1"/>
  <c r="T140" i="28"/>
  <c r="AA140" i="28" s="1"/>
  <c r="U140" i="28"/>
  <c r="AB140" i="28" s="1"/>
  <c r="V140" i="28"/>
  <c r="AC140" i="28" s="1"/>
  <c r="Q141" i="28"/>
  <c r="X141" i="28" s="1"/>
  <c r="R141" i="28"/>
  <c r="Y141" i="28" s="1"/>
  <c r="S141" i="28"/>
  <c r="Z141" i="28" s="1"/>
  <c r="T141" i="28"/>
  <c r="AA141" i="28" s="1"/>
  <c r="U141" i="28"/>
  <c r="AB141" i="28" s="1"/>
  <c r="V141" i="28"/>
  <c r="AC141" i="28" s="1"/>
  <c r="Q142" i="28"/>
  <c r="X142" i="28" s="1"/>
  <c r="R142" i="28"/>
  <c r="Y142" i="28" s="1"/>
  <c r="S142" i="28"/>
  <c r="Z142" i="28" s="1"/>
  <c r="T142" i="28"/>
  <c r="AA142" i="28" s="1"/>
  <c r="U142" i="28"/>
  <c r="AB142" i="28" s="1"/>
  <c r="V142" i="28"/>
  <c r="AC142" i="28" s="1"/>
  <c r="Q143" i="28"/>
  <c r="X143" i="28" s="1"/>
  <c r="R143" i="28"/>
  <c r="Y143" i="28" s="1"/>
  <c r="S143" i="28"/>
  <c r="Z143" i="28" s="1"/>
  <c r="T143" i="28"/>
  <c r="AA143" i="28" s="1"/>
  <c r="U143" i="28"/>
  <c r="AB143" i="28" s="1"/>
  <c r="V143" i="28"/>
  <c r="AC143" i="28" s="1"/>
  <c r="Q144" i="28"/>
  <c r="X144" i="28" s="1"/>
  <c r="R144" i="28"/>
  <c r="Y144" i="28" s="1"/>
  <c r="S144" i="28"/>
  <c r="Z144" i="28" s="1"/>
  <c r="T144" i="28"/>
  <c r="AA144" i="28" s="1"/>
  <c r="U144" i="28"/>
  <c r="AB144" i="28" s="1"/>
  <c r="Q145" i="28"/>
  <c r="X145" i="28" s="1"/>
  <c r="R145" i="28"/>
  <c r="Y145" i="28" s="1"/>
  <c r="S145" i="28"/>
  <c r="Z145" i="28" s="1"/>
  <c r="T145" i="28"/>
  <c r="AA145" i="28" s="1"/>
  <c r="U145" i="28"/>
  <c r="AB145" i="28" s="1"/>
  <c r="V145" i="28"/>
  <c r="AC145" i="28" s="1"/>
  <c r="Q146" i="28"/>
  <c r="X146" i="28" s="1"/>
  <c r="R146" i="28"/>
  <c r="Y146" i="28" s="1"/>
  <c r="S146" i="28"/>
  <c r="Z146" i="28" s="1"/>
  <c r="T146" i="28"/>
  <c r="AA146" i="28" s="1"/>
  <c r="U146" i="28"/>
  <c r="AB146" i="28" s="1"/>
  <c r="V146" i="28"/>
  <c r="AC146" i="28" s="1"/>
  <c r="Q147" i="28"/>
  <c r="X147" i="28" s="1"/>
  <c r="R147" i="28"/>
  <c r="Y147" i="28" s="1"/>
  <c r="S147" i="28"/>
  <c r="Z147" i="28" s="1"/>
  <c r="T147" i="28"/>
  <c r="AA147" i="28" s="1"/>
  <c r="U147" i="28"/>
  <c r="AB147" i="28" s="1"/>
  <c r="V147" i="28"/>
  <c r="AC147" i="28" s="1"/>
  <c r="Q148" i="28"/>
  <c r="X148" i="28" s="1"/>
  <c r="R148" i="28"/>
  <c r="Y148" i="28" s="1"/>
  <c r="S148" i="28"/>
  <c r="Z148" i="28" s="1"/>
  <c r="T148" i="28"/>
  <c r="AA148" i="28" s="1"/>
  <c r="U148" i="28"/>
  <c r="AB148" i="28" s="1"/>
  <c r="V148" i="28"/>
  <c r="AC148" i="28" s="1"/>
  <c r="Q149" i="28"/>
  <c r="X149" i="28" s="1"/>
  <c r="R149" i="28"/>
  <c r="Y149" i="28" s="1"/>
  <c r="S149" i="28"/>
  <c r="Z149" i="28" s="1"/>
  <c r="T149" i="28"/>
  <c r="AA149" i="28" s="1"/>
  <c r="U149" i="28"/>
  <c r="AB149" i="28" s="1"/>
  <c r="V149" i="28"/>
  <c r="AC149" i="28" s="1"/>
  <c r="Q150" i="28"/>
  <c r="X150" i="28" s="1"/>
  <c r="R150" i="28"/>
  <c r="Y150" i="28" s="1"/>
  <c r="S150" i="28"/>
  <c r="Z150" i="28" s="1"/>
  <c r="T150" i="28"/>
  <c r="AA150" i="28" s="1"/>
  <c r="U150" i="28"/>
  <c r="AB150" i="28" s="1"/>
  <c r="V150" i="28"/>
  <c r="AC150" i="28" s="1"/>
  <c r="Q151" i="28"/>
  <c r="X151" i="28" s="1"/>
  <c r="R151" i="28"/>
  <c r="Y151" i="28" s="1"/>
  <c r="S151" i="28"/>
  <c r="Z151" i="28" s="1"/>
  <c r="T151" i="28"/>
  <c r="AA151" i="28" s="1"/>
  <c r="U151" i="28"/>
  <c r="AB151" i="28" s="1"/>
  <c r="V151" i="28"/>
  <c r="AC151" i="28" s="1"/>
  <c r="Q152" i="28"/>
  <c r="X152" i="28" s="1"/>
  <c r="R152" i="28"/>
  <c r="Y152" i="28" s="1"/>
  <c r="S152" i="28"/>
  <c r="Z152" i="28" s="1"/>
  <c r="T152" i="28"/>
  <c r="AA152" i="28" s="1"/>
  <c r="U152" i="28"/>
  <c r="AB152" i="28" s="1"/>
  <c r="Q153" i="28"/>
  <c r="X153" i="28" s="1"/>
  <c r="R153" i="28"/>
  <c r="Y153" i="28" s="1"/>
  <c r="S153" i="28"/>
  <c r="Z153" i="28" s="1"/>
  <c r="T153" i="28"/>
  <c r="AA153" i="28" s="1"/>
  <c r="U153" i="28"/>
  <c r="AB153" i="28" s="1"/>
  <c r="V153" i="28"/>
  <c r="AC153" i="28" s="1"/>
  <c r="Q154" i="28"/>
  <c r="X154" i="28" s="1"/>
  <c r="R154" i="28"/>
  <c r="Y154" i="28" s="1"/>
  <c r="S154" i="28"/>
  <c r="Z154" i="28" s="1"/>
  <c r="T154" i="28"/>
  <c r="AA154" i="28" s="1"/>
  <c r="U154" i="28"/>
  <c r="AB154" i="28" s="1"/>
  <c r="V154" i="28"/>
  <c r="AC154" i="28" s="1"/>
  <c r="Q155" i="28"/>
  <c r="X155" i="28" s="1"/>
  <c r="R155" i="28"/>
  <c r="Y155" i="28" s="1"/>
  <c r="S155" i="28"/>
  <c r="Z155" i="28" s="1"/>
  <c r="T155" i="28"/>
  <c r="AA155" i="28" s="1"/>
  <c r="U155" i="28"/>
  <c r="AB155" i="28" s="1"/>
  <c r="V155" i="28"/>
  <c r="AC155" i="28" s="1"/>
  <c r="Q156" i="28"/>
  <c r="X156" i="28" s="1"/>
  <c r="R156" i="28"/>
  <c r="Y156" i="28" s="1"/>
  <c r="S156" i="28"/>
  <c r="Z156" i="28" s="1"/>
  <c r="T156" i="28"/>
  <c r="AA156" i="28" s="1"/>
  <c r="U156" i="28"/>
  <c r="AB156" i="28" s="1"/>
  <c r="V156" i="28"/>
  <c r="AC156" i="28" s="1"/>
  <c r="Q157" i="28"/>
  <c r="X157" i="28" s="1"/>
  <c r="R157" i="28"/>
  <c r="Y157" i="28" s="1"/>
  <c r="S157" i="28"/>
  <c r="Z157" i="28" s="1"/>
  <c r="T157" i="28"/>
  <c r="AA157" i="28" s="1"/>
  <c r="U157" i="28"/>
  <c r="AB157" i="28" s="1"/>
  <c r="V157" i="28"/>
  <c r="AC157" i="28" s="1"/>
  <c r="Q158" i="28"/>
  <c r="X158" i="28" s="1"/>
  <c r="R158" i="28"/>
  <c r="Y158" i="28" s="1"/>
  <c r="S158" i="28"/>
  <c r="Z158" i="28" s="1"/>
  <c r="T158" i="28"/>
  <c r="AA158" i="28" s="1"/>
  <c r="U158" i="28"/>
  <c r="AB158" i="28" s="1"/>
  <c r="V158" i="28"/>
  <c r="AC158" i="28" s="1"/>
  <c r="Q159" i="28"/>
  <c r="X159" i="28" s="1"/>
  <c r="R159" i="28"/>
  <c r="Y159" i="28" s="1"/>
  <c r="S159" i="28"/>
  <c r="Z159" i="28" s="1"/>
  <c r="T159" i="28"/>
  <c r="AA159" i="28" s="1"/>
  <c r="U159" i="28"/>
  <c r="AB159" i="28" s="1"/>
  <c r="V159" i="28"/>
  <c r="AC159" i="28" s="1"/>
  <c r="Q160" i="28"/>
  <c r="X160" i="28" s="1"/>
  <c r="R160" i="28"/>
  <c r="Y160" i="28" s="1"/>
  <c r="S160" i="28"/>
  <c r="Z160" i="28" s="1"/>
  <c r="T160" i="28"/>
  <c r="AA160" i="28" s="1"/>
  <c r="U160" i="28"/>
  <c r="AB160" i="28" s="1"/>
  <c r="Q161" i="28"/>
  <c r="X161" i="28" s="1"/>
  <c r="R161" i="28"/>
  <c r="Y161" i="28" s="1"/>
  <c r="S161" i="28"/>
  <c r="Z161" i="28" s="1"/>
  <c r="T161" i="28"/>
  <c r="AA161" i="28" s="1"/>
  <c r="U161" i="28"/>
  <c r="AB161" i="28" s="1"/>
  <c r="V161" i="28"/>
  <c r="AC161" i="28" s="1"/>
  <c r="Q162" i="28"/>
  <c r="X162" i="28" s="1"/>
  <c r="R162" i="28"/>
  <c r="Y162" i="28" s="1"/>
  <c r="S162" i="28"/>
  <c r="Z162" i="28" s="1"/>
  <c r="T162" i="28"/>
  <c r="AA162" i="28" s="1"/>
  <c r="U162" i="28"/>
  <c r="AB162" i="28" s="1"/>
  <c r="V162" i="28"/>
  <c r="AC162" i="28" s="1"/>
  <c r="Q163" i="28"/>
  <c r="X163" i="28" s="1"/>
  <c r="R163" i="28"/>
  <c r="Y163" i="28" s="1"/>
  <c r="S163" i="28"/>
  <c r="Z163" i="28" s="1"/>
  <c r="T163" i="28"/>
  <c r="AA163" i="28" s="1"/>
  <c r="U163" i="28"/>
  <c r="AB163" i="28" s="1"/>
  <c r="V163" i="28"/>
  <c r="AC163" i="28" s="1"/>
  <c r="Q164" i="28"/>
  <c r="X164" i="28" s="1"/>
  <c r="R164" i="28"/>
  <c r="Y164" i="28" s="1"/>
  <c r="S164" i="28"/>
  <c r="Z164" i="28" s="1"/>
  <c r="T164" i="28"/>
  <c r="AA164" i="28" s="1"/>
  <c r="U164" i="28"/>
  <c r="AB164" i="28" s="1"/>
  <c r="V164" i="28"/>
  <c r="AC164" i="28" s="1"/>
  <c r="Q165" i="28"/>
  <c r="X165" i="28" s="1"/>
  <c r="R165" i="28"/>
  <c r="Y165" i="28" s="1"/>
  <c r="S165" i="28"/>
  <c r="Z165" i="28" s="1"/>
  <c r="T165" i="28"/>
  <c r="AA165" i="28" s="1"/>
  <c r="U165" i="28"/>
  <c r="AB165" i="28" s="1"/>
  <c r="V165" i="28"/>
  <c r="AC165" i="28" s="1"/>
  <c r="Q166" i="28"/>
  <c r="X166" i="28" s="1"/>
  <c r="R166" i="28"/>
  <c r="Y166" i="28" s="1"/>
  <c r="S166" i="28"/>
  <c r="Z166" i="28" s="1"/>
  <c r="T166" i="28"/>
  <c r="AA166" i="28" s="1"/>
  <c r="U166" i="28"/>
  <c r="AB166" i="28" s="1"/>
  <c r="V166" i="28"/>
  <c r="AC166" i="28" s="1"/>
  <c r="Q167" i="28"/>
  <c r="X167" i="28" s="1"/>
  <c r="R167" i="28"/>
  <c r="Y167" i="28" s="1"/>
  <c r="S167" i="28"/>
  <c r="Z167" i="28" s="1"/>
  <c r="T167" i="28"/>
  <c r="AA167" i="28" s="1"/>
  <c r="U167" i="28"/>
  <c r="AB167" i="28" s="1"/>
  <c r="V167" i="28"/>
  <c r="AC167" i="28" s="1"/>
  <c r="Q168" i="28"/>
  <c r="X168" i="28" s="1"/>
  <c r="R168" i="28"/>
  <c r="Y168" i="28" s="1"/>
  <c r="S168" i="28"/>
  <c r="Z168" i="28" s="1"/>
  <c r="T168" i="28"/>
  <c r="AA168" i="28" s="1"/>
  <c r="U168" i="28"/>
  <c r="AB168" i="28" s="1"/>
  <c r="Q169" i="28"/>
  <c r="X169" i="28" s="1"/>
  <c r="R169" i="28"/>
  <c r="Y169" i="28" s="1"/>
  <c r="S169" i="28"/>
  <c r="Z169" i="28" s="1"/>
  <c r="T169" i="28"/>
  <c r="AA169" i="28" s="1"/>
  <c r="U169" i="28"/>
  <c r="AB169" i="28" s="1"/>
  <c r="V169" i="28"/>
  <c r="AC169" i="28" s="1"/>
  <c r="Q170" i="28"/>
  <c r="X170" i="28" s="1"/>
  <c r="R170" i="28"/>
  <c r="Y170" i="28" s="1"/>
  <c r="S170" i="28"/>
  <c r="Z170" i="28" s="1"/>
  <c r="T170" i="28"/>
  <c r="AA170" i="28" s="1"/>
  <c r="U170" i="28"/>
  <c r="AB170" i="28" s="1"/>
  <c r="V170" i="28"/>
  <c r="AC170" i="28" s="1"/>
  <c r="Q171" i="28"/>
  <c r="X171" i="28" s="1"/>
  <c r="R171" i="28"/>
  <c r="Y171" i="28" s="1"/>
  <c r="S171" i="28"/>
  <c r="Z171" i="28" s="1"/>
  <c r="T171" i="28"/>
  <c r="AA171" i="28" s="1"/>
  <c r="U171" i="28"/>
  <c r="AB171" i="28" s="1"/>
  <c r="V171" i="28"/>
  <c r="AC171" i="28" s="1"/>
  <c r="Q172" i="28"/>
  <c r="X172" i="28" s="1"/>
  <c r="R172" i="28"/>
  <c r="Y172" i="28" s="1"/>
  <c r="S172" i="28"/>
  <c r="Z172" i="28" s="1"/>
  <c r="T172" i="28"/>
  <c r="AA172" i="28" s="1"/>
  <c r="U172" i="28"/>
  <c r="AB172" i="28" s="1"/>
  <c r="V172" i="28"/>
  <c r="AC172" i="28" s="1"/>
  <c r="Q173" i="28"/>
  <c r="X173" i="28" s="1"/>
  <c r="R173" i="28"/>
  <c r="Y173" i="28" s="1"/>
  <c r="S173" i="28"/>
  <c r="Z173" i="28" s="1"/>
  <c r="T173" i="28"/>
  <c r="AA173" i="28" s="1"/>
  <c r="U173" i="28"/>
  <c r="AB173" i="28" s="1"/>
  <c r="V173" i="28"/>
  <c r="AC173" i="28" s="1"/>
  <c r="Q174" i="28"/>
  <c r="X174" i="28" s="1"/>
  <c r="R174" i="28"/>
  <c r="Y174" i="28" s="1"/>
  <c r="S174" i="28"/>
  <c r="Z174" i="28" s="1"/>
  <c r="T174" i="28"/>
  <c r="AA174" i="28" s="1"/>
  <c r="U174" i="28"/>
  <c r="AB174" i="28" s="1"/>
  <c r="V174" i="28"/>
  <c r="AC174" i="28" s="1"/>
  <c r="Q175" i="28"/>
  <c r="X175" i="28" s="1"/>
  <c r="R175" i="28"/>
  <c r="Y175" i="28" s="1"/>
  <c r="S175" i="28"/>
  <c r="Z175" i="28" s="1"/>
  <c r="T175" i="28"/>
  <c r="AA175" i="28" s="1"/>
  <c r="U175" i="28"/>
  <c r="AB175" i="28" s="1"/>
  <c r="V175" i="28"/>
  <c r="AC175" i="28" s="1"/>
  <c r="Q176" i="28"/>
  <c r="X176" i="28" s="1"/>
  <c r="R176" i="28"/>
  <c r="Y176" i="28" s="1"/>
  <c r="S176" i="28"/>
  <c r="Z176" i="28" s="1"/>
  <c r="T176" i="28"/>
  <c r="AA176" i="28" s="1"/>
  <c r="U176" i="28"/>
  <c r="AB176" i="28" s="1"/>
  <c r="Q177" i="28"/>
  <c r="X177" i="28" s="1"/>
  <c r="R177" i="28"/>
  <c r="Y177" i="28" s="1"/>
  <c r="S177" i="28"/>
  <c r="Z177" i="28" s="1"/>
  <c r="T177" i="28"/>
  <c r="AA177" i="28" s="1"/>
  <c r="U177" i="28"/>
  <c r="AB177" i="28" s="1"/>
  <c r="V177" i="28"/>
  <c r="AC177" i="28" s="1"/>
  <c r="Q178" i="28"/>
  <c r="X178" i="28" s="1"/>
  <c r="R178" i="28"/>
  <c r="Y178" i="28" s="1"/>
  <c r="S178" i="28"/>
  <c r="Z178" i="28" s="1"/>
  <c r="T178" i="28"/>
  <c r="AA178" i="28" s="1"/>
  <c r="U178" i="28"/>
  <c r="AB178" i="28" s="1"/>
  <c r="V178" i="28"/>
  <c r="AC178" i="28" s="1"/>
  <c r="Q179" i="28"/>
  <c r="X179" i="28" s="1"/>
  <c r="R179" i="28"/>
  <c r="Y179" i="28" s="1"/>
  <c r="S179" i="28"/>
  <c r="Z179" i="28" s="1"/>
  <c r="T179" i="28"/>
  <c r="AA179" i="28" s="1"/>
  <c r="U179" i="28"/>
  <c r="AB179" i="28" s="1"/>
  <c r="V179" i="28"/>
  <c r="AC179" i="28" s="1"/>
  <c r="Q180" i="28"/>
  <c r="X180" i="28" s="1"/>
  <c r="R180" i="28"/>
  <c r="Y180" i="28" s="1"/>
  <c r="S180" i="28"/>
  <c r="Z180" i="28" s="1"/>
  <c r="T180" i="28"/>
  <c r="AA180" i="28" s="1"/>
  <c r="U180" i="28"/>
  <c r="AB180" i="28" s="1"/>
  <c r="V180" i="28"/>
  <c r="AC180" i="28" s="1"/>
  <c r="Q181" i="28"/>
  <c r="X181" i="28" s="1"/>
  <c r="R181" i="28"/>
  <c r="Y181" i="28" s="1"/>
  <c r="S181" i="28"/>
  <c r="Z181" i="28" s="1"/>
  <c r="T181" i="28"/>
  <c r="AA181" i="28" s="1"/>
  <c r="U181" i="28"/>
  <c r="AB181" i="28" s="1"/>
  <c r="V181" i="28"/>
  <c r="AC181" i="28" s="1"/>
  <c r="Q182" i="28"/>
  <c r="X182" i="28" s="1"/>
  <c r="R182" i="28"/>
  <c r="Y182" i="28" s="1"/>
  <c r="S182" i="28"/>
  <c r="Z182" i="28" s="1"/>
  <c r="T182" i="28"/>
  <c r="AA182" i="28" s="1"/>
  <c r="U182" i="28"/>
  <c r="AB182" i="28" s="1"/>
  <c r="V182" i="28"/>
  <c r="AC182" i="28" s="1"/>
  <c r="Q183" i="28"/>
  <c r="X183" i="28" s="1"/>
  <c r="R183" i="28"/>
  <c r="Y183" i="28" s="1"/>
  <c r="S183" i="28"/>
  <c r="Z183" i="28" s="1"/>
  <c r="T183" i="28"/>
  <c r="AA183" i="28" s="1"/>
  <c r="U183" i="28"/>
  <c r="AB183" i="28" s="1"/>
  <c r="V183" i="28"/>
  <c r="AC183" i="28" s="1"/>
  <c r="Q184" i="28"/>
  <c r="X184" i="28" s="1"/>
  <c r="R184" i="28"/>
  <c r="Y184" i="28" s="1"/>
  <c r="S184" i="28"/>
  <c r="Z184" i="28" s="1"/>
  <c r="T184" i="28"/>
  <c r="AA184" i="28" s="1"/>
  <c r="U184" i="28"/>
  <c r="AB184" i="28" s="1"/>
  <c r="Q185" i="28"/>
  <c r="X185" i="28" s="1"/>
  <c r="R185" i="28"/>
  <c r="Y185" i="28" s="1"/>
  <c r="S185" i="28"/>
  <c r="Z185" i="28" s="1"/>
  <c r="T185" i="28"/>
  <c r="AA185" i="28" s="1"/>
  <c r="U185" i="28"/>
  <c r="AB185" i="28" s="1"/>
  <c r="V185" i="28"/>
  <c r="AC185" i="28" s="1"/>
  <c r="Q186" i="28"/>
  <c r="X186" i="28" s="1"/>
  <c r="R186" i="28"/>
  <c r="Y186" i="28" s="1"/>
  <c r="S186" i="28"/>
  <c r="Z186" i="28" s="1"/>
  <c r="T186" i="28"/>
  <c r="AA186" i="28" s="1"/>
  <c r="U186" i="28"/>
  <c r="AB186" i="28" s="1"/>
  <c r="V186" i="28"/>
  <c r="AC186" i="28" s="1"/>
  <c r="Q187" i="28"/>
  <c r="X187" i="28" s="1"/>
  <c r="R187" i="28"/>
  <c r="Y187" i="28" s="1"/>
  <c r="S187" i="28"/>
  <c r="Z187" i="28" s="1"/>
  <c r="T187" i="28"/>
  <c r="AA187" i="28" s="1"/>
  <c r="U187" i="28"/>
  <c r="AB187" i="28" s="1"/>
  <c r="V187" i="28"/>
  <c r="AC187" i="28" s="1"/>
  <c r="Q188" i="28"/>
  <c r="X188" i="28" s="1"/>
  <c r="R188" i="28"/>
  <c r="Y188" i="28" s="1"/>
  <c r="S188" i="28"/>
  <c r="Z188" i="28" s="1"/>
  <c r="T188" i="28"/>
  <c r="AA188" i="28" s="1"/>
  <c r="U188" i="28"/>
  <c r="AB188" i="28" s="1"/>
  <c r="V188" i="28"/>
  <c r="AC188" i="28" s="1"/>
  <c r="Q189" i="28"/>
  <c r="X189" i="28" s="1"/>
  <c r="R189" i="28"/>
  <c r="Y189" i="28" s="1"/>
  <c r="S189" i="28"/>
  <c r="Z189" i="28" s="1"/>
  <c r="T189" i="28"/>
  <c r="AA189" i="28" s="1"/>
  <c r="U189" i="28"/>
  <c r="AB189" i="28" s="1"/>
  <c r="V189" i="28"/>
  <c r="AC189" i="28" s="1"/>
  <c r="Q190" i="28"/>
  <c r="X190" i="28" s="1"/>
  <c r="R190" i="28"/>
  <c r="Y190" i="28" s="1"/>
  <c r="S190" i="28"/>
  <c r="Z190" i="28" s="1"/>
  <c r="T190" i="28"/>
  <c r="AA190" i="28" s="1"/>
  <c r="U190" i="28"/>
  <c r="AB190" i="28" s="1"/>
  <c r="V190" i="28"/>
  <c r="AC190" i="28" s="1"/>
  <c r="Q191" i="28"/>
  <c r="X191" i="28" s="1"/>
  <c r="R191" i="28"/>
  <c r="Y191" i="28" s="1"/>
  <c r="S191" i="28"/>
  <c r="Z191" i="28" s="1"/>
  <c r="T191" i="28"/>
  <c r="AA191" i="28" s="1"/>
  <c r="U191" i="28"/>
  <c r="AB191" i="28" s="1"/>
  <c r="V191" i="28"/>
  <c r="AC191" i="28" s="1"/>
  <c r="Q192" i="28"/>
  <c r="X192" i="28" s="1"/>
  <c r="R192" i="28"/>
  <c r="Y192" i="28" s="1"/>
  <c r="S192" i="28"/>
  <c r="Z192" i="28" s="1"/>
  <c r="T192" i="28"/>
  <c r="AA192" i="28" s="1"/>
  <c r="U192" i="28"/>
  <c r="AB192" i="28" s="1"/>
  <c r="Q193" i="28"/>
  <c r="X193" i="28" s="1"/>
  <c r="R193" i="28"/>
  <c r="Y193" i="28" s="1"/>
  <c r="S193" i="28"/>
  <c r="Z193" i="28" s="1"/>
  <c r="T193" i="28"/>
  <c r="AA193" i="28" s="1"/>
  <c r="U193" i="28"/>
  <c r="AB193" i="28" s="1"/>
  <c r="V193" i="28"/>
  <c r="AC193" i="28" s="1"/>
  <c r="Q194" i="28"/>
  <c r="X194" i="28" s="1"/>
  <c r="R194" i="28"/>
  <c r="Y194" i="28" s="1"/>
  <c r="S194" i="28"/>
  <c r="Z194" i="28" s="1"/>
  <c r="T194" i="28"/>
  <c r="AA194" i="28" s="1"/>
  <c r="U194" i="28"/>
  <c r="AB194" i="28" s="1"/>
  <c r="V194" i="28"/>
  <c r="AC194" i="28" s="1"/>
  <c r="Q195" i="28"/>
  <c r="X195" i="28" s="1"/>
  <c r="R195" i="28"/>
  <c r="Y195" i="28" s="1"/>
  <c r="S195" i="28"/>
  <c r="Z195" i="28" s="1"/>
  <c r="T195" i="28"/>
  <c r="AA195" i="28" s="1"/>
  <c r="U195" i="28"/>
  <c r="AB195" i="28" s="1"/>
  <c r="V195" i="28"/>
  <c r="AC195" i="28" s="1"/>
  <c r="Q196" i="28"/>
  <c r="X196" i="28" s="1"/>
  <c r="R196" i="28"/>
  <c r="Y196" i="28" s="1"/>
  <c r="S196" i="28"/>
  <c r="Z196" i="28" s="1"/>
  <c r="T196" i="28"/>
  <c r="AA196" i="28" s="1"/>
  <c r="U196" i="28"/>
  <c r="AB196" i="28" s="1"/>
  <c r="V196" i="28"/>
  <c r="AC196" i="28" s="1"/>
  <c r="Q197" i="28"/>
  <c r="X197" i="28" s="1"/>
  <c r="R197" i="28"/>
  <c r="Y197" i="28" s="1"/>
  <c r="S197" i="28"/>
  <c r="Z197" i="28" s="1"/>
  <c r="T197" i="28"/>
  <c r="AA197" i="28" s="1"/>
  <c r="U197" i="28"/>
  <c r="AB197" i="28" s="1"/>
  <c r="V197" i="28"/>
  <c r="AC197" i="28" s="1"/>
  <c r="Q198" i="28"/>
  <c r="X198" i="28" s="1"/>
  <c r="R198" i="28"/>
  <c r="Y198" i="28" s="1"/>
  <c r="S198" i="28"/>
  <c r="Z198" i="28" s="1"/>
  <c r="T198" i="28"/>
  <c r="AA198" i="28" s="1"/>
  <c r="U198" i="28"/>
  <c r="AB198" i="28" s="1"/>
  <c r="V198" i="28"/>
  <c r="AC198" i="28" s="1"/>
  <c r="Q199" i="28"/>
  <c r="X199" i="28" s="1"/>
  <c r="R199" i="28"/>
  <c r="Y199" i="28" s="1"/>
  <c r="S199" i="28"/>
  <c r="Z199" i="28" s="1"/>
  <c r="T199" i="28"/>
  <c r="AA199" i="28" s="1"/>
  <c r="U199" i="28"/>
  <c r="AB199" i="28" s="1"/>
  <c r="V199" i="28"/>
  <c r="AC199" i="28" s="1"/>
  <c r="Q200" i="28"/>
  <c r="X200" i="28" s="1"/>
  <c r="R200" i="28"/>
  <c r="Y200" i="28" s="1"/>
  <c r="S200" i="28"/>
  <c r="Z200" i="28" s="1"/>
  <c r="T200" i="28"/>
  <c r="AA200" i="28" s="1"/>
  <c r="U200" i="28"/>
  <c r="AB200" i="28" s="1"/>
  <c r="Q201" i="28"/>
  <c r="X201" i="28" s="1"/>
  <c r="R201" i="28"/>
  <c r="Y201" i="28" s="1"/>
  <c r="S201" i="28"/>
  <c r="Z201" i="28" s="1"/>
  <c r="T201" i="28"/>
  <c r="AA201" i="28" s="1"/>
  <c r="U201" i="28"/>
  <c r="AB201" i="28" s="1"/>
  <c r="V201" i="28"/>
  <c r="AC201" i="28" s="1"/>
  <c r="Q202" i="28"/>
  <c r="X202" i="28" s="1"/>
  <c r="R202" i="28"/>
  <c r="Y202" i="28" s="1"/>
  <c r="S202" i="28"/>
  <c r="Z202" i="28" s="1"/>
  <c r="T202" i="28"/>
  <c r="AA202" i="28" s="1"/>
  <c r="U202" i="28"/>
  <c r="AB202" i="28" s="1"/>
  <c r="V202" i="28"/>
  <c r="AC202" i="28" s="1"/>
  <c r="Q203" i="28"/>
  <c r="X203" i="28" s="1"/>
  <c r="R203" i="28"/>
  <c r="Y203" i="28" s="1"/>
  <c r="S203" i="28"/>
  <c r="Z203" i="28" s="1"/>
  <c r="T203" i="28"/>
  <c r="AA203" i="28" s="1"/>
  <c r="U203" i="28"/>
  <c r="AB203" i="28" s="1"/>
  <c r="V203" i="28"/>
  <c r="AC203" i="28" s="1"/>
  <c r="Q204" i="28"/>
  <c r="X204" i="28" s="1"/>
  <c r="R204" i="28"/>
  <c r="Y204" i="28" s="1"/>
  <c r="S204" i="28"/>
  <c r="Z204" i="28" s="1"/>
  <c r="T204" i="28"/>
  <c r="AA204" i="28" s="1"/>
  <c r="U204" i="28"/>
  <c r="AB204" i="28" s="1"/>
  <c r="V204" i="28"/>
  <c r="AC204" i="28" s="1"/>
  <c r="Q205" i="28"/>
  <c r="X205" i="28" s="1"/>
  <c r="R205" i="28"/>
  <c r="Y205" i="28" s="1"/>
  <c r="S205" i="28"/>
  <c r="Z205" i="28" s="1"/>
  <c r="T205" i="28"/>
  <c r="AA205" i="28" s="1"/>
  <c r="U205" i="28"/>
  <c r="AB205" i="28" s="1"/>
  <c r="V205" i="28"/>
  <c r="AC205" i="28" s="1"/>
  <c r="Q206" i="28"/>
  <c r="X206" i="28" s="1"/>
  <c r="R206" i="28"/>
  <c r="Y206" i="28" s="1"/>
  <c r="S206" i="28"/>
  <c r="Z206" i="28" s="1"/>
  <c r="T206" i="28"/>
  <c r="AA206" i="28" s="1"/>
  <c r="U206" i="28"/>
  <c r="AB206" i="28" s="1"/>
  <c r="V206" i="28"/>
  <c r="AC206" i="28" s="1"/>
  <c r="Q207" i="28"/>
  <c r="X207" i="28" s="1"/>
  <c r="R207" i="28"/>
  <c r="Y207" i="28" s="1"/>
  <c r="S207" i="28"/>
  <c r="Z207" i="28" s="1"/>
  <c r="T207" i="28"/>
  <c r="AA207" i="28" s="1"/>
  <c r="U207" i="28"/>
  <c r="AB207" i="28" s="1"/>
  <c r="V207" i="28"/>
  <c r="AC207" i="28" s="1"/>
  <c r="Q208" i="28"/>
  <c r="X208" i="28" s="1"/>
  <c r="R208" i="28"/>
  <c r="Y208" i="28" s="1"/>
  <c r="S208" i="28"/>
  <c r="Z208" i="28" s="1"/>
  <c r="T208" i="28"/>
  <c r="AA208" i="28" s="1"/>
  <c r="U208" i="28"/>
  <c r="AB208" i="28" s="1"/>
  <c r="Q209" i="28"/>
  <c r="X209" i="28" s="1"/>
  <c r="R209" i="28"/>
  <c r="Y209" i="28" s="1"/>
  <c r="S209" i="28"/>
  <c r="Z209" i="28" s="1"/>
  <c r="T209" i="28"/>
  <c r="AA209" i="28" s="1"/>
  <c r="U209" i="28"/>
  <c r="AB209" i="28" s="1"/>
  <c r="V209" i="28"/>
  <c r="AC209" i="28" s="1"/>
  <c r="Q210" i="28"/>
  <c r="X210" i="28" s="1"/>
  <c r="R210" i="28"/>
  <c r="Y210" i="28" s="1"/>
  <c r="S210" i="28"/>
  <c r="Z210" i="28" s="1"/>
  <c r="T210" i="28"/>
  <c r="AA210" i="28" s="1"/>
  <c r="U210" i="28"/>
  <c r="AB210" i="28" s="1"/>
  <c r="V210" i="28"/>
  <c r="AC210" i="28" s="1"/>
  <c r="Q211" i="28"/>
  <c r="X211" i="28" s="1"/>
  <c r="R211" i="28"/>
  <c r="Y211" i="28" s="1"/>
  <c r="S211" i="28"/>
  <c r="Z211" i="28" s="1"/>
  <c r="T211" i="28"/>
  <c r="AA211" i="28" s="1"/>
  <c r="U211" i="28"/>
  <c r="AB211" i="28" s="1"/>
  <c r="V211" i="28"/>
  <c r="AC211" i="28" s="1"/>
  <c r="Q212" i="28"/>
  <c r="X212" i="28" s="1"/>
  <c r="R212" i="28"/>
  <c r="Y212" i="28" s="1"/>
  <c r="S212" i="28"/>
  <c r="Z212" i="28" s="1"/>
  <c r="T212" i="28"/>
  <c r="AA212" i="28" s="1"/>
  <c r="U212" i="28"/>
  <c r="AB212" i="28" s="1"/>
  <c r="V212" i="28"/>
  <c r="AC212" i="28" s="1"/>
  <c r="Q213" i="28"/>
  <c r="X213" i="28" s="1"/>
  <c r="R213" i="28"/>
  <c r="Y213" i="28" s="1"/>
  <c r="S213" i="28"/>
  <c r="Z213" i="28" s="1"/>
  <c r="T213" i="28"/>
  <c r="AA213" i="28" s="1"/>
  <c r="U213" i="28"/>
  <c r="AB213" i="28" s="1"/>
  <c r="V213" i="28"/>
  <c r="AC213" i="28" s="1"/>
  <c r="Q214" i="28"/>
  <c r="X214" i="28" s="1"/>
  <c r="R214" i="28"/>
  <c r="Y214" i="28" s="1"/>
  <c r="S214" i="28"/>
  <c r="Z214" i="28" s="1"/>
  <c r="T214" i="28"/>
  <c r="AA214" i="28" s="1"/>
  <c r="U214" i="28"/>
  <c r="AB214" i="28" s="1"/>
  <c r="V214" i="28"/>
  <c r="AC214" i="28" s="1"/>
  <c r="Q215" i="28"/>
  <c r="X215" i="28" s="1"/>
  <c r="R215" i="28"/>
  <c r="Y215" i="28" s="1"/>
  <c r="S215" i="28"/>
  <c r="Z215" i="28" s="1"/>
  <c r="T215" i="28"/>
  <c r="AA215" i="28" s="1"/>
  <c r="U215" i="28"/>
  <c r="AB215" i="28" s="1"/>
  <c r="V215" i="28"/>
  <c r="AC215" i="28" s="1"/>
  <c r="Q216" i="28"/>
  <c r="X216" i="28" s="1"/>
  <c r="R216" i="28"/>
  <c r="Y216" i="28" s="1"/>
  <c r="S216" i="28"/>
  <c r="Z216" i="28" s="1"/>
  <c r="T216" i="28"/>
  <c r="AA216" i="28" s="1"/>
  <c r="U216" i="28"/>
  <c r="AB216" i="28" s="1"/>
  <c r="Q217" i="28"/>
  <c r="X217" i="28" s="1"/>
  <c r="R217" i="28"/>
  <c r="Y217" i="28" s="1"/>
  <c r="S217" i="28"/>
  <c r="Z217" i="28" s="1"/>
  <c r="T217" i="28"/>
  <c r="AA217" i="28" s="1"/>
  <c r="U217" i="28"/>
  <c r="AB217" i="28" s="1"/>
  <c r="V217" i="28"/>
  <c r="AC217" i="28" s="1"/>
  <c r="Q218" i="28"/>
  <c r="X218" i="28" s="1"/>
  <c r="R218" i="28"/>
  <c r="Y218" i="28" s="1"/>
  <c r="S218" i="28"/>
  <c r="Z218" i="28" s="1"/>
  <c r="T218" i="28"/>
  <c r="AA218" i="28" s="1"/>
  <c r="U218" i="28"/>
  <c r="AB218" i="28" s="1"/>
  <c r="V218" i="28"/>
  <c r="AC218" i="28" s="1"/>
  <c r="Q219" i="28"/>
  <c r="X219" i="28" s="1"/>
  <c r="R219" i="28"/>
  <c r="Y219" i="28" s="1"/>
  <c r="S219" i="28"/>
  <c r="Z219" i="28" s="1"/>
  <c r="T219" i="28"/>
  <c r="AA219" i="28" s="1"/>
  <c r="U219" i="28"/>
  <c r="AB219" i="28" s="1"/>
  <c r="V219" i="28"/>
  <c r="AC219" i="28" s="1"/>
  <c r="Q220" i="28"/>
  <c r="X220" i="28" s="1"/>
  <c r="R220" i="28"/>
  <c r="Y220" i="28" s="1"/>
  <c r="S220" i="28"/>
  <c r="Z220" i="28" s="1"/>
  <c r="T220" i="28"/>
  <c r="AA220" i="28" s="1"/>
  <c r="U220" i="28"/>
  <c r="AB220" i="28" s="1"/>
  <c r="V220" i="28"/>
  <c r="AC220" i="28" s="1"/>
  <c r="Q221" i="28"/>
  <c r="X221" i="28" s="1"/>
  <c r="R221" i="28"/>
  <c r="Y221" i="28" s="1"/>
  <c r="S221" i="28"/>
  <c r="Z221" i="28" s="1"/>
  <c r="T221" i="28"/>
  <c r="AA221" i="28" s="1"/>
  <c r="U221" i="28"/>
  <c r="AB221" i="28" s="1"/>
  <c r="V221" i="28"/>
  <c r="AC221" i="28" s="1"/>
  <c r="Q222" i="28"/>
  <c r="X222" i="28" s="1"/>
  <c r="R222" i="28"/>
  <c r="Y222" i="28" s="1"/>
  <c r="S222" i="28"/>
  <c r="Z222" i="28" s="1"/>
  <c r="T222" i="28"/>
  <c r="AA222" i="28" s="1"/>
  <c r="U222" i="28"/>
  <c r="AB222" i="28" s="1"/>
  <c r="V222" i="28"/>
  <c r="AC222" i="28" s="1"/>
  <c r="Q223" i="28"/>
  <c r="X223" i="28" s="1"/>
  <c r="R223" i="28"/>
  <c r="Y223" i="28" s="1"/>
  <c r="S223" i="28"/>
  <c r="Z223" i="28" s="1"/>
  <c r="T223" i="28"/>
  <c r="AA223" i="28" s="1"/>
  <c r="U223" i="28"/>
  <c r="AB223" i="28" s="1"/>
  <c r="V223" i="28"/>
  <c r="AC223" i="28" s="1"/>
  <c r="Q224" i="28"/>
  <c r="X224" i="28" s="1"/>
  <c r="R224" i="28"/>
  <c r="Y224" i="28" s="1"/>
  <c r="S224" i="28"/>
  <c r="Z224" i="28" s="1"/>
  <c r="T224" i="28"/>
  <c r="AA224" i="28" s="1"/>
  <c r="U224" i="28"/>
  <c r="AB224" i="28" s="1"/>
  <c r="Q225" i="28"/>
  <c r="X225" i="28" s="1"/>
  <c r="R225" i="28"/>
  <c r="Y225" i="28" s="1"/>
  <c r="S225" i="28"/>
  <c r="Z225" i="28" s="1"/>
  <c r="T225" i="28"/>
  <c r="AA225" i="28" s="1"/>
  <c r="U225" i="28"/>
  <c r="AB225" i="28" s="1"/>
  <c r="V225" i="28"/>
  <c r="AC225" i="28" s="1"/>
  <c r="Q226" i="28"/>
  <c r="X226" i="28" s="1"/>
  <c r="R226" i="28"/>
  <c r="Y226" i="28" s="1"/>
  <c r="S226" i="28"/>
  <c r="Z226" i="28" s="1"/>
  <c r="T226" i="28"/>
  <c r="AA226" i="28" s="1"/>
  <c r="U226" i="28"/>
  <c r="AB226" i="28" s="1"/>
  <c r="V226" i="28"/>
  <c r="AC226" i="28" s="1"/>
  <c r="Q227" i="28"/>
  <c r="X227" i="28" s="1"/>
  <c r="R227" i="28"/>
  <c r="Y227" i="28" s="1"/>
  <c r="S227" i="28"/>
  <c r="Z227" i="28" s="1"/>
  <c r="T227" i="28"/>
  <c r="AA227" i="28" s="1"/>
  <c r="U227" i="28"/>
  <c r="AB227" i="28" s="1"/>
  <c r="V227" i="28"/>
  <c r="AC227" i="28" s="1"/>
  <c r="Q228" i="28"/>
  <c r="X228" i="28" s="1"/>
  <c r="R228" i="28"/>
  <c r="Y228" i="28" s="1"/>
  <c r="S228" i="28"/>
  <c r="Z228" i="28" s="1"/>
  <c r="T228" i="28"/>
  <c r="AA228" i="28" s="1"/>
  <c r="U228" i="28"/>
  <c r="AB228" i="28" s="1"/>
  <c r="V228" i="28"/>
  <c r="AC228" i="28" s="1"/>
  <c r="Q229" i="28"/>
  <c r="X229" i="28" s="1"/>
  <c r="R229" i="28"/>
  <c r="Y229" i="28" s="1"/>
  <c r="S229" i="28"/>
  <c r="Z229" i="28" s="1"/>
  <c r="T229" i="28"/>
  <c r="AA229" i="28" s="1"/>
  <c r="U229" i="28"/>
  <c r="AB229" i="28" s="1"/>
  <c r="V229" i="28"/>
  <c r="AC229" i="28" s="1"/>
  <c r="Q230" i="28"/>
  <c r="X230" i="28" s="1"/>
  <c r="R230" i="28"/>
  <c r="Y230" i="28" s="1"/>
  <c r="S230" i="28"/>
  <c r="Z230" i="28" s="1"/>
  <c r="T230" i="28"/>
  <c r="AA230" i="28" s="1"/>
  <c r="U230" i="28"/>
  <c r="AB230" i="28" s="1"/>
  <c r="V230" i="28"/>
  <c r="AC230" i="28" s="1"/>
  <c r="Q231" i="28"/>
  <c r="X231" i="28" s="1"/>
  <c r="R231" i="28"/>
  <c r="Y231" i="28" s="1"/>
  <c r="S231" i="28"/>
  <c r="Z231" i="28" s="1"/>
  <c r="T231" i="28"/>
  <c r="AA231" i="28" s="1"/>
  <c r="U231" i="28"/>
  <c r="AB231" i="28" s="1"/>
  <c r="V231" i="28"/>
  <c r="AC231" i="28" s="1"/>
  <c r="Q232" i="28"/>
  <c r="X232" i="28" s="1"/>
  <c r="R232" i="28"/>
  <c r="Y232" i="28" s="1"/>
  <c r="S232" i="28"/>
  <c r="Z232" i="28" s="1"/>
  <c r="T232" i="28"/>
  <c r="AA232" i="28" s="1"/>
  <c r="U232" i="28"/>
  <c r="AB232" i="28" s="1"/>
  <c r="Q233" i="28"/>
  <c r="X233" i="28" s="1"/>
  <c r="R233" i="28"/>
  <c r="Y233" i="28" s="1"/>
  <c r="S233" i="28"/>
  <c r="Z233" i="28" s="1"/>
  <c r="T233" i="28"/>
  <c r="AA233" i="28" s="1"/>
  <c r="U233" i="28"/>
  <c r="AB233" i="28" s="1"/>
  <c r="V233" i="28"/>
  <c r="AC233" i="28" s="1"/>
  <c r="Q234" i="28"/>
  <c r="X234" i="28" s="1"/>
  <c r="R234" i="28"/>
  <c r="Y234" i="28" s="1"/>
  <c r="S234" i="28"/>
  <c r="Z234" i="28" s="1"/>
  <c r="T234" i="28"/>
  <c r="AA234" i="28" s="1"/>
  <c r="U234" i="28"/>
  <c r="AB234" i="28" s="1"/>
  <c r="V234" i="28"/>
  <c r="AC234" i="28" s="1"/>
  <c r="Q235" i="28"/>
  <c r="X235" i="28" s="1"/>
  <c r="R235" i="28"/>
  <c r="Y235" i="28" s="1"/>
  <c r="S235" i="28"/>
  <c r="Z235" i="28" s="1"/>
  <c r="T235" i="28"/>
  <c r="AA235" i="28" s="1"/>
  <c r="U235" i="28"/>
  <c r="AB235" i="28" s="1"/>
  <c r="V235" i="28"/>
  <c r="AC235" i="28" s="1"/>
  <c r="Q236" i="28"/>
  <c r="X236" i="28" s="1"/>
  <c r="R236" i="28"/>
  <c r="Y236" i="28" s="1"/>
  <c r="S236" i="28"/>
  <c r="Z236" i="28" s="1"/>
  <c r="T236" i="28"/>
  <c r="AA236" i="28" s="1"/>
  <c r="U236" i="28"/>
  <c r="AB236" i="28" s="1"/>
  <c r="V236" i="28"/>
  <c r="AC236" i="28" s="1"/>
  <c r="Q237" i="28"/>
  <c r="X237" i="28" s="1"/>
  <c r="R237" i="28"/>
  <c r="Y237" i="28" s="1"/>
  <c r="S237" i="28"/>
  <c r="Z237" i="28" s="1"/>
  <c r="T237" i="28"/>
  <c r="AA237" i="28" s="1"/>
  <c r="U237" i="28"/>
  <c r="AB237" i="28" s="1"/>
  <c r="V237" i="28"/>
  <c r="AC237" i="28" s="1"/>
  <c r="Q238" i="28"/>
  <c r="X238" i="28" s="1"/>
  <c r="R238" i="28"/>
  <c r="Y238" i="28" s="1"/>
  <c r="S238" i="28"/>
  <c r="Z238" i="28" s="1"/>
  <c r="T238" i="28"/>
  <c r="AA238" i="28" s="1"/>
  <c r="U238" i="28"/>
  <c r="AB238" i="28" s="1"/>
  <c r="V238" i="28"/>
  <c r="AC238" i="28" s="1"/>
  <c r="Q239" i="28"/>
  <c r="X239" i="28" s="1"/>
  <c r="R239" i="28"/>
  <c r="Y239" i="28" s="1"/>
  <c r="S239" i="28"/>
  <c r="Z239" i="28" s="1"/>
  <c r="T239" i="28"/>
  <c r="AA239" i="28" s="1"/>
  <c r="U239" i="28"/>
  <c r="AB239" i="28" s="1"/>
  <c r="V239" i="28"/>
  <c r="AC239" i="28" s="1"/>
  <c r="Q240" i="28"/>
  <c r="X240" i="28" s="1"/>
  <c r="R240" i="28"/>
  <c r="Y240" i="28" s="1"/>
  <c r="S240" i="28"/>
  <c r="Z240" i="28" s="1"/>
  <c r="T240" i="28"/>
  <c r="AA240" i="28" s="1"/>
  <c r="U240" i="28"/>
  <c r="AB240" i="28" s="1"/>
  <c r="Q241" i="28"/>
  <c r="X241" i="28" s="1"/>
  <c r="R241" i="28"/>
  <c r="Y241" i="28" s="1"/>
  <c r="S241" i="28"/>
  <c r="Z241" i="28" s="1"/>
  <c r="T241" i="28"/>
  <c r="AA241" i="28" s="1"/>
  <c r="U241" i="28"/>
  <c r="AB241" i="28" s="1"/>
  <c r="V241" i="28"/>
  <c r="AC241" i="28" s="1"/>
  <c r="Q242" i="28"/>
  <c r="X242" i="28" s="1"/>
  <c r="R242" i="28"/>
  <c r="Y242" i="28" s="1"/>
  <c r="S242" i="28"/>
  <c r="Z242" i="28" s="1"/>
  <c r="T242" i="28"/>
  <c r="AA242" i="28" s="1"/>
  <c r="U242" i="28"/>
  <c r="AB242" i="28" s="1"/>
  <c r="V242" i="28"/>
  <c r="AC242" i="28" s="1"/>
  <c r="Q243" i="28"/>
  <c r="X243" i="28" s="1"/>
  <c r="R243" i="28"/>
  <c r="Y243" i="28" s="1"/>
  <c r="S243" i="28"/>
  <c r="Z243" i="28" s="1"/>
  <c r="T243" i="28"/>
  <c r="AA243" i="28" s="1"/>
  <c r="U243" i="28"/>
  <c r="AB243" i="28" s="1"/>
  <c r="V243" i="28"/>
  <c r="AC243" i="28" s="1"/>
  <c r="Q244" i="28"/>
  <c r="X244" i="28" s="1"/>
  <c r="R244" i="28"/>
  <c r="Y244" i="28" s="1"/>
  <c r="S244" i="28"/>
  <c r="Z244" i="28" s="1"/>
  <c r="T244" i="28"/>
  <c r="AA244" i="28" s="1"/>
  <c r="U244" i="28"/>
  <c r="AB244" i="28" s="1"/>
  <c r="V244" i="28"/>
  <c r="AC244" i="28" s="1"/>
  <c r="Q245" i="28"/>
  <c r="X245" i="28" s="1"/>
  <c r="R245" i="28"/>
  <c r="Y245" i="28" s="1"/>
  <c r="S245" i="28"/>
  <c r="Z245" i="28" s="1"/>
  <c r="T245" i="28"/>
  <c r="AA245" i="28" s="1"/>
  <c r="U245" i="28"/>
  <c r="AB245" i="28" s="1"/>
  <c r="V245" i="28"/>
  <c r="AC245" i="28" s="1"/>
  <c r="Q246" i="28"/>
  <c r="X246" i="28" s="1"/>
  <c r="R246" i="28"/>
  <c r="Y246" i="28" s="1"/>
  <c r="S246" i="28"/>
  <c r="Z246" i="28" s="1"/>
  <c r="T246" i="28"/>
  <c r="AA246" i="28" s="1"/>
  <c r="U246" i="28"/>
  <c r="AB246" i="28" s="1"/>
  <c r="V246" i="28"/>
  <c r="AC246" i="28" s="1"/>
  <c r="Q247" i="28"/>
  <c r="X247" i="28" s="1"/>
  <c r="R247" i="28"/>
  <c r="Y247" i="28" s="1"/>
  <c r="S247" i="28"/>
  <c r="Z247" i="28" s="1"/>
  <c r="T247" i="28"/>
  <c r="AA247" i="28" s="1"/>
  <c r="U247" i="28"/>
  <c r="AB247" i="28" s="1"/>
  <c r="V247" i="28"/>
  <c r="AC247" i="28" s="1"/>
  <c r="Q248" i="28"/>
  <c r="X248" i="28" s="1"/>
  <c r="R248" i="28"/>
  <c r="Y248" i="28" s="1"/>
  <c r="S248" i="28"/>
  <c r="Z248" i="28" s="1"/>
  <c r="T248" i="28"/>
  <c r="AA248" i="28" s="1"/>
  <c r="U248" i="28"/>
  <c r="AB248" i="28" s="1"/>
  <c r="Q249" i="28"/>
  <c r="X249" i="28" s="1"/>
  <c r="R249" i="28"/>
  <c r="Y249" i="28" s="1"/>
  <c r="S249" i="28"/>
  <c r="Z249" i="28" s="1"/>
  <c r="T249" i="28"/>
  <c r="AA249" i="28" s="1"/>
  <c r="U249" i="28"/>
  <c r="AB249" i="28" s="1"/>
  <c r="V249" i="28"/>
  <c r="AC249" i="28" s="1"/>
  <c r="Q250" i="28"/>
  <c r="X250" i="28" s="1"/>
  <c r="R250" i="28"/>
  <c r="Y250" i="28" s="1"/>
  <c r="S250" i="28"/>
  <c r="Z250" i="28" s="1"/>
  <c r="T250" i="28"/>
  <c r="AA250" i="28" s="1"/>
  <c r="U250" i="28"/>
  <c r="AB250" i="28" s="1"/>
  <c r="V250" i="28"/>
  <c r="AC250" i="28" s="1"/>
  <c r="Q251" i="28"/>
  <c r="X251" i="28" s="1"/>
  <c r="R251" i="28"/>
  <c r="Y251" i="28" s="1"/>
  <c r="S251" i="28"/>
  <c r="Z251" i="28" s="1"/>
  <c r="T251" i="28"/>
  <c r="AA251" i="28" s="1"/>
  <c r="U251" i="28"/>
  <c r="AB251" i="28" s="1"/>
  <c r="V251" i="28"/>
  <c r="AC251" i="28" s="1"/>
  <c r="Q252" i="28"/>
  <c r="X252" i="28" s="1"/>
  <c r="R252" i="28"/>
  <c r="Y252" i="28" s="1"/>
  <c r="S252" i="28"/>
  <c r="Z252" i="28" s="1"/>
  <c r="T252" i="28"/>
  <c r="AA252" i="28" s="1"/>
  <c r="U252" i="28"/>
  <c r="AB252" i="28" s="1"/>
  <c r="V252" i="28"/>
  <c r="AC252" i="28" s="1"/>
  <c r="Q253" i="28"/>
  <c r="X253" i="28" s="1"/>
  <c r="R253" i="28"/>
  <c r="Y253" i="28" s="1"/>
  <c r="S253" i="28"/>
  <c r="Z253" i="28" s="1"/>
  <c r="T253" i="28"/>
  <c r="AA253" i="28" s="1"/>
  <c r="U253" i="28"/>
  <c r="AB253" i="28" s="1"/>
  <c r="V253" i="28"/>
  <c r="AC253" i="28" s="1"/>
  <c r="Q254" i="28"/>
  <c r="X254" i="28" s="1"/>
  <c r="R254" i="28"/>
  <c r="Y254" i="28" s="1"/>
  <c r="S254" i="28"/>
  <c r="Z254" i="28" s="1"/>
  <c r="T254" i="28"/>
  <c r="AA254" i="28" s="1"/>
  <c r="U254" i="28"/>
  <c r="AB254" i="28" s="1"/>
  <c r="V254" i="28"/>
  <c r="AC254" i="28" s="1"/>
  <c r="Q255" i="28"/>
  <c r="X255" i="28" s="1"/>
  <c r="R255" i="28"/>
  <c r="Y255" i="28" s="1"/>
  <c r="S255" i="28"/>
  <c r="Z255" i="28" s="1"/>
  <c r="T255" i="28"/>
  <c r="AA255" i="28" s="1"/>
  <c r="U255" i="28"/>
  <c r="AB255" i="28" s="1"/>
  <c r="V255" i="28"/>
  <c r="AC255" i="28" s="1"/>
  <c r="Q256" i="28"/>
  <c r="X256" i="28" s="1"/>
  <c r="R256" i="28"/>
  <c r="Y256" i="28" s="1"/>
  <c r="S256" i="28"/>
  <c r="Z256" i="28" s="1"/>
  <c r="T256" i="28"/>
  <c r="AA256" i="28" s="1"/>
  <c r="U256" i="28"/>
  <c r="AB256" i="28" s="1"/>
  <c r="Q257" i="28"/>
  <c r="X257" i="28" s="1"/>
  <c r="R257" i="28"/>
  <c r="Y257" i="28" s="1"/>
  <c r="S257" i="28"/>
  <c r="Z257" i="28" s="1"/>
  <c r="T257" i="28"/>
  <c r="AA257" i="28" s="1"/>
  <c r="U257" i="28"/>
  <c r="AB257" i="28" s="1"/>
  <c r="V257" i="28"/>
  <c r="AC257" i="28" s="1"/>
  <c r="Q258" i="28"/>
  <c r="X258" i="28" s="1"/>
  <c r="R258" i="28"/>
  <c r="Y258" i="28" s="1"/>
  <c r="S258" i="28"/>
  <c r="Z258" i="28" s="1"/>
  <c r="T258" i="28"/>
  <c r="AA258" i="28" s="1"/>
  <c r="U258" i="28"/>
  <c r="AB258" i="28" s="1"/>
  <c r="V258" i="28"/>
  <c r="AC258" i="28" s="1"/>
  <c r="Q259" i="28"/>
  <c r="X259" i="28" s="1"/>
  <c r="R259" i="28"/>
  <c r="Y259" i="28" s="1"/>
  <c r="S259" i="28"/>
  <c r="Z259" i="28" s="1"/>
  <c r="T259" i="28"/>
  <c r="AA259" i="28" s="1"/>
  <c r="U259" i="28"/>
  <c r="AB259" i="28" s="1"/>
  <c r="V259" i="28"/>
  <c r="AC259" i="28" s="1"/>
  <c r="Q260" i="28"/>
  <c r="X260" i="28" s="1"/>
  <c r="R260" i="28"/>
  <c r="Y260" i="28" s="1"/>
  <c r="S260" i="28"/>
  <c r="Z260" i="28" s="1"/>
  <c r="T260" i="28"/>
  <c r="AA260" i="28" s="1"/>
  <c r="U260" i="28"/>
  <c r="AB260" i="28" s="1"/>
  <c r="V260" i="28"/>
  <c r="AC260" i="28" s="1"/>
  <c r="Q261" i="28"/>
  <c r="X261" i="28" s="1"/>
  <c r="R261" i="28"/>
  <c r="Y261" i="28" s="1"/>
  <c r="S261" i="28"/>
  <c r="Z261" i="28" s="1"/>
  <c r="T261" i="28"/>
  <c r="AA261" i="28" s="1"/>
  <c r="U261" i="28"/>
  <c r="AB261" i="28" s="1"/>
  <c r="V261" i="28"/>
  <c r="AC261" i="28" s="1"/>
  <c r="Q262" i="28"/>
  <c r="X262" i="28" s="1"/>
  <c r="R262" i="28"/>
  <c r="Y262" i="28" s="1"/>
  <c r="S262" i="28"/>
  <c r="Z262" i="28" s="1"/>
  <c r="T262" i="28"/>
  <c r="AA262" i="28" s="1"/>
  <c r="U262" i="28"/>
  <c r="AB262" i="28" s="1"/>
  <c r="V262" i="28"/>
  <c r="AC262" i="28" s="1"/>
  <c r="Q263" i="28"/>
  <c r="X263" i="28" s="1"/>
  <c r="R263" i="28"/>
  <c r="Y263" i="28" s="1"/>
  <c r="S263" i="28"/>
  <c r="Z263" i="28" s="1"/>
  <c r="T263" i="28"/>
  <c r="AA263" i="28" s="1"/>
  <c r="U263" i="28"/>
  <c r="AB263" i="28" s="1"/>
  <c r="V263" i="28"/>
  <c r="AC263" i="28" s="1"/>
  <c r="Q264" i="28"/>
  <c r="X264" i="28" s="1"/>
  <c r="R264" i="28"/>
  <c r="Y264" i="28" s="1"/>
  <c r="S264" i="28"/>
  <c r="Z264" i="28" s="1"/>
  <c r="T264" i="28"/>
  <c r="AA264" i="28" s="1"/>
  <c r="U264" i="28"/>
  <c r="AB264" i="28" s="1"/>
  <c r="Q265" i="28"/>
  <c r="X265" i="28" s="1"/>
  <c r="R265" i="28"/>
  <c r="Y265" i="28" s="1"/>
  <c r="S265" i="28"/>
  <c r="Z265" i="28" s="1"/>
  <c r="T265" i="28"/>
  <c r="AA265" i="28" s="1"/>
  <c r="U265" i="28"/>
  <c r="AB265" i="28" s="1"/>
  <c r="V265" i="28"/>
  <c r="AC265" i="28" s="1"/>
  <c r="Q266" i="28"/>
  <c r="X266" i="28" s="1"/>
  <c r="R266" i="28"/>
  <c r="Y266" i="28" s="1"/>
  <c r="S266" i="28"/>
  <c r="Z266" i="28" s="1"/>
  <c r="T266" i="28"/>
  <c r="AA266" i="28" s="1"/>
  <c r="U266" i="28"/>
  <c r="AB266" i="28" s="1"/>
  <c r="V266" i="28"/>
  <c r="AC266" i="28" s="1"/>
  <c r="Q267" i="28"/>
  <c r="X267" i="28" s="1"/>
  <c r="R267" i="28"/>
  <c r="Y267" i="28" s="1"/>
  <c r="S267" i="28"/>
  <c r="Z267" i="28" s="1"/>
  <c r="T267" i="28"/>
  <c r="AA267" i="28" s="1"/>
  <c r="U267" i="28"/>
  <c r="AB267" i="28" s="1"/>
  <c r="V267" i="28"/>
  <c r="AC267" i="28" s="1"/>
  <c r="Q268" i="28"/>
  <c r="X268" i="28" s="1"/>
  <c r="R268" i="28"/>
  <c r="Y268" i="28" s="1"/>
  <c r="S268" i="28"/>
  <c r="Z268" i="28" s="1"/>
  <c r="T268" i="28"/>
  <c r="AA268" i="28" s="1"/>
  <c r="U268" i="28"/>
  <c r="AB268" i="28" s="1"/>
  <c r="V268" i="28"/>
  <c r="AC268" i="28" s="1"/>
  <c r="Q269" i="28"/>
  <c r="X269" i="28" s="1"/>
  <c r="R269" i="28"/>
  <c r="Y269" i="28" s="1"/>
  <c r="S269" i="28"/>
  <c r="Z269" i="28" s="1"/>
  <c r="T269" i="28"/>
  <c r="AA269" i="28" s="1"/>
  <c r="U269" i="28"/>
  <c r="AB269" i="28" s="1"/>
  <c r="V269" i="28"/>
  <c r="AC269" i="28" s="1"/>
  <c r="Q270" i="28"/>
  <c r="X270" i="28" s="1"/>
  <c r="R270" i="28"/>
  <c r="Y270" i="28" s="1"/>
  <c r="S270" i="28"/>
  <c r="Z270" i="28" s="1"/>
  <c r="T270" i="28"/>
  <c r="AA270" i="28" s="1"/>
  <c r="U270" i="28"/>
  <c r="AB270" i="28" s="1"/>
  <c r="V270" i="28"/>
  <c r="AC270" i="28" s="1"/>
  <c r="Q271" i="28"/>
  <c r="X271" i="28" s="1"/>
  <c r="R271" i="28"/>
  <c r="Y271" i="28" s="1"/>
  <c r="S271" i="28"/>
  <c r="Z271" i="28" s="1"/>
  <c r="T271" i="28"/>
  <c r="AA271" i="28" s="1"/>
  <c r="U271" i="28"/>
  <c r="AB271" i="28" s="1"/>
  <c r="V271" i="28"/>
  <c r="AC271" i="28" s="1"/>
  <c r="Q272" i="28"/>
  <c r="X272" i="28" s="1"/>
  <c r="R272" i="28"/>
  <c r="Y272" i="28" s="1"/>
  <c r="S272" i="28"/>
  <c r="Z272" i="28" s="1"/>
  <c r="T272" i="28"/>
  <c r="AA272" i="28" s="1"/>
  <c r="U272" i="28"/>
  <c r="AB272" i="28" s="1"/>
  <c r="Q273" i="28"/>
  <c r="X273" i="28" s="1"/>
  <c r="R273" i="28"/>
  <c r="Y273" i="28" s="1"/>
  <c r="S273" i="28"/>
  <c r="Z273" i="28" s="1"/>
  <c r="T273" i="28"/>
  <c r="AA273" i="28" s="1"/>
  <c r="U273" i="28"/>
  <c r="AB273" i="28" s="1"/>
  <c r="V273" i="28"/>
  <c r="AC273" i="28" s="1"/>
  <c r="Q274" i="28"/>
  <c r="X274" i="28" s="1"/>
  <c r="R274" i="28"/>
  <c r="Y274" i="28" s="1"/>
  <c r="S274" i="28"/>
  <c r="Z274" i="28" s="1"/>
  <c r="T274" i="28"/>
  <c r="AA274" i="28" s="1"/>
  <c r="U274" i="28"/>
  <c r="AB274" i="28" s="1"/>
  <c r="V274" i="28"/>
  <c r="AC274" i="28" s="1"/>
  <c r="Q275" i="28"/>
  <c r="X275" i="28" s="1"/>
  <c r="R275" i="28"/>
  <c r="Y275" i="28" s="1"/>
  <c r="S275" i="28"/>
  <c r="Z275" i="28" s="1"/>
  <c r="T275" i="28"/>
  <c r="AA275" i="28" s="1"/>
  <c r="U275" i="28"/>
  <c r="AB275" i="28" s="1"/>
  <c r="V275" i="28"/>
  <c r="AC275" i="28" s="1"/>
  <c r="Q276" i="28"/>
  <c r="X276" i="28" s="1"/>
  <c r="R276" i="28"/>
  <c r="Y276" i="28" s="1"/>
  <c r="S276" i="28"/>
  <c r="Z276" i="28" s="1"/>
  <c r="T276" i="28"/>
  <c r="AA276" i="28" s="1"/>
  <c r="U276" i="28"/>
  <c r="AB276" i="28" s="1"/>
  <c r="V276" i="28"/>
  <c r="AC276" i="28" s="1"/>
  <c r="Q277" i="28"/>
  <c r="X277" i="28" s="1"/>
  <c r="R277" i="28"/>
  <c r="Y277" i="28" s="1"/>
  <c r="S277" i="28"/>
  <c r="Z277" i="28" s="1"/>
  <c r="T277" i="28"/>
  <c r="AA277" i="28" s="1"/>
  <c r="U277" i="28"/>
  <c r="AB277" i="28" s="1"/>
  <c r="V277" i="28"/>
  <c r="AC277" i="28" s="1"/>
  <c r="Q278" i="28"/>
  <c r="X278" i="28" s="1"/>
  <c r="R278" i="28"/>
  <c r="Y278" i="28" s="1"/>
  <c r="S278" i="28"/>
  <c r="Z278" i="28" s="1"/>
  <c r="T278" i="28"/>
  <c r="AA278" i="28" s="1"/>
  <c r="U278" i="28"/>
  <c r="AB278" i="28" s="1"/>
  <c r="V278" i="28"/>
  <c r="AC278" i="28" s="1"/>
  <c r="Q279" i="28"/>
  <c r="X279" i="28" s="1"/>
  <c r="R279" i="28"/>
  <c r="Y279" i="28" s="1"/>
  <c r="S279" i="28"/>
  <c r="Z279" i="28" s="1"/>
  <c r="T279" i="28"/>
  <c r="AA279" i="28" s="1"/>
  <c r="U279" i="28"/>
  <c r="AB279" i="28" s="1"/>
  <c r="V279" i="28"/>
  <c r="AC279" i="28" s="1"/>
  <c r="Q280" i="28"/>
  <c r="X280" i="28" s="1"/>
  <c r="R280" i="28"/>
  <c r="Y280" i="28" s="1"/>
  <c r="S280" i="28"/>
  <c r="Z280" i="28" s="1"/>
  <c r="T280" i="28"/>
  <c r="AA280" i="28" s="1"/>
  <c r="U280" i="28"/>
  <c r="AB280" i="28" s="1"/>
  <c r="Q281" i="28"/>
  <c r="X281" i="28" s="1"/>
  <c r="R281" i="28"/>
  <c r="Y281" i="28" s="1"/>
  <c r="S281" i="28"/>
  <c r="Z281" i="28" s="1"/>
  <c r="T281" i="28"/>
  <c r="AA281" i="28" s="1"/>
  <c r="U281" i="28"/>
  <c r="AB281" i="28" s="1"/>
  <c r="V281" i="28"/>
  <c r="AC281" i="28" s="1"/>
  <c r="Q282" i="28"/>
  <c r="X282" i="28" s="1"/>
  <c r="R282" i="28"/>
  <c r="Y282" i="28" s="1"/>
  <c r="S282" i="28"/>
  <c r="Z282" i="28" s="1"/>
  <c r="T282" i="28"/>
  <c r="AA282" i="28" s="1"/>
  <c r="U282" i="28"/>
  <c r="AB282" i="28" s="1"/>
  <c r="V282" i="28"/>
  <c r="AC282" i="28" s="1"/>
  <c r="Q283" i="28"/>
  <c r="X283" i="28" s="1"/>
  <c r="R283" i="28"/>
  <c r="Y283" i="28" s="1"/>
  <c r="S283" i="28"/>
  <c r="Z283" i="28" s="1"/>
  <c r="T283" i="28"/>
  <c r="AA283" i="28" s="1"/>
  <c r="U283" i="28"/>
  <c r="AB283" i="28" s="1"/>
  <c r="V283" i="28"/>
  <c r="AC283" i="28" s="1"/>
  <c r="Q284" i="28"/>
  <c r="X284" i="28" s="1"/>
  <c r="R284" i="28"/>
  <c r="Y284" i="28" s="1"/>
  <c r="S284" i="28"/>
  <c r="Z284" i="28" s="1"/>
  <c r="T284" i="28"/>
  <c r="AA284" i="28" s="1"/>
  <c r="U284" i="28"/>
  <c r="AB284" i="28" s="1"/>
  <c r="V284" i="28"/>
  <c r="AC284" i="28" s="1"/>
  <c r="Q285" i="28"/>
  <c r="X285" i="28" s="1"/>
  <c r="R285" i="28"/>
  <c r="Y285" i="28" s="1"/>
  <c r="S285" i="28"/>
  <c r="Z285" i="28" s="1"/>
  <c r="T285" i="28"/>
  <c r="AA285" i="28" s="1"/>
  <c r="U285" i="28"/>
  <c r="AB285" i="28" s="1"/>
  <c r="V285" i="28"/>
  <c r="AC285" i="28" s="1"/>
  <c r="Q286" i="28"/>
  <c r="X286" i="28" s="1"/>
  <c r="R286" i="28"/>
  <c r="Y286" i="28" s="1"/>
  <c r="S286" i="28"/>
  <c r="Z286" i="28" s="1"/>
  <c r="T286" i="28"/>
  <c r="AA286" i="28" s="1"/>
  <c r="U286" i="28"/>
  <c r="AB286" i="28" s="1"/>
  <c r="V286" i="28"/>
  <c r="AC286" i="28" s="1"/>
  <c r="Q287" i="28"/>
  <c r="X287" i="28" s="1"/>
  <c r="R287" i="28"/>
  <c r="Y287" i="28" s="1"/>
  <c r="S287" i="28"/>
  <c r="Z287" i="28" s="1"/>
  <c r="T287" i="28"/>
  <c r="AA287" i="28" s="1"/>
  <c r="U287" i="28"/>
  <c r="AB287" i="28" s="1"/>
  <c r="V287" i="28"/>
  <c r="AC287" i="28" s="1"/>
  <c r="Q288" i="28"/>
  <c r="X288" i="28" s="1"/>
  <c r="R288" i="28"/>
  <c r="Y288" i="28" s="1"/>
  <c r="S288" i="28"/>
  <c r="Z288" i="28" s="1"/>
  <c r="T288" i="28"/>
  <c r="AA288" i="28" s="1"/>
  <c r="U288" i="28"/>
  <c r="AB288" i="28" s="1"/>
  <c r="Q289" i="28"/>
  <c r="X289" i="28" s="1"/>
  <c r="R289" i="28"/>
  <c r="Y289" i="28" s="1"/>
  <c r="S289" i="28"/>
  <c r="Z289" i="28" s="1"/>
  <c r="T289" i="28"/>
  <c r="AA289" i="28" s="1"/>
  <c r="U289" i="28"/>
  <c r="AB289" i="28" s="1"/>
  <c r="V289" i="28"/>
  <c r="AC289" i="28" s="1"/>
  <c r="Q290" i="28"/>
  <c r="X290" i="28" s="1"/>
  <c r="R290" i="28"/>
  <c r="Y290" i="28" s="1"/>
  <c r="S290" i="28"/>
  <c r="Z290" i="28" s="1"/>
  <c r="T290" i="28"/>
  <c r="AA290" i="28" s="1"/>
  <c r="U290" i="28"/>
  <c r="AB290" i="28" s="1"/>
  <c r="V290" i="28"/>
  <c r="AC290" i="28" s="1"/>
  <c r="Q291" i="28"/>
  <c r="X291" i="28" s="1"/>
  <c r="R291" i="28"/>
  <c r="Y291" i="28" s="1"/>
  <c r="S291" i="28"/>
  <c r="Z291" i="28" s="1"/>
  <c r="T291" i="28"/>
  <c r="AA291" i="28" s="1"/>
  <c r="U291" i="28"/>
  <c r="AB291" i="28" s="1"/>
  <c r="V291" i="28"/>
  <c r="AC291" i="28" s="1"/>
  <c r="Q292" i="28"/>
  <c r="X292" i="28" s="1"/>
  <c r="R292" i="28"/>
  <c r="Y292" i="28" s="1"/>
  <c r="S292" i="28"/>
  <c r="Z292" i="28" s="1"/>
  <c r="T292" i="28"/>
  <c r="AA292" i="28" s="1"/>
  <c r="U292" i="28"/>
  <c r="AB292" i="28" s="1"/>
  <c r="V292" i="28"/>
  <c r="AC292" i="28" s="1"/>
  <c r="Q293" i="28"/>
  <c r="X293" i="28" s="1"/>
  <c r="R293" i="28"/>
  <c r="Y293" i="28" s="1"/>
  <c r="S293" i="28"/>
  <c r="Z293" i="28" s="1"/>
  <c r="T293" i="28"/>
  <c r="AA293" i="28" s="1"/>
  <c r="U293" i="28"/>
  <c r="AB293" i="28" s="1"/>
  <c r="V293" i="28"/>
  <c r="AC293" i="28" s="1"/>
  <c r="Q294" i="28"/>
  <c r="X294" i="28" s="1"/>
  <c r="R294" i="28"/>
  <c r="Y294" i="28" s="1"/>
  <c r="S294" i="28"/>
  <c r="Z294" i="28" s="1"/>
  <c r="T294" i="28"/>
  <c r="AA294" i="28" s="1"/>
  <c r="U294" i="28"/>
  <c r="AB294" i="28" s="1"/>
  <c r="V294" i="28"/>
  <c r="AC294" i="28" s="1"/>
  <c r="Q295" i="28"/>
  <c r="X295" i="28" s="1"/>
  <c r="R295" i="28"/>
  <c r="Y295" i="28" s="1"/>
  <c r="S295" i="28"/>
  <c r="Z295" i="28" s="1"/>
  <c r="T295" i="28"/>
  <c r="AA295" i="28" s="1"/>
  <c r="U295" i="28"/>
  <c r="AB295" i="28" s="1"/>
  <c r="V295" i="28"/>
  <c r="AC295" i="28" s="1"/>
  <c r="Q296" i="28"/>
  <c r="X296" i="28" s="1"/>
  <c r="R296" i="28"/>
  <c r="Y296" i="28" s="1"/>
  <c r="S296" i="28"/>
  <c r="Z296" i="28" s="1"/>
  <c r="T296" i="28"/>
  <c r="AA296" i="28" s="1"/>
  <c r="U296" i="28"/>
  <c r="AB296" i="28" s="1"/>
  <c r="Q297" i="28"/>
  <c r="X297" i="28" s="1"/>
  <c r="R297" i="28"/>
  <c r="Y297" i="28" s="1"/>
  <c r="S297" i="28"/>
  <c r="Z297" i="28" s="1"/>
  <c r="T297" i="28"/>
  <c r="AA297" i="28" s="1"/>
  <c r="U297" i="28"/>
  <c r="AB297" i="28" s="1"/>
  <c r="V297" i="28"/>
  <c r="AC297" i="28" s="1"/>
  <c r="Q298" i="28"/>
  <c r="X298" i="28" s="1"/>
  <c r="R298" i="28"/>
  <c r="Y298" i="28" s="1"/>
  <c r="S298" i="28"/>
  <c r="Z298" i="28" s="1"/>
  <c r="T298" i="28"/>
  <c r="AA298" i="28" s="1"/>
  <c r="U298" i="28"/>
  <c r="AB298" i="28" s="1"/>
  <c r="V298" i="28"/>
  <c r="AC298" i="28" s="1"/>
  <c r="Q299" i="28"/>
  <c r="X299" i="28" s="1"/>
  <c r="R299" i="28"/>
  <c r="Y299" i="28" s="1"/>
  <c r="S299" i="28"/>
  <c r="Z299" i="28" s="1"/>
  <c r="T299" i="28"/>
  <c r="AA299" i="28" s="1"/>
  <c r="U299" i="28"/>
  <c r="AB299" i="28" s="1"/>
  <c r="V299" i="28"/>
  <c r="AC299" i="28" s="1"/>
  <c r="Q300" i="28"/>
  <c r="X300" i="28" s="1"/>
  <c r="R300" i="28"/>
  <c r="Y300" i="28" s="1"/>
  <c r="S300" i="28"/>
  <c r="Z300" i="28" s="1"/>
  <c r="T300" i="28"/>
  <c r="AA300" i="28" s="1"/>
  <c r="U300" i="28"/>
  <c r="AB300" i="28" s="1"/>
  <c r="V300" i="28"/>
  <c r="AC300" i="28" s="1"/>
  <c r="Q301" i="28"/>
  <c r="X301" i="28" s="1"/>
  <c r="R301" i="28"/>
  <c r="Y301" i="28" s="1"/>
  <c r="S301" i="28"/>
  <c r="Z301" i="28" s="1"/>
  <c r="T301" i="28"/>
  <c r="AA301" i="28" s="1"/>
  <c r="U301" i="28"/>
  <c r="AB301" i="28" s="1"/>
  <c r="V301" i="28"/>
  <c r="AC301" i="28" s="1"/>
  <c r="Q302" i="28"/>
  <c r="X302" i="28" s="1"/>
  <c r="R302" i="28"/>
  <c r="Y302" i="28" s="1"/>
  <c r="S302" i="28"/>
  <c r="Z302" i="28" s="1"/>
  <c r="T302" i="28"/>
  <c r="AA302" i="28" s="1"/>
  <c r="U302" i="28"/>
  <c r="AB302" i="28" s="1"/>
  <c r="V302" i="28"/>
  <c r="AC302" i="28" s="1"/>
  <c r="Q303" i="28"/>
  <c r="X303" i="28" s="1"/>
  <c r="R303" i="28"/>
  <c r="Y303" i="28" s="1"/>
  <c r="S303" i="28"/>
  <c r="Z303" i="28" s="1"/>
  <c r="T303" i="28"/>
  <c r="AA303" i="28" s="1"/>
  <c r="U303" i="28"/>
  <c r="AB303" i="28" s="1"/>
  <c r="V303" i="28"/>
  <c r="AC303" i="28" s="1"/>
  <c r="Q304" i="28"/>
  <c r="X304" i="28" s="1"/>
  <c r="R304" i="28"/>
  <c r="Y304" i="28" s="1"/>
  <c r="S304" i="28"/>
  <c r="Z304" i="28" s="1"/>
  <c r="T304" i="28"/>
  <c r="AA304" i="28" s="1"/>
  <c r="U304" i="28"/>
  <c r="AB304" i="28" s="1"/>
  <c r="Q305" i="28"/>
  <c r="X305" i="28" s="1"/>
  <c r="R305" i="28"/>
  <c r="Y305" i="28" s="1"/>
  <c r="S305" i="28"/>
  <c r="Z305" i="28" s="1"/>
  <c r="T305" i="28"/>
  <c r="AA305" i="28" s="1"/>
  <c r="U305" i="28"/>
  <c r="AB305" i="28" s="1"/>
  <c r="V305" i="28"/>
  <c r="AC305" i="28" s="1"/>
  <c r="Q306" i="28"/>
  <c r="X306" i="28" s="1"/>
  <c r="R306" i="28"/>
  <c r="Y306" i="28" s="1"/>
  <c r="S306" i="28"/>
  <c r="Z306" i="28" s="1"/>
  <c r="T306" i="28"/>
  <c r="AA306" i="28" s="1"/>
  <c r="U306" i="28"/>
  <c r="AB306" i="28" s="1"/>
  <c r="V306" i="28"/>
  <c r="AC306" i="28" s="1"/>
  <c r="Q307" i="28"/>
  <c r="X307" i="28" s="1"/>
  <c r="R307" i="28"/>
  <c r="Y307" i="28" s="1"/>
  <c r="S307" i="28"/>
  <c r="Z307" i="28" s="1"/>
  <c r="T307" i="28"/>
  <c r="AA307" i="28" s="1"/>
  <c r="U307" i="28"/>
  <c r="AB307" i="28" s="1"/>
  <c r="V307" i="28"/>
  <c r="AC307" i="28" s="1"/>
  <c r="Q308" i="28"/>
  <c r="X308" i="28" s="1"/>
  <c r="R308" i="28"/>
  <c r="Y308" i="28" s="1"/>
  <c r="S308" i="28"/>
  <c r="Z308" i="28" s="1"/>
  <c r="T308" i="28"/>
  <c r="AA308" i="28" s="1"/>
  <c r="U308" i="28"/>
  <c r="AB308" i="28" s="1"/>
  <c r="V308" i="28"/>
  <c r="AC308" i="28" s="1"/>
  <c r="Q309" i="28"/>
  <c r="X309" i="28" s="1"/>
  <c r="R309" i="28"/>
  <c r="Y309" i="28" s="1"/>
  <c r="S309" i="28"/>
  <c r="Z309" i="28" s="1"/>
  <c r="T309" i="28"/>
  <c r="AA309" i="28" s="1"/>
  <c r="U309" i="28"/>
  <c r="AB309" i="28" s="1"/>
  <c r="V309" i="28"/>
  <c r="AC309" i="28" s="1"/>
  <c r="Q310" i="28"/>
  <c r="X310" i="28" s="1"/>
  <c r="R310" i="28"/>
  <c r="Y310" i="28" s="1"/>
  <c r="S310" i="28"/>
  <c r="Z310" i="28" s="1"/>
  <c r="T310" i="28"/>
  <c r="AA310" i="28" s="1"/>
  <c r="U310" i="28"/>
  <c r="AB310" i="28" s="1"/>
  <c r="V310" i="28"/>
  <c r="AC310" i="28" s="1"/>
  <c r="Q311" i="28"/>
  <c r="X311" i="28" s="1"/>
  <c r="R311" i="28"/>
  <c r="Y311" i="28" s="1"/>
  <c r="S311" i="28"/>
  <c r="Z311" i="28" s="1"/>
  <c r="T311" i="28"/>
  <c r="AA311" i="28" s="1"/>
  <c r="U311" i="28"/>
  <c r="AB311" i="28" s="1"/>
  <c r="V311" i="28"/>
  <c r="AC311" i="28" s="1"/>
  <c r="Q312" i="28"/>
  <c r="X312" i="28" s="1"/>
  <c r="R312" i="28"/>
  <c r="Y312" i="28" s="1"/>
  <c r="S312" i="28"/>
  <c r="Z312" i="28" s="1"/>
  <c r="T312" i="28"/>
  <c r="AA312" i="28" s="1"/>
  <c r="U312" i="28"/>
  <c r="AB312" i="28" s="1"/>
  <c r="Q313" i="28"/>
  <c r="X313" i="28" s="1"/>
  <c r="R313" i="28"/>
  <c r="Y313" i="28" s="1"/>
  <c r="S313" i="28"/>
  <c r="Z313" i="28" s="1"/>
  <c r="T313" i="28"/>
  <c r="AA313" i="28" s="1"/>
  <c r="U313" i="28"/>
  <c r="AB313" i="28" s="1"/>
  <c r="V313" i="28"/>
  <c r="AC313" i="28" s="1"/>
  <c r="Q314" i="28"/>
  <c r="X314" i="28" s="1"/>
  <c r="R314" i="28"/>
  <c r="Y314" i="28" s="1"/>
  <c r="S314" i="28"/>
  <c r="Z314" i="28" s="1"/>
  <c r="T314" i="28"/>
  <c r="AA314" i="28" s="1"/>
  <c r="U314" i="28"/>
  <c r="AB314" i="28" s="1"/>
  <c r="V314" i="28"/>
  <c r="AC314" i="28" s="1"/>
  <c r="Q315" i="28"/>
  <c r="X315" i="28" s="1"/>
  <c r="R315" i="28"/>
  <c r="Y315" i="28" s="1"/>
  <c r="S315" i="28"/>
  <c r="Z315" i="28" s="1"/>
  <c r="T315" i="28"/>
  <c r="AA315" i="28" s="1"/>
  <c r="U315" i="28"/>
  <c r="AB315" i="28" s="1"/>
  <c r="V315" i="28"/>
  <c r="AC315" i="28" s="1"/>
  <c r="Q316" i="28"/>
  <c r="X316" i="28" s="1"/>
  <c r="R316" i="28"/>
  <c r="Y316" i="28" s="1"/>
  <c r="S316" i="28"/>
  <c r="Z316" i="28" s="1"/>
  <c r="T316" i="28"/>
  <c r="AA316" i="28" s="1"/>
  <c r="U316" i="28"/>
  <c r="AB316" i="28" s="1"/>
  <c r="V316" i="28"/>
  <c r="AC316" i="28" s="1"/>
  <c r="Q317" i="28"/>
  <c r="X317" i="28" s="1"/>
  <c r="R317" i="28"/>
  <c r="Y317" i="28" s="1"/>
  <c r="S317" i="28"/>
  <c r="Z317" i="28" s="1"/>
  <c r="T317" i="28"/>
  <c r="AA317" i="28" s="1"/>
  <c r="U317" i="28"/>
  <c r="AB317" i="28" s="1"/>
  <c r="V317" i="28"/>
  <c r="AC317" i="28" s="1"/>
  <c r="Q318" i="28"/>
  <c r="X318" i="28" s="1"/>
  <c r="R318" i="28"/>
  <c r="Y318" i="28" s="1"/>
  <c r="S318" i="28"/>
  <c r="Z318" i="28" s="1"/>
  <c r="T318" i="28"/>
  <c r="AA318" i="28" s="1"/>
  <c r="U318" i="28"/>
  <c r="AB318" i="28" s="1"/>
  <c r="V318" i="28"/>
  <c r="AC318" i="28" s="1"/>
  <c r="Q319" i="28"/>
  <c r="X319" i="28" s="1"/>
  <c r="R319" i="28"/>
  <c r="Y319" i="28" s="1"/>
  <c r="S319" i="28"/>
  <c r="Z319" i="28" s="1"/>
  <c r="T319" i="28"/>
  <c r="AA319" i="28" s="1"/>
  <c r="U319" i="28"/>
  <c r="AB319" i="28" s="1"/>
  <c r="V319" i="28"/>
  <c r="AC319" i="28" s="1"/>
  <c r="Q320" i="28"/>
  <c r="X320" i="28" s="1"/>
  <c r="R320" i="28"/>
  <c r="Y320" i="28" s="1"/>
  <c r="S320" i="28"/>
  <c r="Z320" i="28" s="1"/>
  <c r="T320" i="28"/>
  <c r="AA320" i="28" s="1"/>
  <c r="U320" i="28"/>
  <c r="AB320" i="28" s="1"/>
  <c r="Q321" i="28"/>
  <c r="X321" i="28" s="1"/>
  <c r="R321" i="28"/>
  <c r="Y321" i="28" s="1"/>
  <c r="S321" i="28"/>
  <c r="Z321" i="28" s="1"/>
  <c r="T321" i="28"/>
  <c r="AA321" i="28" s="1"/>
  <c r="U321" i="28"/>
  <c r="AB321" i="28" s="1"/>
  <c r="V321" i="28"/>
  <c r="AC321" i="28" s="1"/>
  <c r="Q322" i="28"/>
  <c r="X322" i="28" s="1"/>
  <c r="R322" i="28"/>
  <c r="Y322" i="28" s="1"/>
  <c r="S322" i="28"/>
  <c r="Z322" i="28" s="1"/>
  <c r="T322" i="28"/>
  <c r="AA322" i="28" s="1"/>
  <c r="U322" i="28"/>
  <c r="AB322" i="28" s="1"/>
  <c r="V322" i="28"/>
  <c r="AC322" i="28" s="1"/>
  <c r="Q323" i="28"/>
  <c r="X323" i="28" s="1"/>
  <c r="R323" i="28"/>
  <c r="Y323" i="28" s="1"/>
  <c r="S323" i="28"/>
  <c r="Z323" i="28" s="1"/>
  <c r="T323" i="28"/>
  <c r="AA323" i="28" s="1"/>
  <c r="U323" i="28"/>
  <c r="AB323" i="28" s="1"/>
  <c r="V323" i="28"/>
  <c r="AC323" i="28" s="1"/>
  <c r="Q324" i="28"/>
  <c r="X324" i="28" s="1"/>
  <c r="R324" i="28"/>
  <c r="Y324" i="28" s="1"/>
  <c r="S324" i="28"/>
  <c r="Z324" i="28" s="1"/>
  <c r="T324" i="28"/>
  <c r="AA324" i="28" s="1"/>
  <c r="U324" i="28"/>
  <c r="AB324" i="28" s="1"/>
  <c r="V324" i="28"/>
  <c r="AC324" i="28" s="1"/>
  <c r="Q325" i="28"/>
  <c r="X325" i="28" s="1"/>
  <c r="R325" i="28"/>
  <c r="Y325" i="28" s="1"/>
  <c r="S325" i="28"/>
  <c r="Z325" i="28" s="1"/>
  <c r="T325" i="28"/>
  <c r="AA325" i="28" s="1"/>
  <c r="U325" i="28"/>
  <c r="AB325" i="28" s="1"/>
  <c r="V325" i="28"/>
  <c r="AC325" i="28" s="1"/>
  <c r="Q326" i="28"/>
  <c r="X326" i="28" s="1"/>
  <c r="R326" i="28"/>
  <c r="Y326" i="28" s="1"/>
  <c r="S326" i="28"/>
  <c r="Z326" i="28" s="1"/>
  <c r="T326" i="28"/>
  <c r="AA326" i="28" s="1"/>
  <c r="U326" i="28"/>
  <c r="AB326" i="28" s="1"/>
  <c r="V326" i="28"/>
  <c r="AC326" i="28" s="1"/>
  <c r="Q327" i="28"/>
  <c r="X327" i="28" s="1"/>
  <c r="R327" i="28"/>
  <c r="Y327" i="28" s="1"/>
  <c r="S327" i="28"/>
  <c r="Z327" i="28" s="1"/>
  <c r="T327" i="28"/>
  <c r="AA327" i="28" s="1"/>
  <c r="U327" i="28"/>
  <c r="AB327" i="28" s="1"/>
  <c r="V327" i="28"/>
  <c r="AC327" i="28" s="1"/>
  <c r="Q328" i="28"/>
  <c r="X328" i="28" s="1"/>
  <c r="R328" i="28"/>
  <c r="Y328" i="28" s="1"/>
  <c r="S328" i="28"/>
  <c r="Z328" i="28" s="1"/>
  <c r="T328" i="28"/>
  <c r="AA328" i="28" s="1"/>
  <c r="U328" i="28"/>
  <c r="AB328" i="28" s="1"/>
  <c r="Q329" i="28"/>
  <c r="X329" i="28" s="1"/>
  <c r="R329" i="28"/>
  <c r="Y329" i="28" s="1"/>
  <c r="S329" i="28"/>
  <c r="Z329" i="28" s="1"/>
  <c r="T329" i="28"/>
  <c r="AA329" i="28" s="1"/>
  <c r="U329" i="28"/>
  <c r="AB329" i="28" s="1"/>
  <c r="V329" i="28"/>
  <c r="AC329" i="28" s="1"/>
  <c r="Q330" i="28"/>
  <c r="X330" i="28" s="1"/>
  <c r="R330" i="28"/>
  <c r="Y330" i="28" s="1"/>
  <c r="S330" i="28"/>
  <c r="Z330" i="28" s="1"/>
  <c r="T330" i="28"/>
  <c r="AA330" i="28" s="1"/>
  <c r="U330" i="28"/>
  <c r="AB330" i="28" s="1"/>
  <c r="V330" i="28"/>
  <c r="AC330" i="28" s="1"/>
  <c r="Q331" i="28"/>
  <c r="X331" i="28" s="1"/>
  <c r="R331" i="28"/>
  <c r="Y331" i="28" s="1"/>
  <c r="S331" i="28"/>
  <c r="Z331" i="28" s="1"/>
  <c r="T331" i="28"/>
  <c r="AA331" i="28" s="1"/>
  <c r="U331" i="28"/>
  <c r="AB331" i="28" s="1"/>
  <c r="V331" i="28"/>
  <c r="AC331" i="28" s="1"/>
  <c r="Q332" i="28"/>
  <c r="X332" i="28" s="1"/>
  <c r="R332" i="28"/>
  <c r="Y332" i="28" s="1"/>
  <c r="S332" i="28"/>
  <c r="Z332" i="28" s="1"/>
  <c r="T332" i="28"/>
  <c r="AA332" i="28" s="1"/>
  <c r="U332" i="28"/>
  <c r="AB332" i="28" s="1"/>
  <c r="V332" i="28"/>
  <c r="AC332" i="28" s="1"/>
  <c r="Q333" i="28"/>
  <c r="X333" i="28" s="1"/>
  <c r="R333" i="28"/>
  <c r="Y333" i="28" s="1"/>
  <c r="S333" i="28"/>
  <c r="Z333" i="28" s="1"/>
  <c r="T333" i="28"/>
  <c r="AA333" i="28" s="1"/>
  <c r="U333" i="28"/>
  <c r="AB333" i="28" s="1"/>
  <c r="V333" i="28"/>
  <c r="AC333" i="28" s="1"/>
  <c r="Q334" i="28"/>
  <c r="X334" i="28" s="1"/>
  <c r="R334" i="28"/>
  <c r="Y334" i="28" s="1"/>
  <c r="S334" i="28"/>
  <c r="Z334" i="28" s="1"/>
  <c r="T334" i="28"/>
  <c r="AA334" i="28" s="1"/>
  <c r="U334" i="28"/>
  <c r="AB334" i="28" s="1"/>
  <c r="V334" i="28"/>
  <c r="AC334" i="28" s="1"/>
  <c r="Q335" i="28"/>
  <c r="X335" i="28" s="1"/>
  <c r="R335" i="28"/>
  <c r="Y335" i="28" s="1"/>
  <c r="S335" i="28"/>
  <c r="Z335" i="28" s="1"/>
  <c r="T335" i="28"/>
  <c r="AA335" i="28" s="1"/>
  <c r="U335" i="28"/>
  <c r="AB335" i="28" s="1"/>
  <c r="V335" i="28"/>
  <c r="AC335" i="28" s="1"/>
  <c r="Q336" i="28"/>
  <c r="X336" i="28" s="1"/>
  <c r="R336" i="28"/>
  <c r="Y336" i="28" s="1"/>
  <c r="S336" i="28"/>
  <c r="Z336" i="28" s="1"/>
  <c r="T336" i="28"/>
  <c r="AA336" i="28" s="1"/>
  <c r="U336" i="28"/>
  <c r="AB336" i="28" s="1"/>
  <c r="Q337" i="28"/>
  <c r="X337" i="28" s="1"/>
  <c r="R337" i="28"/>
  <c r="Y337" i="28" s="1"/>
  <c r="S337" i="28"/>
  <c r="Z337" i="28" s="1"/>
  <c r="T337" i="28"/>
  <c r="AA337" i="28" s="1"/>
  <c r="U337" i="28"/>
  <c r="AB337" i="28" s="1"/>
  <c r="V337" i="28"/>
  <c r="AC337" i="28" s="1"/>
  <c r="Q338" i="28"/>
  <c r="X338" i="28" s="1"/>
  <c r="R338" i="28"/>
  <c r="Y338" i="28" s="1"/>
  <c r="S338" i="28"/>
  <c r="Z338" i="28" s="1"/>
  <c r="T338" i="28"/>
  <c r="AA338" i="28" s="1"/>
  <c r="U338" i="28"/>
  <c r="AB338" i="28" s="1"/>
  <c r="V338" i="28"/>
  <c r="AC338" i="28" s="1"/>
  <c r="Q339" i="28"/>
  <c r="X339" i="28" s="1"/>
  <c r="R339" i="28"/>
  <c r="Y339" i="28" s="1"/>
  <c r="S339" i="28"/>
  <c r="Z339" i="28" s="1"/>
  <c r="T339" i="28"/>
  <c r="AA339" i="28" s="1"/>
  <c r="U339" i="28"/>
  <c r="AB339" i="28" s="1"/>
  <c r="V339" i="28"/>
  <c r="AC339" i="28" s="1"/>
  <c r="Q340" i="28"/>
  <c r="X340" i="28" s="1"/>
  <c r="R340" i="28"/>
  <c r="Y340" i="28" s="1"/>
  <c r="S340" i="28"/>
  <c r="Z340" i="28" s="1"/>
  <c r="T340" i="28"/>
  <c r="AA340" i="28" s="1"/>
  <c r="U340" i="28"/>
  <c r="AB340" i="28" s="1"/>
  <c r="V340" i="28"/>
  <c r="AC340" i="28" s="1"/>
  <c r="Q341" i="28"/>
  <c r="X341" i="28" s="1"/>
  <c r="R341" i="28"/>
  <c r="Y341" i="28" s="1"/>
  <c r="S341" i="28"/>
  <c r="Z341" i="28" s="1"/>
  <c r="T341" i="28"/>
  <c r="AA341" i="28" s="1"/>
  <c r="U341" i="28"/>
  <c r="AB341" i="28" s="1"/>
  <c r="V341" i="28"/>
  <c r="AC341" i="28" s="1"/>
  <c r="Q342" i="28"/>
  <c r="X342" i="28" s="1"/>
  <c r="R342" i="28"/>
  <c r="Y342" i="28" s="1"/>
  <c r="S342" i="28"/>
  <c r="Z342" i="28" s="1"/>
  <c r="T342" i="28"/>
  <c r="AA342" i="28" s="1"/>
  <c r="U342" i="28"/>
  <c r="AB342" i="28" s="1"/>
  <c r="V342" i="28"/>
  <c r="AC342" i="28" s="1"/>
  <c r="Q343" i="28"/>
  <c r="X343" i="28" s="1"/>
  <c r="R343" i="28"/>
  <c r="Y343" i="28" s="1"/>
  <c r="S343" i="28"/>
  <c r="Z343" i="28" s="1"/>
  <c r="T343" i="28"/>
  <c r="AA343" i="28" s="1"/>
  <c r="U343" i="28"/>
  <c r="AB343" i="28" s="1"/>
  <c r="V343" i="28"/>
  <c r="AC343" i="28" s="1"/>
  <c r="Q344" i="28"/>
  <c r="X344" i="28" s="1"/>
  <c r="R344" i="28"/>
  <c r="Y344" i="28" s="1"/>
  <c r="S344" i="28"/>
  <c r="Z344" i="28" s="1"/>
  <c r="T344" i="28"/>
  <c r="AA344" i="28" s="1"/>
  <c r="U344" i="28"/>
  <c r="AB344" i="28" s="1"/>
  <c r="Q345" i="28"/>
  <c r="X345" i="28" s="1"/>
  <c r="R345" i="28"/>
  <c r="Y345" i="28" s="1"/>
  <c r="S345" i="28"/>
  <c r="Z345" i="28" s="1"/>
  <c r="T345" i="28"/>
  <c r="AA345" i="28" s="1"/>
  <c r="U345" i="28"/>
  <c r="AB345" i="28" s="1"/>
  <c r="V345" i="28"/>
  <c r="AC345" i="28" s="1"/>
  <c r="Q346" i="28"/>
  <c r="X346" i="28" s="1"/>
  <c r="R346" i="28"/>
  <c r="Y346" i="28" s="1"/>
  <c r="S346" i="28"/>
  <c r="Z346" i="28" s="1"/>
  <c r="T346" i="28"/>
  <c r="AA346" i="28" s="1"/>
  <c r="U346" i="28"/>
  <c r="AB346" i="28" s="1"/>
  <c r="V346" i="28"/>
  <c r="AC346" i="28" s="1"/>
  <c r="Q347" i="28"/>
  <c r="X347" i="28" s="1"/>
  <c r="R347" i="28"/>
  <c r="Y347" i="28" s="1"/>
  <c r="S347" i="28"/>
  <c r="Z347" i="28" s="1"/>
  <c r="T347" i="28"/>
  <c r="AA347" i="28" s="1"/>
  <c r="U347" i="28"/>
  <c r="AB347" i="28" s="1"/>
  <c r="V347" i="28"/>
  <c r="AC347" i="28" s="1"/>
  <c r="Q348" i="28"/>
  <c r="X348" i="28" s="1"/>
  <c r="R348" i="28"/>
  <c r="Y348" i="28" s="1"/>
  <c r="S348" i="28"/>
  <c r="Z348" i="28" s="1"/>
  <c r="T348" i="28"/>
  <c r="AA348" i="28" s="1"/>
  <c r="U348" i="28"/>
  <c r="AB348" i="28" s="1"/>
  <c r="V348" i="28"/>
  <c r="AC348" i="28" s="1"/>
  <c r="Q349" i="28"/>
  <c r="X349" i="28" s="1"/>
  <c r="R349" i="28"/>
  <c r="Y349" i="28" s="1"/>
  <c r="S349" i="28"/>
  <c r="Z349" i="28" s="1"/>
  <c r="T349" i="28"/>
  <c r="AA349" i="28" s="1"/>
  <c r="U349" i="28"/>
  <c r="AB349" i="28" s="1"/>
  <c r="V349" i="28"/>
  <c r="AC349" i="28" s="1"/>
  <c r="Q350" i="28"/>
  <c r="X350" i="28" s="1"/>
  <c r="R350" i="28"/>
  <c r="Y350" i="28" s="1"/>
  <c r="S350" i="28"/>
  <c r="Z350" i="28" s="1"/>
  <c r="T350" i="28"/>
  <c r="AA350" i="28" s="1"/>
  <c r="U350" i="28"/>
  <c r="AB350" i="28" s="1"/>
  <c r="V350" i="28"/>
  <c r="AC350" i="28" s="1"/>
  <c r="Q351" i="28"/>
  <c r="X351" i="28" s="1"/>
  <c r="R351" i="28"/>
  <c r="Y351" i="28" s="1"/>
  <c r="S351" i="28"/>
  <c r="Z351" i="28" s="1"/>
  <c r="T351" i="28"/>
  <c r="AA351" i="28" s="1"/>
  <c r="U351" i="28"/>
  <c r="AB351" i="28" s="1"/>
  <c r="V351" i="28"/>
  <c r="AC351" i="28" s="1"/>
  <c r="Q352" i="28"/>
  <c r="X352" i="28" s="1"/>
  <c r="R352" i="28"/>
  <c r="Y352" i="28" s="1"/>
  <c r="S352" i="28"/>
  <c r="Z352" i="28" s="1"/>
  <c r="T352" i="28"/>
  <c r="AA352" i="28" s="1"/>
  <c r="U352" i="28"/>
  <c r="AB352" i="28" s="1"/>
  <c r="Q353" i="28"/>
  <c r="X353" i="28" s="1"/>
  <c r="R353" i="28"/>
  <c r="Y353" i="28" s="1"/>
  <c r="S353" i="28"/>
  <c r="Z353" i="28" s="1"/>
  <c r="T353" i="28"/>
  <c r="AA353" i="28" s="1"/>
  <c r="U353" i="28"/>
  <c r="AB353" i="28" s="1"/>
  <c r="V353" i="28"/>
  <c r="AC353" i="28" s="1"/>
  <c r="Q354" i="28"/>
  <c r="X354" i="28" s="1"/>
  <c r="R354" i="28"/>
  <c r="Y354" i="28" s="1"/>
  <c r="S354" i="28"/>
  <c r="Z354" i="28" s="1"/>
  <c r="T354" i="28"/>
  <c r="AA354" i="28" s="1"/>
  <c r="U354" i="28"/>
  <c r="AB354" i="28" s="1"/>
  <c r="V354" i="28"/>
  <c r="AC354" i="28" s="1"/>
  <c r="Q355" i="28"/>
  <c r="X355" i="28" s="1"/>
  <c r="R355" i="28"/>
  <c r="Y355" i="28" s="1"/>
  <c r="S355" i="28"/>
  <c r="Z355" i="28" s="1"/>
  <c r="T355" i="28"/>
  <c r="AA355" i="28" s="1"/>
  <c r="U355" i="28"/>
  <c r="AB355" i="28" s="1"/>
  <c r="V355" i="28"/>
  <c r="AC355" i="28" s="1"/>
  <c r="Q356" i="28"/>
  <c r="X356" i="28" s="1"/>
  <c r="R356" i="28"/>
  <c r="Y356" i="28" s="1"/>
  <c r="S356" i="28"/>
  <c r="Z356" i="28" s="1"/>
  <c r="T356" i="28"/>
  <c r="AA356" i="28" s="1"/>
  <c r="U356" i="28"/>
  <c r="AB356" i="28" s="1"/>
  <c r="V356" i="28"/>
  <c r="AC356" i="28" s="1"/>
  <c r="Q357" i="28"/>
  <c r="X357" i="28" s="1"/>
  <c r="R357" i="28"/>
  <c r="Y357" i="28" s="1"/>
  <c r="S357" i="28"/>
  <c r="Z357" i="28" s="1"/>
  <c r="T357" i="28"/>
  <c r="AA357" i="28" s="1"/>
  <c r="U357" i="28"/>
  <c r="AB357" i="28" s="1"/>
  <c r="V357" i="28"/>
  <c r="AC357" i="28" s="1"/>
  <c r="Q358" i="28"/>
  <c r="X358" i="28" s="1"/>
  <c r="R358" i="28"/>
  <c r="Y358" i="28" s="1"/>
  <c r="S358" i="28"/>
  <c r="Z358" i="28" s="1"/>
  <c r="T358" i="28"/>
  <c r="AA358" i="28" s="1"/>
  <c r="U358" i="28"/>
  <c r="AB358" i="28" s="1"/>
  <c r="V358" i="28"/>
  <c r="AC358" i="28" s="1"/>
  <c r="Q359" i="28"/>
  <c r="X359" i="28" s="1"/>
  <c r="R359" i="28"/>
  <c r="Y359" i="28" s="1"/>
  <c r="S359" i="28"/>
  <c r="Z359" i="28" s="1"/>
  <c r="T359" i="28"/>
  <c r="AA359" i="28" s="1"/>
  <c r="U359" i="28"/>
  <c r="AB359" i="28" s="1"/>
  <c r="V359" i="28"/>
  <c r="AC359" i="28" s="1"/>
  <c r="Q360" i="28"/>
  <c r="X360" i="28" s="1"/>
  <c r="R360" i="28"/>
  <c r="Y360" i="28" s="1"/>
  <c r="S360" i="28"/>
  <c r="Z360" i="28" s="1"/>
  <c r="T360" i="28"/>
  <c r="AA360" i="28" s="1"/>
  <c r="U360" i="28"/>
  <c r="AB360" i="28" s="1"/>
  <c r="Q361" i="28"/>
  <c r="X361" i="28" s="1"/>
  <c r="R361" i="28"/>
  <c r="Y361" i="28" s="1"/>
  <c r="S361" i="28"/>
  <c r="Z361" i="28" s="1"/>
  <c r="T361" i="28"/>
  <c r="AA361" i="28" s="1"/>
  <c r="U361" i="28"/>
  <c r="AB361" i="28" s="1"/>
  <c r="V361" i="28"/>
  <c r="AC361" i="28" s="1"/>
  <c r="Q362" i="28"/>
  <c r="X362" i="28" s="1"/>
  <c r="R362" i="28"/>
  <c r="Y362" i="28" s="1"/>
  <c r="S362" i="28"/>
  <c r="Z362" i="28" s="1"/>
  <c r="T362" i="28"/>
  <c r="AA362" i="28" s="1"/>
  <c r="U362" i="28"/>
  <c r="AB362" i="28" s="1"/>
  <c r="V362" i="28"/>
  <c r="AC362" i="28" s="1"/>
  <c r="Q363" i="28"/>
  <c r="X363" i="28" s="1"/>
  <c r="R363" i="28"/>
  <c r="Y363" i="28" s="1"/>
  <c r="S363" i="28"/>
  <c r="Z363" i="28" s="1"/>
  <c r="T363" i="28"/>
  <c r="AA363" i="28" s="1"/>
  <c r="U363" i="28"/>
  <c r="AB363" i="28" s="1"/>
  <c r="V363" i="28"/>
  <c r="AC363" i="28" s="1"/>
  <c r="Q364" i="28"/>
  <c r="X364" i="28" s="1"/>
  <c r="R364" i="28"/>
  <c r="Y364" i="28" s="1"/>
  <c r="S364" i="28"/>
  <c r="Z364" i="28" s="1"/>
  <c r="T364" i="28"/>
  <c r="AA364" i="28" s="1"/>
  <c r="U364" i="28"/>
  <c r="AB364" i="28" s="1"/>
  <c r="V364" i="28"/>
  <c r="AC364" i="28" s="1"/>
  <c r="Q365" i="28"/>
  <c r="X365" i="28" s="1"/>
  <c r="R365" i="28"/>
  <c r="Y365" i="28" s="1"/>
  <c r="S365" i="28"/>
  <c r="Z365" i="28" s="1"/>
  <c r="T365" i="28"/>
  <c r="AA365" i="28" s="1"/>
  <c r="U365" i="28"/>
  <c r="AB365" i="28" s="1"/>
  <c r="V365" i="28"/>
  <c r="AC365" i="28" s="1"/>
  <c r="Q366" i="28"/>
  <c r="X366" i="28" s="1"/>
  <c r="R366" i="28"/>
  <c r="Y366" i="28" s="1"/>
  <c r="S366" i="28"/>
  <c r="Z366" i="28" s="1"/>
  <c r="T366" i="28"/>
  <c r="AA366" i="28" s="1"/>
  <c r="U366" i="28"/>
  <c r="AB366" i="28" s="1"/>
  <c r="V366" i="28"/>
  <c r="AC366" i="28" s="1"/>
  <c r="Q367" i="28"/>
  <c r="X367" i="28" s="1"/>
  <c r="R367" i="28"/>
  <c r="Y367" i="28" s="1"/>
  <c r="S367" i="28"/>
  <c r="Z367" i="28" s="1"/>
  <c r="T367" i="28"/>
  <c r="AA367" i="28" s="1"/>
  <c r="U367" i="28"/>
  <c r="AB367" i="28" s="1"/>
  <c r="V367" i="28"/>
  <c r="AC367" i="28" s="1"/>
  <c r="Q368" i="28"/>
  <c r="X368" i="28" s="1"/>
  <c r="R368" i="28"/>
  <c r="Y368" i="28" s="1"/>
  <c r="S368" i="28"/>
  <c r="Z368" i="28" s="1"/>
  <c r="T368" i="28"/>
  <c r="AA368" i="28" s="1"/>
  <c r="U368" i="28"/>
  <c r="AB368" i="28" s="1"/>
  <c r="Q369" i="28"/>
  <c r="X369" i="28" s="1"/>
  <c r="R369" i="28"/>
  <c r="Y369" i="28" s="1"/>
  <c r="S369" i="28"/>
  <c r="Z369" i="28" s="1"/>
  <c r="T369" i="28"/>
  <c r="AA369" i="28" s="1"/>
  <c r="U369" i="28"/>
  <c r="AB369" i="28" s="1"/>
  <c r="V369" i="28"/>
  <c r="AC369" i="28" s="1"/>
  <c r="Q370" i="28"/>
  <c r="X370" i="28" s="1"/>
  <c r="R370" i="28"/>
  <c r="Y370" i="28" s="1"/>
  <c r="S370" i="28"/>
  <c r="Z370" i="28" s="1"/>
  <c r="T370" i="28"/>
  <c r="AA370" i="28" s="1"/>
  <c r="U370" i="28"/>
  <c r="AB370" i="28" s="1"/>
  <c r="V370" i="28"/>
  <c r="AC370" i="28" s="1"/>
  <c r="Q371" i="28"/>
  <c r="X371" i="28" s="1"/>
  <c r="R371" i="28"/>
  <c r="Y371" i="28" s="1"/>
  <c r="S371" i="28"/>
  <c r="Z371" i="28" s="1"/>
  <c r="T371" i="28"/>
  <c r="AA371" i="28" s="1"/>
  <c r="U371" i="28"/>
  <c r="AB371" i="28" s="1"/>
  <c r="V371" i="28"/>
  <c r="AC371" i="28" s="1"/>
  <c r="Q372" i="28"/>
  <c r="X372" i="28" s="1"/>
  <c r="R372" i="28"/>
  <c r="Y372" i="28" s="1"/>
  <c r="S372" i="28"/>
  <c r="Z372" i="28" s="1"/>
  <c r="T372" i="28"/>
  <c r="AA372" i="28" s="1"/>
  <c r="U372" i="28"/>
  <c r="AB372" i="28" s="1"/>
  <c r="V372" i="28"/>
  <c r="AC372" i="28" s="1"/>
  <c r="Q373" i="28"/>
  <c r="X373" i="28" s="1"/>
  <c r="R373" i="28"/>
  <c r="Y373" i="28" s="1"/>
  <c r="S373" i="28"/>
  <c r="Z373" i="28" s="1"/>
  <c r="T373" i="28"/>
  <c r="AA373" i="28" s="1"/>
  <c r="U373" i="28"/>
  <c r="AB373" i="28" s="1"/>
  <c r="V373" i="28"/>
  <c r="AC373" i="28" s="1"/>
  <c r="Q374" i="28"/>
  <c r="X374" i="28" s="1"/>
  <c r="R374" i="28"/>
  <c r="Y374" i="28" s="1"/>
  <c r="S374" i="28"/>
  <c r="Z374" i="28" s="1"/>
  <c r="T374" i="28"/>
  <c r="AA374" i="28" s="1"/>
  <c r="U374" i="28"/>
  <c r="AB374" i="28" s="1"/>
  <c r="V374" i="28"/>
  <c r="AC374" i="28" s="1"/>
  <c r="Q375" i="28"/>
  <c r="X375" i="28" s="1"/>
  <c r="R375" i="28"/>
  <c r="Y375" i="28" s="1"/>
  <c r="S375" i="28"/>
  <c r="Z375" i="28" s="1"/>
  <c r="T375" i="28"/>
  <c r="AA375" i="28" s="1"/>
  <c r="U375" i="28"/>
  <c r="AB375" i="28" s="1"/>
  <c r="V375" i="28"/>
  <c r="AC375" i="28" s="1"/>
  <c r="Q376" i="28"/>
  <c r="X376" i="28" s="1"/>
  <c r="R376" i="28"/>
  <c r="Y376" i="28" s="1"/>
  <c r="S376" i="28"/>
  <c r="Z376" i="28" s="1"/>
  <c r="T376" i="28"/>
  <c r="AA376" i="28" s="1"/>
  <c r="U376" i="28"/>
  <c r="AB376" i="28" s="1"/>
  <c r="Q377" i="28"/>
  <c r="X377" i="28" s="1"/>
  <c r="R377" i="28"/>
  <c r="Y377" i="28" s="1"/>
  <c r="S377" i="28"/>
  <c r="Z377" i="28" s="1"/>
  <c r="T377" i="28"/>
  <c r="AA377" i="28" s="1"/>
  <c r="U377" i="28"/>
  <c r="AB377" i="28" s="1"/>
  <c r="V377" i="28"/>
  <c r="AC377" i="28" s="1"/>
  <c r="Q378" i="28"/>
  <c r="X378" i="28" s="1"/>
  <c r="R378" i="28"/>
  <c r="Y378" i="28" s="1"/>
  <c r="S378" i="28"/>
  <c r="Z378" i="28" s="1"/>
  <c r="T378" i="28"/>
  <c r="AA378" i="28" s="1"/>
  <c r="U378" i="28"/>
  <c r="AB378" i="28" s="1"/>
  <c r="V378" i="28"/>
  <c r="AC378" i="28" s="1"/>
  <c r="Q379" i="28"/>
  <c r="X379" i="28" s="1"/>
  <c r="R379" i="28"/>
  <c r="Y379" i="28" s="1"/>
  <c r="S379" i="28"/>
  <c r="Z379" i="28" s="1"/>
  <c r="T379" i="28"/>
  <c r="AA379" i="28" s="1"/>
  <c r="U379" i="28"/>
  <c r="AB379" i="28" s="1"/>
  <c r="V379" i="28"/>
  <c r="AC379" i="28" s="1"/>
  <c r="Q380" i="28"/>
  <c r="X380" i="28" s="1"/>
  <c r="R380" i="28"/>
  <c r="Y380" i="28" s="1"/>
  <c r="S380" i="28"/>
  <c r="Z380" i="28" s="1"/>
  <c r="T380" i="28"/>
  <c r="AA380" i="28" s="1"/>
  <c r="U380" i="28"/>
  <c r="AB380" i="28" s="1"/>
  <c r="V380" i="28"/>
  <c r="AC380" i="28" s="1"/>
  <c r="Q381" i="28"/>
  <c r="X381" i="28" s="1"/>
  <c r="R381" i="28"/>
  <c r="Y381" i="28" s="1"/>
  <c r="S381" i="28"/>
  <c r="Z381" i="28" s="1"/>
  <c r="T381" i="28"/>
  <c r="AA381" i="28" s="1"/>
  <c r="U381" i="28"/>
  <c r="AB381" i="28" s="1"/>
  <c r="V381" i="28"/>
  <c r="AC381" i="28" s="1"/>
  <c r="Q382" i="28"/>
  <c r="X382" i="28" s="1"/>
  <c r="R382" i="28"/>
  <c r="Y382" i="28" s="1"/>
  <c r="S382" i="28"/>
  <c r="Z382" i="28" s="1"/>
  <c r="T382" i="28"/>
  <c r="AA382" i="28" s="1"/>
  <c r="U382" i="28"/>
  <c r="AB382" i="28" s="1"/>
  <c r="V382" i="28"/>
  <c r="AC382" i="28" s="1"/>
  <c r="Q383" i="28"/>
  <c r="X383" i="28" s="1"/>
  <c r="R383" i="28"/>
  <c r="Y383" i="28" s="1"/>
  <c r="S383" i="28"/>
  <c r="Z383" i="28" s="1"/>
  <c r="T383" i="28"/>
  <c r="AA383" i="28" s="1"/>
  <c r="U383" i="28"/>
  <c r="AB383" i="28" s="1"/>
  <c r="V383" i="28"/>
  <c r="AC383" i="28" s="1"/>
  <c r="Q384" i="28"/>
  <c r="X384" i="28" s="1"/>
  <c r="R384" i="28"/>
  <c r="Y384" i="28" s="1"/>
  <c r="S384" i="28"/>
  <c r="Z384" i="28" s="1"/>
  <c r="T384" i="28"/>
  <c r="AA384" i="28" s="1"/>
  <c r="U384" i="28"/>
  <c r="AB384" i="28" s="1"/>
  <c r="Q385" i="28"/>
  <c r="X385" i="28" s="1"/>
  <c r="R385" i="28"/>
  <c r="Y385" i="28" s="1"/>
  <c r="S385" i="28"/>
  <c r="Z385" i="28" s="1"/>
  <c r="T385" i="28"/>
  <c r="AA385" i="28" s="1"/>
  <c r="U385" i="28"/>
  <c r="AB385" i="28" s="1"/>
  <c r="V385" i="28"/>
  <c r="AC385" i="28" s="1"/>
  <c r="Q386" i="28"/>
  <c r="X386" i="28" s="1"/>
  <c r="R386" i="28"/>
  <c r="Y386" i="28" s="1"/>
  <c r="S386" i="28"/>
  <c r="Z386" i="28" s="1"/>
  <c r="T386" i="28"/>
  <c r="AA386" i="28" s="1"/>
  <c r="U386" i="28"/>
  <c r="AB386" i="28" s="1"/>
  <c r="V386" i="28"/>
  <c r="AC386" i="28" s="1"/>
  <c r="Q387" i="28"/>
  <c r="X387" i="28" s="1"/>
  <c r="R387" i="28"/>
  <c r="Y387" i="28" s="1"/>
  <c r="S387" i="28"/>
  <c r="Z387" i="28" s="1"/>
  <c r="T387" i="28"/>
  <c r="AA387" i="28" s="1"/>
  <c r="U387" i="28"/>
  <c r="AB387" i="28" s="1"/>
  <c r="V387" i="28"/>
  <c r="AC387" i="28" s="1"/>
  <c r="Q388" i="28"/>
  <c r="X388" i="28" s="1"/>
  <c r="R388" i="28"/>
  <c r="Y388" i="28" s="1"/>
  <c r="S388" i="28"/>
  <c r="Z388" i="28" s="1"/>
  <c r="T388" i="28"/>
  <c r="AA388" i="28" s="1"/>
  <c r="U388" i="28"/>
  <c r="AB388" i="28" s="1"/>
  <c r="V388" i="28"/>
  <c r="AC388" i="28" s="1"/>
  <c r="Q389" i="28"/>
  <c r="X389" i="28" s="1"/>
  <c r="R389" i="28"/>
  <c r="Y389" i="28" s="1"/>
  <c r="S389" i="28"/>
  <c r="Z389" i="28" s="1"/>
  <c r="T389" i="28"/>
  <c r="AA389" i="28" s="1"/>
  <c r="U389" i="28"/>
  <c r="AB389" i="28" s="1"/>
  <c r="V389" i="28"/>
  <c r="AC389" i="28" s="1"/>
  <c r="Q390" i="28"/>
  <c r="X390" i="28" s="1"/>
  <c r="R390" i="28"/>
  <c r="Y390" i="28" s="1"/>
  <c r="S390" i="28"/>
  <c r="Z390" i="28" s="1"/>
  <c r="T390" i="28"/>
  <c r="AA390" i="28" s="1"/>
  <c r="U390" i="28"/>
  <c r="AB390" i="28" s="1"/>
  <c r="V390" i="28"/>
  <c r="AC390" i="28" s="1"/>
  <c r="Q391" i="28"/>
  <c r="X391" i="28" s="1"/>
  <c r="R391" i="28"/>
  <c r="Y391" i="28" s="1"/>
  <c r="S391" i="28"/>
  <c r="Z391" i="28" s="1"/>
  <c r="T391" i="28"/>
  <c r="AA391" i="28" s="1"/>
  <c r="U391" i="28"/>
  <c r="AB391" i="28" s="1"/>
  <c r="V391" i="28"/>
  <c r="AC391" i="28" s="1"/>
  <c r="Q392" i="28"/>
  <c r="X392" i="28" s="1"/>
  <c r="R392" i="28"/>
  <c r="Y392" i="28" s="1"/>
  <c r="S392" i="28"/>
  <c r="Z392" i="28" s="1"/>
  <c r="T392" i="28"/>
  <c r="AA392" i="28" s="1"/>
  <c r="U392" i="28"/>
  <c r="AB392" i="28" s="1"/>
  <c r="Q393" i="28"/>
  <c r="X393" i="28" s="1"/>
  <c r="R393" i="28"/>
  <c r="Y393" i="28" s="1"/>
  <c r="S393" i="28"/>
  <c r="Z393" i="28" s="1"/>
  <c r="T393" i="28"/>
  <c r="AA393" i="28" s="1"/>
  <c r="U393" i="28"/>
  <c r="AB393" i="28" s="1"/>
  <c r="V393" i="28"/>
  <c r="AC393" i="28" s="1"/>
  <c r="Q394" i="28"/>
  <c r="X394" i="28" s="1"/>
  <c r="R394" i="28"/>
  <c r="Y394" i="28" s="1"/>
  <c r="S394" i="28"/>
  <c r="Z394" i="28" s="1"/>
  <c r="T394" i="28"/>
  <c r="AA394" i="28" s="1"/>
  <c r="U394" i="28"/>
  <c r="AB394" i="28" s="1"/>
  <c r="V394" i="28"/>
  <c r="AC394" i="28" s="1"/>
  <c r="Q395" i="28"/>
  <c r="X395" i="28" s="1"/>
  <c r="R395" i="28"/>
  <c r="Y395" i="28" s="1"/>
  <c r="S395" i="28"/>
  <c r="Z395" i="28" s="1"/>
  <c r="T395" i="28"/>
  <c r="AA395" i="28" s="1"/>
  <c r="U395" i="28"/>
  <c r="AB395" i="28" s="1"/>
  <c r="V395" i="28"/>
  <c r="AC395" i="28" s="1"/>
  <c r="Q396" i="28"/>
  <c r="X396" i="28" s="1"/>
  <c r="R396" i="28"/>
  <c r="Y396" i="28" s="1"/>
  <c r="S396" i="28"/>
  <c r="Z396" i="28" s="1"/>
  <c r="T396" i="28"/>
  <c r="AA396" i="28" s="1"/>
  <c r="U396" i="28"/>
  <c r="AB396" i="28" s="1"/>
  <c r="V396" i="28"/>
  <c r="AC396" i="28" s="1"/>
  <c r="Q397" i="28"/>
  <c r="X397" i="28" s="1"/>
  <c r="R397" i="28"/>
  <c r="Y397" i="28" s="1"/>
  <c r="S397" i="28"/>
  <c r="Z397" i="28" s="1"/>
  <c r="T397" i="28"/>
  <c r="AA397" i="28" s="1"/>
  <c r="U397" i="28"/>
  <c r="AB397" i="28" s="1"/>
  <c r="V397" i="28"/>
  <c r="AC397" i="28" s="1"/>
  <c r="Q398" i="28"/>
  <c r="X398" i="28" s="1"/>
  <c r="R398" i="28"/>
  <c r="Y398" i="28" s="1"/>
  <c r="S398" i="28"/>
  <c r="Z398" i="28" s="1"/>
  <c r="T398" i="28"/>
  <c r="AA398" i="28" s="1"/>
  <c r="U398" i="28"/>
  <c r="AB398" i="28" s="1"/>
  <c r="V398" i="28"/>
  <c r="AC398" i="28" s="1"/>
  <c r="Q399" i="28"/>
  <c r="X399" i="28" s="1"/>
  <c r="R399" i="28"/>
  <c r="Y399" i="28" s="1"/>
  <c r="S399" i="28"/>
  <c r="Z399" i="28" s="1"/>
  <c r="T399" i="28"/>
  <c r="AA399" i="28" s="1"/>
  <c r="U399" i="28"/>
  <c r="AB399" i="28" s="1"/>
  <c r="V399" i="28"/>
  <c r="AC399" i="28" s="1"/>
  <c r="Q400" i="28"/>
  <c r="X400" i="28" s="1"/>
  <c r="R400" i="28"/>
  <c r="Y400" i="28" s="1"/>
  <c r="S400" i="28"/>
  <c r="Z400" i="28" s="1"/>
  <c r="T400" i="28"/>
  <c r="AA400" i="28" s="1"/>
  <c r="U400" i="28"/>
  <c r="AB400" i="28" s="1"/>
  <c r="Q401" i="28"/>
  <c r="X401" i="28" s="1"/>
  <c r="R401" i="28"/>
  <c r="Y401" i="28" s="1"/>
  <c r="S401" i="28"/>
  <c r="Z401" i="28" s="1"/>
  <c r="T401" i="28"/>
  <c r="AA401" i="28" s="1"/>
  <c r="U401" i="28"/>
  <c r="AB401" i="28" s="1"/>
  <c r="V401" i="28"/>
  <c r="AC401" i="28" s="1"/>
  <c r="Q402" i="28"/>
  <c r="X402" i="28" s="1"/>
  <c r="R402" i="28"/>
  <c r="Y402" i="28" s="1"/>
  <c r="S402" i="28"/>
  <c r="Z402" i="28" s="1"/>
  <c r="T402" i="28"/>
  <c r="AA402" i="28" s="1"/>
  <c r="U402" i="28"/>
  <c r="AB402" i="28" s="1"/>
  <c r="V402" i="28"/>
  <c r="AC402" i="28" s="1"/>
  <c r="Q403" i="28"/>
  <c r="X403" i="28" s="1"/>
  <c r="R403" i="28"/>
  <c r="Y403" i="28" s="1"/>
  <c r="S403" i="28"/>
  <c r="Z403" i="28" s="1"/>
  <c r="T403" i="28"/>
  <c r="AA403" i="28" s="1"/>
  <c r="U403" i="28"/>
  <c r="AB403" i="28" s="1"/>
  <c r="V403" i="28"/>
  <c r="AC403" i="28" s="1"/>
  <c r="Q404" i="28"/>
  <c r="X404" i="28" s="1"/>
  <c r="R404" i="28"/>
  <c r="Y404" i="28" s="1"/>
  <c r="S404" i="28"/>
  <c r="Z404" i="28" s="1"/>
  <c r="T404" i="28"/>
  <c r="AA404" i="28" s="1"/>
  <c r="U404" i="28"/>
  <c r="AB404" i="28" s="1"/>
  <c r="V404" i="28"/>
  <c r="AC404" i="28" s="1"/>
  <c r="Q405" i="28"/>
  <c r="X405" i="28" s="1"/>
  <c r="R405" i="28"/>
  <c r="Y405" i="28" s="1"/>
  <c r="S405" i="28"/>
  <c r="Z405" i="28" s="1"/>
  <c r="T405" i="28"/>
  <c r="AA405" i="28" s="1"/>
  <c r="U405" i="28"/>
  <c r="AB405" i="28" s="1"/>
  <c r="V405" i="28"/>
  <c r="AC405" i="28" s="1"/>
  <c r="Q406" i="28"/>
  <c r="X406" i="28" s="1"/>
  <c r="R406" i="28"/>
  <c r="Y406" i="28" s="1"/>
  <c r="S406" i="28"/>
  <c r="Z406" i="28" s="1"/>
  <c r="T406" i="28"/>
  <c r="AA406" i="28" s="1"/>
  <c r="U406" i="28"/>
  <c r="AB406" i="28" s="1"/>
  <c r="V406" i="28"/>
  <c r="AC406" i="28" s="1"/>
  <c r="Q407" i="28"/>
  <c r="X407" i="28" s="1"/>
  <c r="R407" i="28"/>
  <c r="Y407" i="28" s="1"/>
  <c r="S407" i="28"/>
  <c r="Z407" i="28" s="1"/>
  <c r="T407" i="28"/>
  <c r="AA407" i="28" s="1"/>
  <c r="U407" i="28"/>
  <c r="AB407" i="28" s="1"/>
  <c r="V407" i="28"/>
  <c r="AC407" i="28" s="1"/>
  <c r="Q408" i="28"/>
  <c r="X408" i="28" s="1"/>
  <c r="R408" i="28"/>
  <c r="Y408" i="28" s="1"/>
  <c r="S408" i="28"/>
  <c r="Z408" i="28" s="1"/>
  <c r="T408" i="28"/>
  <c r="AA408" i="28" s="1"/>
  <c r="U408" i="28"/>
  <c r="AB408" i="28" s="1"/>
  <c r="Q409" i="28"/>
  <c r="X409" i="28" s="1"/>
  <c r="R409" i="28"/>
  <c r="Y409" i="28" s="1"/>
  <c r="S409" i="28"/>
  <c r="Z409" i="28" s="1"/>
  <c r="T409" i="28"/>
  <c r="AA409" i="28" s="1"/>
  <c r="U409" i="28"/>
  <c r="AB409" i="28" s="1"/>
  <c r="V409" i="28"/>
  <c r="AC409" i="28" s="1"/>
  <c r="Q410" i="28"/>
  <c r="X410" i="28" s="1"/>
  <c r="R410" i="28"/>
  <c r="Y410" i="28" s="1"/>
  <c r="S410" i="28"/>
  <c r="Z410" i="28" s="1"/>
  <c r="T410" i="28"/>
  <c r="AA410" i="28" s="1"/>
  <c r="U410" i="28"/>
  <c r="AB410" i="28" s="1"/>
  <c r="V410" i="28"/>
  <c r="AC410" i="28" s="1"/>
  <c r="Q411" i="28"/>
  <c r="X411" i="28" s="1"/>
  <c r="R411" i="28"/>
  <c r="Y411" i="28" s="1"/>
  <c r="S411" i="28"/>
  <c r="Z411" i="28" s="1"/>
  <c r="T411" i="28"/>
  <c r="AA411" i="28" s="1"/>
  <c r="U411" i="28"/>
  <c r="AB411" i="28" s="1"/>
  <c r="V411" i="28"/>
  <c r="AC411" i="28" s="1"/>
  <c r="Q412" i="28"/>
  <c r="X412" i="28" s="1"/>
  <c r="R412" i="28"/>
  <c r="Y412" i="28" s="1"/>
  <c r="S412" i="28"/>
  <c r="Z412" i="28" s="1"/>
  <c r="T412" i="28"/>
  <c r="AA412" i="28" s="1"/>
  <c r="U412" i="28"/>
  <c r="AB412" i="28" s="1"/>
  <c r="V412" i="28"/>
  <c r="AC412" i="28" s="1"/>
  <c r="Q413" i="28"/>
  <c r="X413" i="28" s="1"/>
  <c r="R413" i="28"/>
  <c r="Y413" i="28" s="1"/>
  <c r="S413" i="28"/>
  <c r="Z413" i="28" s="1"/>
  <c r="T413" i="28"/>
  <c r="AA413" i="28" s="1"/>
  <c r="U413" i="28"/>
  <c r="AB413" i="28" s="1"/>
  <c r="V413" i="28"/>
  <c r="AC413" i="28" s="1"/>
  <c r="Q414" i="28"/>
  <c r="X414" i="28" s="1"/>
  <c r="R414" i="28"/>
  <c r="Y414" i="28" s="1"/>
  <c r="S414" i="28"/>
  <c r="Z414" i="28" s="1"/>
  <c r="T414" i="28"/>
  <c r="AA414" i="28" s="1"/>
  <c r="U414" i="28"/>
  <c r="AB414" i="28" s="1"/>
  <c r="V414" i="28"/>
  <c r="AC414" i="28" s="1"/>
  <c r="Q415" i="28"/>
  <c r="X415" i="28" s="1"/>
  <c r="R415" i="28"/>
  <c r="Y415" i="28" s="1"/>
  <c r="S415" i="28"/>
  <c r="Z415" i="28" s="1"/>
  <c r="T415" i="28"/>
  <c r="AA415" i="28" s="1"/>
  <c r="U415" i="28"/>
  <c r="AB415" i="28" s="1"/>
  <c r="V415" i="28"/>
  <c r="AC415" i="28" s="1"/>
  <c r="Q416" i="28"/>
  <c r="X416" i="28" s="1"/>
  <c r="R416" i="28"/>
  <c r="Y416" i="28" s="1"/>
  <c r="S416" i="28"/>
  <c r="Z416" i="28" s="1"/>
  <c r="T416" i="28"/>
  <c r="AA416" i="28" s="1"/>
  <c r="U416" i="28"/>
  <c r="AB416" i="28" s="1"/>
  <c r="Q417" i="28"/>
  <c r="X417" i="28" s="1"/>
  <c r="R417" i="28"/>
  <c r="Y417" i="28" s="1"/>
  <c r="S417" i="28"/>
  <c r="Z417" i="28" s="1"/>
  <c r="T417" i="28"/>
  <c r="AA417" i="28" s="1"/>
  <c r="U417" i="28"/>
  <c r="AB417" i="28" s="1"/>
  <c r="V417" i="28"/>
  <c r="AC417" i="28" s="1"/>
  <c r="Q418" i="28"/>
  <c r="X418" i="28" s="1"/>
  <c r="R418" i="28"/>
  <c r="Y418" i="28" s="1"/>
  <c r="S418" i="28"/>
  <c r="Z418" i="28" s="1"/>
  <c r="T418" i="28"/>
  <c r="AA418" i="28" s="1"/>
  <c r="U418" i="28"/>
  <c r="AB418" i="28" s="1"/>
  <c r="V418" i="28"/>
  <c r="AC418" i="28" s="1"/>
  <c r="Q419" i="28"/>
  <c r="X419" i="28" s="1"/>
  <c r="R419" i="28"/>
  <c r="Y419" i="28" s="1"/>
  <c r="S419" i="28"/>
  <c r="Z419" i="28" s="1"/>
  <c r="T419" i="28"/>
  <c r="AA419" i="28" s="1"/>
  <c r="U419" i="28"/>
  <c r="AB419" i="28" s="1"/>
  <c r="V419" i="28"/>
  <c r="AC419" i="28" s="1"/>
  <c r="Q420" i="28"/>
  <c r="X420" i="28" s="1"/>
  <c r="R420" i="28"/>
  <c r="Y420" i="28" s="1"/>
  <c r="S420" i="28"/>
  <c r="Z420" i="28" s="1"/>
  <c r="T420" i="28"/>
  <c r="AA420" i="28" s="1"/>
  <c r="U420" i="28"/>
  <c r="AB420" i="28" s="1"/>
  <c r="V420" i="28"/>
  <c r="AC420" i="28" s="1"/>
  <c r="Q421" i="28"/>
  <c r="X421" i="28" s="1"/>
  <c r="R421" i="28"/>
  <c r="Y421" i="28" s="1"/>
  <c r="S421" i="28"/>
  <c r="Z421" i="28" s="1"/>
  <c r="T421" i="28"/>
  <c r="AA421" i="28" s="1"/>
  <c r="U421" i="28"/>
  <c r="AB421" i="28" s="1"/>
  <c r="V421" i="28"/>
  <c r="AC421" i="28" s="1"/>
  <c r="Q422" i="28"/>
  <c r="X422" i="28" s="1"/>
  <c r="R422" i="28"/>
  <c r="Y422" i="28" s="1"/>
  <c r="S422" i="28"/>
  <c r="Z422" i="28" s="1"/>
  <c r="T422" i="28"/>
  <c r="AA422" i="28" s="1"/>
  <c r="U422" i="28"/>
  <c r="AB422" i="28" s="1"/>
  <c r="V422" i="28"/>
  <c r="AC422" i="28" s="1"/>
  <c r="Q423" i="28"/>
  <c r="X423" i="28" s="1"/>
  <c r="R423" i="28"/>
  <c r="Y423" i="28" s="1"/>
  <c r="S423" i="28"/>
  <c r="Z423" i="28" s="1"/>
  <c r="T423" i="28"/>
  <c r="AA423" i="28" s="1"/>
  <c r="U423" i="28"/>
  <c r="AB423" i="28" s="1"/>
  <c r="V423" i="28"/>
  <c r="AC423" i="28" s="1"/>
  <c r="Q424" i="28"/>
  <c r="X424" i="28" s="1"/>
  <c r="R424" i="28"/>
  <c r="Y424" i="28" s="1"/>
  <c r="S424" i="28"/>
  <c r="Z424" i="28" s="1"/>
  <c r="T424" i="28"/>
  <c r="AA424" i="28" s="1"/>
  <c r="U424" i="28"/>
  <c r="AB424" i="28" s="1"/>
  <c r="Q425" i="28"/>
  <c r="X425" i="28" s="1"/>
  <c r="R425" i="28"/>
  <c r="Y425" i="28" s="1"/>
  <c r="S425" i="28"/>
  <c r="Z425" i="28" s="1"/>
  <c r="T425" i="28"/>
  <c r="AA425" i="28" s="1"/>
  <c r="U425" i="28"/>
  <c r="AB425" i="28" s="1"/>
  <c r="V425" i="28"/>
  <c r="AC425" i="28" s="1"/>
  <c r="Q426" i="28"/>
  <c r="X426" i="28" s="1"/>
  <c r="R426" i="28"/>
  <c r="Y426" i="28" s="1"/>
  <c r="S426" i="28"/>
  <c r="Z426" i="28" s="1"/>
  <c r="T426" i="28"/>
  <c r="AA426" i="28" s="1"/>
  <c r="U426" i="28"/>
  <c r="AB426" i="28" s="1"/>
  <c r="V426" i="28"/>
  <c r="AC426" i="28" s="1"/>
  <c r="Q427" i="28"/>
  <c r="X427" i="28" s="1"/>
  <c r="R427" i="28"/>
  <c r="Y427" i="28" s="1"/>
  <c r="S427" i="28"/>
  <c r="Z427" i="28" s="1"/>
  <c r="T427" i="28"/>
  <c r="AA427" i="28" s="1"/>
  <c r="U427" i="28"/>
  <c r="AB427" i="28" s="1"/>
  <c r="V427" i="28"/>
  <c r="AC427" i="28" s="1"/>
  <c r="Q428" i="28"/>
  <c r="X428" i="28" s="1"/>
  <c r="R428" i="28"/>
  <c r="Y428" i="28" s="1"/>
  <c r="S428" i="28"/>
  <c r="Z428" i="28" s="1"/>
  <c r="T428" i="28"/>
  <c r="AA428" i="28" s="1"/>
  <c r="U428" i="28"/>
  <c r="AB428" i="28" s="1"/>
  <c r="V428" i="28"/>
  <c r="AC428" i="28" s="1"/>
  <c r="Q429" i="28"/>
  <c r="X429" i="28" s="1"/>
  <c r="R429" i="28"/>
  <c r="Y429" i="28" s="1"/>
  <c r="S429" i="28"/>
  <c r="Z429" i="28" s="1"/>
  <c r="T429" i="28"/>
  <c r="AA429" i="28" s="1"/>
  <c r="U429" i="28"/>
  <c r="AB429" i="28" s="1"/>
  <c r="V429" i="28"/>
  <c r="AC429" i="28" s="1"/>
  <c r="Q430" i="28"/>
  <c r="X430" i="28" s="1"/>
  <c r="R430" i="28"/>
  <c r="Y430" i="28" s="1"/>
  <c r="S430" i="28"/>
  <c r="Z430" i="28" s="1"/>
  <c r="T430" i="28"/>
  <c r="AA430" i="28" s="1"/>
  <c r="U430" i="28"/>
  <c r="AB430" i="28" s="1"/>
  <c r="V430" i="28"/>
  <c r="AC430" i="28" s="1"/>
  <c r="Q431" i="28"/>
  <c r="X431" i="28" s="1"/>
  <c r="R431" i="28"/>
  <c r="Y431" i="28" s="1"/>
  <c r="S431" i="28"/>
  <c r="Z431" i="28" s="1"/>
  <c r="T431" i="28"/>
  <c r="AA431" i="28" s="1"/>
  <c r="U431" i="28"/>
  <c r="AB431" i="28" s="1"/>
  <c r="V431" i="28"/>
  <c r="AC431" i="28" s="1"/>
  <c r="Q432" i="28"/>
  <c r="X432" i="28" s="1"/>
  <c r="R432" i="28"/>
  <c r="Y432" i="28" s="1"/>
  <c r="S432" i="28"/>
  <c r="Z432" i="28" s="1"/>
  <c r="T432" i="28"/>
  <c r="AA432" i="28" s="1"/>
  <c r="U432" i="28"/>
  <c r="AB432" i="28" s="1"/>
  <c r="Q433" i="28"/>
  <c r="X433" i="28" s="1"/>
  <c r="R433" i="28"/>
  <c r="Y433" i="28" s="1"/>
  <c r="S433" i="28"/>
  <c r="Z433" i="28" s="1"/>
  <c r="T433" i="28"/>
  <c r="AA433" i="28" s="1"/>
  <c r="U433" i="28"/>
  <c r="AB433" i="28" s="1"/>
  <c r="V433" i="28"/>
  <c r="AC433" i="28" s="1"/>
  <c r="Q434" i="28"/>
  <c r="X434" i="28" s="1"/>
  <c r="R434" i="28"/>
  <c r="Y434" i="28" s="1"/>
  <c r="S434" i="28"/>
  <c r="Z434" i="28" s="1"/>
  <c r="T434" i="28"/>
  <c r="AA434" i="28" s="1"/>
  <c r="U434" i="28"/>
  <c r="AB434" i="28" s="1"/>
  <c r="V434" i="28"/>
  <c r="AC434" i="28" s="1"/>
  <c r="Q435" i="28"/>
  <c r="X435" i="28" s="1"/>
  <c r="R435" i="28"/>
  <c r="Y435" i="28" s="1"/>
  <c r="S435" i="28"/>
  <c r="Z435" i="28" s="1"/>
  <c r="T435" i="28"/>
  <c r="AA435" i="28" s="1"/>
  <c r="U435" i="28"/>
  <c r="AB435" i="28" s="1"/>
  <c r="V435" i="28"/>
  <c r="AC435" i="28" s="1"/>
  <c r="Q436" i="28"/>
  <c r="X436" i="28" s="1"/>
  <c r="R436" i="28"/>
  <c r="Y436" i="28" s="1"/>
  <c r="S436" i="28"/>
  <c r="Z436" i="28" s="1"/>
  <c r="T436" i="28"/>
  <c r="AA436" i="28" s="1"/>
  <c r="U436" i="28"/>
  <c r="AB436" i="28" s="1"/>
  <c r="V436" i="28"/>
  <c r="AC436" i="28" s="1"/>
  <c r="Q437" i="28"/>
  <c r="X437" i="28" s="1"/>
  <c r="R437" i="28"/>
  <c r="Y437" i="28" s="1"/>
  <c r="S437" i="28"/>
  <c r="Z437" i="28" s="1"/>
  <c r="T437" i="28"/>
  <c r="AA437" i="28" s="1"/>
  <c r="U437" i="28"/>
  <c r="AB437" i="28" s="1"/>
  <c r="V437" i="28"/>
  <c r="AC437" i="28" s="1"/>
  <c r="Q438" i="28"/>
  <c r="X438" i="28" s="1"/>
  <c r="R438" i="28"/>
  <c r="Y438" i="28" s="1"/>
  <c r="S438" i="28"/>
  <c r="Z438" i="28" s="1"/>
  <c r="T438" i="28"/>
  <c r="AA438" i="28" s="1"/>
  <c r="U438" i="28"/>
  <c r="AB438" i="28" s="1"/>
  <c r="V438" i="28"/>
  <c r="AC438" i="28" s="1"/>
  <c r="Q439" i="28"/>
  <c r="X439" i="28" s="1"/>
  <c r="R439" i="28"/>
  <c r="Y439" i="28" s="1"/>
  <c r="S439" i="28"/>
  <c r="Z439" i="28" s="1"/>
  <c r="T439" i="28"/>
  <c r="AA439" i="28" s="1"/>
  <c r="U439" i="28"/>
  <c r="AB439" i="28" s="1"/>
  <c r="V439" i="28"/>
  <c r="AC439" i="28" s="1"/>
  <c r="Q440" i="28"/>
  <c r="X440" i="28" s="1"/>
  <c r="R440" i="28"/>
  <c r="Y440" i="28" s="1"/>
  <c r="S440" i="28"/>
  <c r="Z440" i="28" s="1"/>
  <c r="T440" i="28"/>
  <c r="AA440" i="28" s="1"/>
  <c r="U440" i="28"/>
  <c r="AB440" i="28" s="1"/>
  <c r="Q441" i="28"/>
  <c r="X441" i="28" s="1"/>
  <c r="R441" i="28"/>
  <c r="Y441" i="28" s="1"/>
  <c r="S441" i="28"/>
  <c r="Z441" i="28" s="1"/>
  <c r="T441" i="28"/>
  <c r="AA441" i="28" s="1"/>
  <c r="U441" i="28"/>
  <c r="AB441" i="28" s="1"/>
  <c r="V441" i="28"/>
  <c r="AC441" i="28" s="1"/>
  <c r="Q442" i="28"/>
  <c r="X442" i="28" s="1"/>
  <c r="R442" i="28"/>
  <c r="Y442" i="28" s="1"/>
  <c r="S442" i="28"/>
  <c r="Z442" i="28" s="1"/>
  <c r="T442" i="28"/>
  <c r="AA442" i="28" s="1"/>
  <c r="U442" i="28"/>
  <c r="AB442" i="28" s="1"/>
  <c r="V442" i="28"/>
  <c r="AC442" i="28" s="1"/>
  <c r="Q443" i="28"/>
  <c r="X443" i="28" s="1"/>
  <c r="R443" i="28"/>
  <c r="Y443" i="28" s="1"/>
  <c r="S443" i="28"/>
  <c r="Z443" i="28" s="1"/>
  <c r="T443" i="28"/>
  <c r="AA443" i="28" s="1"/>
  <c r="U443" i="28"/>
  <c r="AB443" i="28" s="1"/>
  <c r="V443" i="28"/>
  <c r="AC443" i="28" s="1"/>
  <c r="Q444" i="28"/>
  <c r="X444" i="28" s="1"/>
  <c r="R444" i="28"/>
  <c r="Y444" i="28" s="1"/>
  <c r="S444" i="28"/>
  <c r="Z444" i="28" s="1"/>
  <c r="T444" i="28"/>
  <c r="AA444" i="28" s="1"/>
  <c r="U444" i="28"/>
  <c r="AB444" i="28" s="1"/>
  <c r="V444" i="28"/>
  <c r="AC444" i="28" s="1"/>
  <c r="Q445" i="28"/>
  <c r="X445" i="28" s="1"/>
  <c r="R445" i="28"/>
  <c r="Y445" i="28" s="1"/>
  <c r="S445" i="28"/>
  <c r="Z445" i="28" s="1"/>
  <c r="T445" i="28"/>
  <c r="AA445" i="28" s="1"/>
  <c r="U445" i="28"/>
  <c r="AB445" i="28" s="1"/>
  <c r="V445" i="28"/>
  <c r="AC445" i="28" s="1"/>
  <c r="Q446" i="28"/>
  <c r="X446" i="28" s="1"/>
  <c r="R446" i="28"/>
  <c r="Y446" i="28" s="1"/>
  <c r="S446" i="28"/>
  <c r="Z446" i="28" s="1"/>
  <c r="T446" i="28"/>
  <c r="AA446" i="28" s="1"/>
  <c r="U446" i="28"/>
  <c r="AB446" i="28" s="1"/>
  <c r="V446" i="28"/>
  <c r="AC446" i="28" s="1"/>
  <c r="Q447" i="28"/>
  <c r="X447" i="28" s="1"/>
  <c r="R447" i="28"/>
  <c r="Y447" i="28" s="1"/>
  <c r="S447" i="28"/>
  <c r="Z447" i="28" s="1"/>
  <c r="T447" i="28"/>
  <c r="AA447" i="28" s="1"/>
  <c r="U447" i="28"/>
  <c r="AB447" i="28" s="1"/>
  <c r="V447" i="28"/>
  <c r="AC447" i="28" s="1"/>
  <c r="Q448" i="28"/>
  <c r="X448" i="28" s="1"/>
  <c r="R448" i="28"/>
  <c r="Y448" i="28" s="1"/>
  <c r="S448" i="28"/>
  <c r="Z448" i="28" s="1"/>
  <c r="T448" i="28"/>
  <c r="AA448" i="28" s="1"/>
  <c r="U448" i="28"/>
  <c r="AB448" i="28" s="1"/>
  <c r="Q449" i="28"/>
  <c r="X449" i="28" s="1"/>
  <c r="R449" i="28"/>
  <c r="Y449" i="28" s="1"/>
  <c r="S449" i="28"/>
  <c r="Z449" i="28" s="1"/>
  <c r="T449" i="28"/>
  <c r="AA449" i="28" s="1"/>
  <c r="U449" i="28"/>
  <c r="AB449" i="28" s="1"/>
  <c r="V449" i="28"/>
  <c r="AC449" i="28" s="1"/>
  <c r="Q450" i="28"/>
  <c r="X450" i="28" s="1"/>
  <c r="R450" i="28"/>
  <c r="Y450" i="28" s="1"/>
  <c r="S450" i="28"/>
  <c r="Z450" i="28" s="1"/>
  <c r="T450" i="28"/>
  <c r="AA450" i="28" s="1"/>
  <c r="U450" i="28"/>
  <c r="AB450" i="28" s="1"/>
  <c r="V450" i="28"/>
  <c r="AC450" i="28" s="1"/>
  <c r="Q451" i="28"/>
  <c r="X451" i="28" s="1"/>
  <c r="R451" i="28"/>
  <c r="Y451" i="28" s="1"/>
  <c r="S451" i="28"/>
  <c r="Z451" i="28" s="1"/>
  <c r="T451" i="28"/>
  <c r="AA451" i="28" s="1"/>
  <c r="U451" i="28"/>
  <c r="AB451" i="28" s="1"/>
  <c r="V451" i="28"/>
  <c r="AC451" i="28" s="1"/>
  <c r="Q452" i="28"/>
  <c r="X452" i="28" s="1"/>
  <c r="R452" i="28"/>
  <c r="Y452" i="28" s="1"/>
  <c r="S452" i="28"/>
  <c r="Z452" i="28" s="1"/>
  <c r="T452" i="28"/>
  <c r="AA452" i="28" s="1"/>
  <c r="U452" i="28"/>
  <c r="AB452" i="28" s="1"/>
  <c r="V452" i="28"/>
  <c r="AC452" i="28" s="1"/>
  <c r="Q453" i="28"/>
  <c r="X453" i="28" s="1"/>
  <c r="R453" i="28"/>
  <c r="Y453" i="28" s="1"/>
  <c r="S453" i="28"/>
  <c r="Z453" i="28" s="1"/>
  <c r="T453" i="28"/>
  <c r="AA453" i="28" s="1"/>
  <c r="U453" i="28"/>
  <c r="AB453" i="28" s="1"/>
  <c r="V453" i="28"/>
  <c r="AC453" i="28" s="1"/>
  <c r="Q454" i="28"/>
  <c r="X454" i="28" s="1"/>
  <c r="R454" i="28"/>
  <c r="Y454" i="28" s="1"/>
  <c r="S454" i="28"/>
  <c r="Z454" i="28" s="1"/>
  <c r="T454" i="28"/>
  <c r="AA454" i="28" s="1"/>
  <c r="U454" i="28"/>
  <c r="AB454" i="28" s="1"/>
  <c r="V454" i="28"/>
  <c r="AC454" i="28" s="1"/>
  <c r="Q455" i="28"/>
  <c r="X455" i="28" s="1"/>
  <c r="R455" i="28"/>
  <c r="Y455" i="28" s="1"/>
  <c r="S455" i="28"/>
  <c r="Z455" i="28" s="1"/>
  <c r="T455" i="28"/>
  <c r="AA455" i="28" s="1"/>
  <c r="U455" i="28"/>
  <c r="AB455" i="28" s="1"/>
  <c r="V455" i="28"/>
  <c r="AC455" i="28" s="1"/>
  <c r="Q456" i="28"/>
  <c r="X456" i="28" s="1"/>
  <c r="R456" i="28"/>
  <c r="Y456" i="28" s="1"/>
  <c r="S456" i="28"/>
  <c r="Z456" i="28" s="1"/>
  <c r="T456" i="28"/>
  <c r="AA456" i="28" s="1"/>
  <c r="U456" i="28"/>
  <c r="AB456" i="28" s="1"/>
  <c r="Q457" i="28"/>
  <c r="X457" i="28" s="1"/>
  <c r="R457" i="28"/>
  <c r="Y457" i="28" s="1"/>
  <c r="S457" i="28"/>
  <c r="Z457" i="28" s="1"/>
  <c r="T457" i="28"/>
  <c r="AA457" i="28" s="1"/>
  <c r="U457" i="28"/>
  <c r="AB457" i="28" s="1"/>
  <c r="V457" i="28"/>
  <c r="AC457" i="28" s="1"/>
  <c r="Q458" i="28"/>
  <c r="X458" i="28" s="1"/>
  <c r="R458" i="28"/>
  <c r="Y458" i="28" s="1"/>
  <c r="S458" i="28"/>
  <c r="Z458" i="28" s="1"/>
  <c r="T458" i="28"/>
  <c r="AA458" i="28" s="1"/>
  <c r="U458" i="28"/>
  <c r="AB458" i="28" s="1"/>
  <c r="V458" i="28"/>
  <c r="AC458" i="28" s="1"/>
  <c r="Q459" i="28"/>
  <c r="X459" i="28" s="1"/>
  <c r="R459" i="28"/>
  <c r="Y459" i="28" s="1"/>
  <c r="S459" i="28"/>
  <c r="Z459" i="28" s="1"/>
  <c r="T459" i="28"/>
  <c r="AA459" i="28" s="1"/>
  <c r="U459" i="28"/>
  <c r="AB459" i="28" s="1"/>
  <c r="V459" i="28"/>
  <c r="AC459" i="28" s="1"/>
  <c r="Q460" i="28"/>
  <c r="X460" i="28" s="1"/>
  <c r="R460" i="28"/>
  <c r="Y460" i="28" s="1"/>
  <c r="S460" i="28"/>
  <c r="Z460" i="28" s="1"/>
  <c r="T460" i="28"/>
  <c r="AA460" i="28" s="1"/>
  <c r="U460" i="28"/>
  <c r="AB460" i="28" s="1"/>
  <c r="V460" i="28"/>
  <c r="AC460" i="28" s="1"/>
  <c r="Q461" i="28"/>
  <c r="X461" i="28" s="1"/>
  <c r="R461" i="28"/>
  <c r="Y461" i="28" s="1"/>
  <c r="S461" i="28"/>
  <c r="Z461" i="28" s="1"/>
  <c r="T461" i="28"/>
  <c r="AA461" i="28" s="1"/>
  <c r="U461" i="28"/>
  <c r="AB461" i="28" s="1"/>
  <c r="V461" i="28"/>
  <c r="AC461" i="28" s="1"/>
  <c r="Q462" i="28"/>
  <c r="X462" i="28" s="1"/>
  <c r="R462" i="28"/>
  <c r="Y462" i="28" s="1"/>
  <c r="S462" i="28"/>
  <c r="Z462" i="28" s="1"/>
  <c r="T462" i="28"/>
  <c r="AA462" i="28" s="1"/>
  <c r="U462" i="28"/>
  <c r="AB462" i="28" s="1"/>
  <c r="V462" i="28"/>
  <c r="AC462" i="28" s="1"/>
  <c r="Q463" i="28"/>
  <c r="X463" i="28" s="1"/>
  <c r="R463" i="28"/>
  <c r="Y463" i="28" s="1"/>
  <c r="S463" i="28"/>
  <c r="Z463" i="28" s="1"/>
  <c r="T463" i="28"/>
  <c r="AA463" i="28" s="1"/>
  <c r="U463" i="28"/>
  <c r="AB463" i="28" s="1"/>
  <c r="V463" i="28"/>
  <c r="AC463" i="28" s="1"/>
  <c r="Q464" i="28"/>
  <c r="X464" i="28" s="1"/>
  <c r="R464" i="28"/>
  <c r="Y464" i="28" s="1"/>
  <c r="S464" i="28"/>
  <c r="Z464" i="28" s="1"/>
  <c r="T464" i="28"/>
  <c r="AA464" i="28" s="1"/>
  <c r="U464" i="28"/>
  <c r="AB464" i="28" s="1"/>
  <c r="Q465" i="28"/>
  <c r="X465" i="28" s="1"/>
  <c r="R465" i="28"/>
  <c r="Y465" i="28" s="1"/>
  <c r="S465" i="28"/>
  <c r="Z465" i="28" s="1"/>
  <c r="T465" i="28"/>
  <c r="AA465" i="28" s="1"/>
  <c r="U465" i="28"/>
  <c r="AB465" i="28" s="1"/>
  <c r="V465" i="28"/>
  <c r="AC465" i="28" s="1"/>
  <c r="Q466" i="28"/>
  <c r="X466" i="28" s="1"/>
  <c r="R466" i="28"/>
  <c r="Y466" i="28" s="1"/>
  <c r="S466" i="28"/>
  <c r="Z466" i="28" s="1"/>
  <c r="T466" i="28"/>
  <c r="AA466" i="28" s="1"/>
  <c r="U466" i="28"/>
  <c r="AB466" i="28" s="1"/>
  <c r="V466" i="28"/>
  <c r="AC466" i="28" s="1"/>
  <c r="Q467" i="28"/>
  <c r="X467" i="28" s="1"/>
  <c r="R467" i="28"/>
  <c r="Y467" i="28" s="1"/>
  <c r="S467" i="28"/>
  <c r="Z467" i="28" s="1"/>
  <c r="T467" i="28"/>
  <c r="AA467" i="28" s="1"/>
  <c r="U467" i="28"/>
  <c r="AB467" i="28" s="1"/>
  <c r="V467" i="28"/>
  <c r="AC467" i="28" s="1"/>
  <c r="Q468" i="28"/>
  <c r="X468" i="28" s="1"/>
  <c r="R468" i="28"/>
  <c r="Y468" i="28" s="1"/>
  <c r="S468" i="28"/>
  <c r="Z468" i="28" s="1"/>
  <c r="T468" i="28"/>
  <c r="AA468" i="28" s="1"/>
  <c r="U468" i="28"/>
  <c r="AB468" i="28" s="1"/>
  <c r="V468" i="28"/>
  <c r="AC468" i="28" s="1"/>
  <c r="Q469" i="28"/>
  <c r="X469" i="28" s="1"/>
  <c r="R469" i="28"/>
  <c r="Y469" i="28" s="1"/>
  <c r="S469" i="28"/>
  <c r="Z469" i="28" s="1"/>
  <c r="T469" i="28"/>
  <c r="AA469" i="28" s="1"/>
  <c r="U469" i="28"/>
  <c r="AB469" i="28" s="1"/>
  <c r="V469" i="28"/>
  <c r="AC469" i="28" s="1"/>
  <c r="Q470" i="28"/>
  <c r="X470" i="28" s="1"/>
  <c r="R470" i="28"/>
  <c r="Y470" i="28" s="1"/>
  <c r="S470" i="28"/>
  <c r="Z470" i="28" s="1"/>
  <c r="T470" i="28"/>
  <c r="AA470" i="28" s="1"/>
  <c r="U470" i="28"/>
  <c r="AB470" i="28" s="1"/>
  <c r="V470" i="28"/>
  <c r="AC470" i="28" s="1"/>
  <c r="Q471" i="28"/>
  <c r="X471" i="28" s="1"/>
  <c r="R471" i="28"/>
  <c r="Y471" i="28" s="1"/>
  <c r="S471" i="28"/>
  <c r="Z471" i="28" s="1"/>
  <c r="T471" i="28"/>
  <c r="AA471" i="28" s="1"/>
  <c r="U471" i="28"/>
  <c r="AB471" i="28" s="1"/>
  <c r="V471" i="28"/>
  <c r="AC471" i="28" s="1"/>
  <c r="Q472" i="28"/>
  <c r="X472" i="28" s="1"/>
  <c r="R472" i="28"/>
  <c r="Y472" i="28" s="1"/>
  <c r="S472" i="28"/>
  <c r="Z472" i="28" s="1"/>
  <c r="T472" i="28"/>
  <c r="AA472" i="28" s="1"/>
  <c r="U472" i="28"/>
  <c r="AB472" i="28" s="1"/>
  <c r="Q473" i="28"/>
  <c r="X473" i="28" s="1"/>
  <c r="R473" i="28"/>
  <c r="Y473" i="28" s="1"/>
  <c r="S473" i="28"/>
  <c r="Z473" i="28" s="1"/>
  <c r="T473" i="28"/>
  <c r="AA473" i="28" s="1"/>
  <c r="U473" i="28"/>
  <c r="AB473" i="28" s="1"/>
  <c r="V473" i="28"/>
  <c r="AC473" i="28" s="1"/>
  <c r="Q474" i="28"/>
  <c r="X474" i="28" s="1"/>
  <c r="R474" i="28"/>
  <c r="Y474" i="28" s="1"/>
  <c r="S474" i="28"/>
  <c r="Z474" i="28" s="1"/>
  <c r="T474" i="28"/>
  <c r="AA474" i="28" s="1"/>
  <c r="U474" i="28"/>
  <c r="AB474" i="28" s="1"/>
  <c r="V474" i="28"/>
  <c r="AC474" i="28" s="1"/>
  <c r="Q475" i="28"/>
  <c r="X475" i="28" s="1"/>
  <c r="R475" i="28"/>
  <c r="Y475" i="28" s="1"/>
  <c r="S475" i="28"/>
  <c r="Z475" i="28" s="1"/>
  <c r="T475" i="28"/>
  <c r="AA475" i="28" s="1"/>
  <c r="U475" i="28"/>
  <c r="AB475" i="28" s="1"/>
  <c r="V475" i="28"/>
  <c r="AC475" i="28" s="1"/>
  <c r="Q476" i="28"/>
  <c r="X476" i="28" s="1"/>
  <c r="R476" i="28"/>
  <c r="Y476" i="28" s="1"/>
  <c r="S476" i="28"/>
  <c r="Z476" i="28" s="1"/>
  <c r="T476" i="28"/>
  <c r="AA476" i="28" s="1"/>
  <c r="U476" i="28"/>
  <c r="AB476" i="28" s="1"/>
  <c r="V476" i="28"/>
  <c r="AC476" i="28" s="1"/>
  <c r="Q477" i="28"/>
  <c r="X477" i="28" s="1"/>
  <c r="R477" i="28"/>
  <c r="Y477" i="28" s="1"/>
  <c r="S477" i="28"/>
  <c r="Z477" i="28" s="1"/>
  <c r="T477" i="28"/>
  <c r="AA477" i="28" s="1"/>
  <c r="U477" i="28"/>
  <c r="AB477" i="28" s="1"/>
  <c r="V477" i="28"/>
  <c r="AC477" i="28" s="1"/>
  <c r="Q478" i="28"/>
  <c r="X478" i="28" s="1"/>
  <c r="R478" i="28"/>
  <c r="Y478" i="28" s="1"/>
  <c r="S478" i="28"/>
  <c r="Z478" i="28" s="1"/>
  <c r="T478" i="28"/>
  <c r="AA478" i="28" s="1"/>
  <c r="U478" i="28"/>
  <c r="AB478" i="28" s="1"/>
  <c r="V478" i="28"/>
  <c r="AC478" i="28" s="1"/>
  <c r="Q479" i="28"/>
  <c r="X479" i="28" s="1"/>
  <c r="R479" i="28"/>
  <c r="Y479" i="28" s="1"/>
  <c r="S479" i="28"/>
  <c r="Z479" i="28" s="1"/>
  <c r="T479" i="28"/>
  <c r="AA479" i="28" s="1"/>
  <c r="U479" i="28"/>
  <c r="AB479" i="28" s="1"/>
  <c r="V479" i="28"/>
  <c r="AC479" i="28" s="1"/>
  <c r="Q480" i="28"/>
  <c r="X480" i="28" s="1"/>
  <c r="R480" i="28"/>
  <c r="Y480" i="28" s="1"/>
  <c r="S480" i="28"/>
  <c r="Z480" i="28" s="1"/>
  <c r="T480" i="28"/>
  <c r="AA480" i="28" s="1"/>
  <c r="U480" i="28"/>
  <c r="AB480" i="28" s="1"/>
  <c r="Q481" i="28"/>
  <c r="X481" i="28" s="1"/>
  <c r="R481" i="28"/>
  <c r="Y481" i="28" s="1"/>
  <c r="S481" i="28"/>
  <c r="Z481" i="28" s="1"/>
  <c r="T481" i="28"/>
  <c r="AA481" i="28" s="1"/>
  <c r="U481" i="28"/>
  <c r="AB481" i="28" s="1"/>
  <c r="V481" i="28"/>
  <c r="AC481" i="28" s="1"/>
  <c r="Q482" i="28"/>
  <c r="X482" i="28" s="1"/>
  <c r="R482" i="28"/>
  <c r="Y482" i="28" s="1"/>
  <c r="S482" i="28"/>
  <c r="Z482" i="28" s="1"/>
  <c r="T482" i="28"/>
  <c r="AA482" i="28" s="1"/>
  <c r="U482" i="28"/>
  <c r="AB482" i="28" s="1"/>
  <c r="V482" i="28"/>
  <c r="AC482" i="28" s="1"/>
  <c r="Q483" i="28"/>
  <c r="X483" i="28" s="1"/>
  <c r="R483" i="28"/>
  <c r="Y483" i="28" s="1"/>
  <c r="S483" i="28"/>
  <c r="Z483" i="28" s="1"/>
  <c r="T483" i="28"/>
  <c r="AA483" i="28" s="1"/>
  <c r="U483" i="28"/>
  <c r="AB483" i="28" s="1"/>
  <c r="V483" i="28"/>
  <c r="AC483" i="28" s="1"/>
  <c r="Q484" i="28"/>
  <c r="X484" i="28" s="1"/>
  <c r="R484" i="28"/>
  <c r="Y484" i="28" s="1"/>
  <c r="S484" i="28"/>
  <c r="Z484" i="28" s="1"/>
  <c r="T484" i="28"/>
  <c r="AA484" i="28" s="1"/>
  <c r="U484" i="28"/>
  <c r="AB484" i="28" s="1"/>
  <c r="V484" i="28"/>
  <c r="AC484" i="28" s="1"/>
  <c r="Q485" i="28"/>
  <c r="X485" i="28" s="1"/>
  <c r="R485" i="28"/>
  <c r="Y485" i="28" s="1"/>
  <c r="S485" i="28"/>
  <c r="Z485" i="28" s="1"/>
  <c r="T485" i="28"/>
  <c r="AA485" i="28" s="1"/>
  <c r="U485" i="28"/>
  <c r="AB485" i="28" s="1"/>
  <c r="V485" i="28"/>
  <c r="AC485" i="28" s="1"/>
  <c r="Q486" i="28"/>
  <c r="X486" i="28" s="1"/>
  <c r="R486" i="28"/>
  <c r="Y486" i="28" s="1"/>
  <c r="S486" i="28"/>
  <c r="Z486" i="28" s="1"/>
  <c r="T486" i="28"/>
  <c r="AA486" i="28" s="1"/>
  <c r="U486" i="28"/>
  <c r="AB486" i="28" s="1"/>
  <c r="V486" i="28"/>
  <c r="AC486" i="28" s="1"/>
  <c r="Q487" i="28"/>
  <c r="X487" i="28" s="1"/>
  <c r="R487" i="28"/>
  <c r="Y487" i="28" s="1"/>
  <c r="S487" i="28"/>
  <c r="Z487" i="28" s="1"/>
  <c r="T487" i="28"/>
  <c r="AA487" i="28" s="1"/>
  <c r="U487" i="28"/>
  <c r="AB487" i="28" s="1"/>
  <c r="V487" i="28"/>
  <c r="AC487" i="28" s="1"/>
  <c r="Q488" i="28"/>
  <c r="X488" i="28" s="1"/>
  <c r="R488" i="28"/>
  <c r="Y488" i="28" s="1"/>
  <c r="S488" i="28"/>
  <c r="Z488" i="28" s="1"/>
  <c r="T488" i="28"/>
  <c r="AA488" i="28" s="1"/>
  <c r="U488" i="28"/>
  <c r="AB488" i="28" s="1"/>
  <c r="Q489" i="28"/>
  <c r="X489" i="28" s="1"/>
  <c r="R489" i="28"/>
  <c r="Y489" i="28" s="1"/>
  <c r="S489" i="28"/>
  <c r="Z489" i="28" s="1"/>
  <c r="T489" i="28"/>
  <c r="AA489" i="28" s="1"/>
  <c r="U489" i="28"/>
  <c r="AB489" i="28" s="1"/>
  <c r="V489" i="28"/>
  <c r="AC489" i="28" s="1"/>
  <c r="Q490" i="28"/>
  <c r="X490" i="28" s="1"/>
  <c r="R490" i="28"/>
  <c r="Y490" i="28" s="1"/>
  <c r="S490" i="28"/>
  <c r="Z490" i="28" s="1"/>
  <c r="T490" i="28"/>
  <c r="AA490" i="28" s="1"/>
  <c r="U490" i="28"/>
  <c r="AB490" i="28" s="1"/>
  <c r="V490" i="28"/>
  <c r="AC490" i="28" s="1"/>
  <c r="Q491" i="28"/>
  <c r="X491" i="28" s="1"/>
  <c r="R491" i="28"/>
  <c r="Y491" i="28" s="1"/>
  <c r="S491" i="28"/>
  <c r="Z491" i="28" s="1"/>
  <c r="T491" i="28"/>
  <c r="AA491" i="28" s="1"/>
  <c r="U491" i="28"/>
  <c r="AB491" i="28" s="1"/>
  <c r="V491" i="28"/>
  <c r="AC491" i="28" s="1"/>
  <c r="Q492" i="28"/>
  <c r="X492" i="28" s="1"/>
  <c r="R492" i="28"/>
  <c r="Y492" i="28" s="1"/>
  <c r="S492" i="28"/>
  <c r="Z492" i="28" s="1"/>
  <c r="T492" i="28"/>
  <c r="AA492" i="28" s="1"/>
  <c r="U492" i="28"/>
  <c r="AB492" i="28" s="1"/>
  <c r="V492" i="28"/>
  <c r="AC492" i="28" s="1"/>
  <c r="Q493" i="28"/>
  <c r="X493" i="28" s="1"/>
  <c r="R493" i="28"/>
  <c r="Y493" i="28" s="1"/>
  <c r="S493" i="28"/>
  <c r="Z493" i="28" s="1"/>
  <c r="T493" i="28"/>
  <c r="AA493" i="28" s="1"/>
  <c r="U493" i="28"/>
  <c r="AB493" i="28" s="1"/>
  <c r="V493" i="28"/>
  <c r="AC493" i="28" s="1"/>
  <c r="Q494" i="28"/>
  <c r="X494" i="28" s="1"/>
  <c r="R494" i="28"/>
  <c r="Y494" i="28" s="1"/>
  <c r="S494" i="28"/>
  <c r="Z494" i="28" s="1"/>
  <c r="T494" i="28"/>
  <c r="AA494" i="28" s="1"/>
  <c r="U494" i="28"/>
  <c r="AB494" i="28" s="1"/>
  <c r="V494" i="28"/>
  <c r="AC494" i="28" s="1"/>
  <c r="Q495" i="28"/>
  <c r="X495" i="28" s="1"/>
  <c r="R495" i="28"/>
  <c r="Y495" i="28" s="1"/>
  <c r="S495" i="28"/>
  <c r="Z495" i="28" s="1"/>
  <c r="T495" i="28"/>
  <c r="AA495" i="28" s="1"/>
  <c r="U495" i="28"/>
  <c r="AB495" i="28" s="1"/>
  <c r="V495" i="28"/>
  <c r="AC495" i="28" s="1"/>
  <c r="Q496" i="28"/>
  <c r="X496" i="28" s="1"/>
  <c r="R496" i="28"/>
  <c r="Y496" i="28" s="1"/>
  <c r="S496" i="28"/>
  <c r="Z496" i="28" s="1"/>
  <c r="T496" i="28"/>
  <c r="AA496" i="28" s="1"/>
  <c r="U496" i="28"/>
  <c r="AB496" i="28" s="1"/>
  <c r="Q497" i="28"/>
  <c r="X497" i="28" s="1"/>
  <c r="R497" i="28"/>
  <c r="Y497" i="28" s="1"/>
  <c r="S497" i="28"/>
  <c r="Z497" i="28" s="1"/>
  <c r="T497" i="28"/>
  <c r="AA497" i="28" s="1"/>
  <c r="U497" i="28"/>
  <c r="AB497" i="28" s="1"/>
  <c r="V497" i="28"/>
  <c r="AC497" i="28" s="1"/>
  <c r="Q498" i="28"/>
  <c r="X498" i="28" s="1"/>
  <c r="R498" i="28"/>
  <c r="Y498" i="28" s="1"/>
  <c r="S498" i="28"/>
  <c r="Z498" i="28" s="1"/>
  <c r="T498" i="28"/>
  <c r="AA498" i="28" s="1"/>
  <c r="U498" i="28"/>
  <c r="AB498" i="28" s="1"/>
  <c r="V498" i="28"/>
  <c r="AC498" i="28" s="1"/>
  <c r="Q499" i="28"/>
  <c r="X499" i="28" s="1"/>
  <c r="R499" i="28"/>
  <c r="Y499" i="28" s="1"/>
  <c r="S499" i="28"/>
  <c r="Z499" i="28" s="1"/>
  <c r="T499" i="28"/>
  <c r="AA499" i="28" s="1"/>
  <c r="U499" i="28"/>
  <c r="AB499" i="28" s="1"/>
  <c r="V499" i="28"/>
  <c r="AC499" i="28" s="1"/>
  <c r="Q500" i="28"/>
  <c r="X500" i="28" s="1"/>
  <c r="R500" i="28"/>
  <c r="Y500" i="28" s="1"/>
  <c r="S500" i="28"/>
  <c r="Z500" i="28" s="1"/>
  <c r="T500" i="28"/>
  <c r="AA500" i="28" s="1"/>
  <c r="U500" i="28"/>
  <c r="AB500" i="28" s="1"/>
  <c r="V500" i="28"/>
  <c r="AC500" i="28" s="1"/>
  <c r="Q501" i="28"/>
  <c r="X501" i="28" s="1"/>
  <c r="R501" i="28"/>
  <c r="Y501" i="28" s="1"/>
  <c r="S501" i="28"/>
  <c r="Z501" i="28" s="1"/>
  <c r="T501" i="28"/>
  <c r="AA501" i="28" s="1"/>
  <c r="U501" i="28"/>
  <c r="AB501" i="28" s="1"/>
  <c r="V501" i="28"/>
  <c r="AC501" i="28" s="1"/>
  <c r="Q502" i="28"/>
  <c r="X502" i="28" s="1"/>
  <c r="R502" i="28"/>
  <c r="Y502" i="28" s="1"/>
  <c r="S502" i="28"/>
  <c r="Z502" i="28" s="1"/>
  <c r="T502" i="28"/>
  <c r="AA502" i="28" s="1"/>
  <c r="U502" i="28"/>
  <c r="AB502" i="28" s="1"/>
  <c r="V502" i="28"/>
  <c r="AC502" i="28" s="1"/>
  <c r="Q503" i="28"/>
  <c r="X503" i="28" s="1"/>
  <c r="R503" i="28"/>
  <c r="Y503" i="28" s="1"/>
  <c r="S503" i="28"/>
  <c r="Z503" i="28" s="1"/>
  <c r="T503" i="28"/>
  <c r="AA503" i="28" s="1"/>
  <c r="U503" i="28"/>
  <c r="AB503" i="28" s="1"/>
  <c r="V503" i="28"/>
  <c r="AC503" i="28" s="1"/>
  <c r="Q504" i="28"/>
  <c r="X504" i="28" s="1"/>
  <c r="R504" i="28"/>
  <c r="Y504" i="28" s="1"/>
  <c r="S504" i="28"/>
  <c r="Z504" i="28" s="1"/>
  <c r="T504" i="28"/>
  <c r="AA504" i="28" s="1"/>
  <c r="U504" i="28"/>
  <c r="AB504" i="28" s="1"/>
  <c r="Q505" i="28"/>
  <c r="X505" i="28" s="1"/>
  <c r="R505" i="28"/>
  <c r="Y505" i="28" s="1"/>
  <c r="S505" i="28"/>
  <c r="Z505" i="28" s="1"/>
  <c r="T505" i="28"/>
  <c r="AA505" i="28" s="1"/>
  <c r="U505" i="28"/>
  <c r="AB505" i="28" s="1"/>
  <c r="V505" i="28"/>
  <c r="AC505" i="28" s="1"/>
  <c r="Q506" i="28"/>
  <c r="X506" i="28" s="1"/>
  <c r="R506" i="28"/>
  <c r="Y506" i="28" s="1"/>
  <c r="S506" i="28"/>
  <c r="Z506" i="28" s="1"/>
  <c r="T506" i="28"/>
  <c r="AA506" i="28" s="1"/>
  <c r="U506" i="28"/>
  <c r="AB506" i="28" s="1"/>
  <c r="V506" i="28"/>
  <c r="AC506" i="28" s="1"/>
  <c r="Q507" i="28"/>
  <c r="X507" i="28" s="1"/>
  <c r="R507" i="28"/>
  <c r="Y507" i="28" s="1"/>
  <c r="S507" i="28"/>
  <c r="Z507" i="28" s="1"/>
  <c r="T507" i="28"/>
  <c r="AA507" i="28" s="1"/>
  <c r="U507" i="28"/>
  <c r="AB507" i="28" s="1"/>
  <c r="V507" i="28"/>
  <c r="AC507" i="28" s="1"/>
  <c r="Q508" i="28"/>
  <c r="X508" i="28" s="1"/>
  <c r="R508" i="28"/>
  <c r="Y508" i="28" s="1"/>
  <c r="S508" i="28"/>
  <c r="Z508" i="28" s="1"/>
  <c r="T508" i="28"/>
  <c r="AA508" i="28" s="1"/>
  <c r="U508" i="28"/>
  <c r="AB508" i="28" s="1"/>
  <c r="V508" i="28"/>
  <c r="AC508" i="28" s="1"/>
  <c r="Q509" i="28"/>
  <c r="X509" i="28" s="1"/>
  <c r="R509" i="28"/>
  <c r="Y509" i="28" s="1"/>
  <c r="S509" i="28"/>
  <c r="Z509" i="28" s="1"/>
  <c r="T509" i="28"/>
  <c r="AA509" i="28" s="1"/>
  <c r="U509" i="28"/>
  <c r="AB509" i="28" s="1"/>
  <c r="V509" i="28"/>
  <c r="AC509" i="28" s="1"/>
  <c r="Q510" i="28"/>
  <c r="X510" i="28" s="1"/>
  <c r="R510" i="28"/>
  <c r="Y510" i="28" s="1"/>
  <c r="S510" i="28"/>
  <c r="Z510" i="28" s="1"/>
  <c r="T510" i="28"/>
  <c r="AA510" i="28" s="1"/>
  <c r="U510" i="28"/>
  <c r="AB510" i="28" s="1"/>
  <c r="V510" i="28"/>
  <c r="AC510" i="28" s="1"/>
  <c r="Q511" i="28"/>
  <c r="X511" i="28" s="1"/>
  <c r="R511" i="28"/>
  <c r="Y511" i="28" s="1"/>
  <c r="S511" i="28"/>
  <c r="Z511" i="28" s="1"/>
  <c r="T511" i="28"/>
  <c r="AA511" i="28" s="1"/>
  <c r="U511" i="28"/>
  <c r="AB511" i="28" s="1"/>
  <c r="V511" i="28"/>
  <c r="AC511" i="28" s="1"/>
  <c r="Q512" i="28"/>
  <c r="X512" i="28" s="1"/>
  <c r="R512" i="28"/>
  <c r="Y512" i="28" s="1"/>
  <c r="S512" i="28"/>
  <c r="Z512" i="28" s="1"/>
  <c r="T512" i="28"/>
  <c r="AA512" i="28" s="1"/>
  <c r="U512" i="28"/>
  <c r="AB512" i="28" s="1"/>
  <c r="Q513" i="28"/>
  <c r="X513" i="28" s="1"/>
  <c r="R513" i="28"/>
  <c r="Y513" i="28" s="1"/>
  <c r="S513" i="28"/>
  <c r="Z513" i="28" s="1"/>
  <c r="T513" i="28"/>
  <c r="AA513" i="28" s="1"/>
  <c r="U513" i="28"/>
  <c r="AB513" i="28" s="1"/>
  <c r="V513" i="28"/>
  <c r="AC513" i="28" s="1"/>
  <c r="Q514" i="28"/>
  <c r="X514" i="28" s="1"/>
  <c r="R514" i="28"/>
  <c r="Y514" i="28" s="1"/>
  <c r="S514" i="28"/>
  <c r="Z514" i="28" s="1"/>
  <c r="T514" i="28"/>
  <c r="AA514" i="28" s="1"/>
  <c r="U514" i="28"/>
  <c r="AB514" i="28" s="1"/>
  <c r="V514" i="28"/>
  <c r="AC514" i="28" s="1"/>
  <c r="Q515" i="28"/>
  <c r="X515" i="28" s="1"/>
  <c r="R515" i="28"/>
  <c r="Y515" i="28" s="1"/>
  <c r="S515" i="28"/>
  <c r="Z515" i="28" s="1"/>
  <c r="T515" i="28"/>
  <c r="AA515" i="28" s="1"/>
  <c r="U515" i="28"/>
  <c r="AB515" i="28" s="1"/>
  <c r="V515" i="28"/>
  <c r="AC515" i="28" s="1"/>
  <c r="Q516" i="28"/>
  <c r="X516" i="28" s="1"/>
  <c r="R516" i="28"/>
  <c r="Y516" i="28" s="1"/>
  <c r="S516" i="28"/>
  <c r="Z516" i="28" s="1"/>
  <c r="T516" i="28"/>
  <c r="AA516" i="28" s="1"/>
  <c r="U516" i="28"/>
  <c r="AB516" i="28" s="1"/>
  <c r="V516" i="28"/>
  <c r="AC516" i="28" s="1"/>
  <c r="Q517" i="28"/>
  <c r="X517" i="28" s="1"/>
  <c r="R517" i="28"/>
  <c r="Y517" i="28" s="1"/>
  <c r="S517" i="28"/>
  <c r="Z517" i="28" s="1"/>
  <c r="T517" i="28"/>
  <c r="AA517" i="28" s="1"/>
  <c r="U517" i="28"/>
  <c r="AB517" i="28" s="1"/>
  <c r="V517" i="28"/>
  <c r="AC517" i="28" s="1"/>
  <c r="Q518" i="28"/>
  <c r="X518" i="28" s="1"/>
  <c r="R518" i="28"/>
  <c r="Y518" i="28" s="1"/>
  <c r="S518" i="28"/>
  <c r="Z518" i="28" s="1"/>
  <c r="T518" i="28"/>
  <c r="AA518" i="28" s="1"/>
  <c r="U518" i="28"/>
  <c r="AB518" i="28" s="1"/>
  <c r="V518" i="28"/>
  <c r="AC518" i="28" s="1"/>
  <c r="Q519" i="28"/>
  <c r="X519" i="28" s="1"/>
  <c r="R519" i="28"/>
  <c r="Y519" i="28" s="1"/>
  <c r="S519" i="28"/>
  <c r="Z519" i="28" s="1"/>
  <c r="T519" i="28"/>
  <c r="AA519" i="28" s="1"/>
  <c r="U519" i="28"/>
  <c r="AB519" i="28" s="1"/>
  <c r="V519" i="28"/>
  <c r="AC519" i="28" s="1"/>
  <c r="Q520" i="28"/>
  <c r="X520" i="28" s="1"/>
  <c r="R520" i="28"/>
  <c r="Y520" i="28" s="1"/>
  <c r="S520" i="28"/>
  <c r="Z520" i="28" s="1"/>
  <c r="T520" i="28"/>
  <c r="AA520" i="28" s="1"/>
  <c r="U520" i="28"/>
  <c r="AB520" i="28" s="1"/>
  <c r="Q521" i="28"/>
  <c r="X521" i="28" s="1"/>
  <c r="R521" i="28"/>
  <c r="Y521" i="28" s="1"/>
  <c r="S521" i="28"/>
  <c r="Z521" i="28" s="1"/>
  <c r="T521" i="28"/>
  <c r="AA521" i="28" s="1"/>
  <c r="U521" i="28"/>
  <c r="AB521" i="28" s="1"/>
  <c r="V521" i="28"/>
  <c r="AC521" i="28" s="1"/>
  <c r="Q522" i="28"/>
  <c r="X522" i="28" s="1"/>
  <c r="R522" i="28"/>
  <c r="Y522" i="28" s="1"/>
  <c r="S522" i="28"/>
  <c r="Z522" i="28" s="1"/>
  <c r="T522" i="28"/>
  <c r="AA522" i="28" s="1"/>
  <c r="U522" i="28"/>
  <c r="AB522" i="28" s="1"/>
  <c r="V522" i="28"/>
  <c r="AC522" i="28" s="1"/>
  <c r="Q523" i="28"/>
  <c r="X523" i="28" s="1"/>
  <c r="R523" i="28"/>
  <c r="Y523" i="28" s="1"/>
  <c r="S523" i="28"/>
  <c r="Z523" i="28" s="1"/>
  <c r="T523" i="28"/>
  <c r="AA523" i="28" s="1"/>
  <c r="U523" i="28"/>
  <c r="AB523" i="28" s="1"/>
  <c r="V523" i="28"/>
  <c r="AC523" i="28" s="1"/>
  <c r="Q524" i="28"/>
  <c r="X524" i="28" s="1"/>
  <c r="R524" i="28"/>
  <c r="Y524" i="28" s="1"/>
  <c r="S524" i="28"/>
  <c r="Z524" i="28" s="1"/>
  <c r="T524" i="28"/>
  <c r="AA524" i="28" s="1"/>
  <c r="U524" i="28"/>
  <c r="AB524" i="28" s="1"/>
  <c r="V524" i="28"/>
  <c r="AC524" i="28" s="1"/>
  <c r="Q525" i="28"/>
  <c r="X525" i="28" s="1"/>
  <c r="R525" i="28"/>
  <c r="Y525" i="28" s="1"/>
  <c r="S525" i="28"/>
  <c r="Z525" i="28" s="1"/>
  <c r="T525" i="28"/>
  <c r="AA525" i="28" s="1"/>
  <c r="U525" i="28"/>
  <c r="AB525" i="28" s="1"/>
  <c r="V525" i="28"/>
  <c r="AC525" i="28" s="1"/>
  <c r="Q526" i="28"/>
  <c r="X526" i="28" s="1"/>
  <c r="R526" i="28"/>
  <c r="Y526" i="28" s="1"/>
  <c r="S526" i="28"/>
  <c r="Z526" i="28" s="1"/>
  <c r="T526" i="28"/>
  <c r="AA526" i="28" s="1"/>
  <c r="U526" i="28"/>
  <c r="AB526" i="28" s="1"/>
  <c r="V526" i="28"/>
  <c r="AC526" i="28" s="1"/>
  <c r="Q527" i="28"/>
  <c r="X527" i="28" s="1"/>
  <c r="R527" i="28"/>
  <c r="Y527" i="28" s="1"/>
  <c r="S527" i="28"/>
  <c r="Z527" i="28" s="1"/>
  <c r="T527" i="28"/>
  <c r="AA527" i="28" s="1"/>
  <c r="U527" i="28"/>
  <c r="AB527" i="28" s="1"/>
  <c r="V527" i="28"/>
  <c r="AC527" i="28" s="1"/>
  <c r="Q528" i="28"/>
  <c r="X528" i="28" s="1"/>
  <c r="R528" i="28"/>
  <c r="Y528" i="28" s="1"/>
  <c r="S528" i="28"/>
  <c r="Z528" i="28" s="1"/>
  <c r="T528" i="28"/>
  <c r="AA528" i="28" s="1"/>
  <c r="U528" i="28"/>
  <c r="AB528" i="28" s="1"/>
  <c r="Q529" i="28"/>
  <c r="X529" i="28" s="1"/>
  <c r="R529" i="28"/>
  <c r="Y529" i="28" s="1"/>
  <c r="S529" i="28"/>
  <c r="Z529" i="28" s="1"/>
  <c r="T529" i="28"/>
  <c r="AA529" i="28" s="1"/>
  <c r="U529" i="28"/>
  <c r="AB529" i="28" s="1"/>
  <c r="V529" i="28"/>
  <c r="AC529" i="28" s="1"/>
  <c r="Q530" i="28"/>
  <c r="X530" i="28" s="1"/>
  <c r="R530" i="28"/>
  <c r="Y530" i="28" s="1"/>
  <c r="S530" i="28"/>
  <c r="Z530" i="28" s="1"/>
  <c r="T530" i="28"/>
  <c r="AA530" i="28" s="1"/>
  <c r="U530" i="28"/>
  <c r="AB530" i="28" s="1"/>
  <c r="V530" i="28"/>
  <c r="AC530" i="28" s="1"/>
  <c r="Q531" i="28"/>
  <c r="X531" i="28" s="1"/>
  <c r="R531" i="28"/>
  <c r="Y531" i="28" s="1"/>
  <c r="S531" i="28"/>
  <c r="Z531" i="28" s="1"/>
  <c r="T531" i="28"/>
  <c r="AA531" i="28" s="1"/>
  <c r="U531" i="28"/>
  <c r="AB531" i="28" s="1"/>
  <c r="V531" i="28"/>
  <c r="AC531" i="28" s="1"/>
  <c r="Q532" i="28"/>
  <c r="X532" i="28" s="1"/>
  <c r="R532" i="28"/>
  <c r="Y532" i="28" s="1"/>
  <c r="S532" i="28"/>
  <c r="Z532" i="28" s="1"/>
  <c r="T532" i="28"/>
  <c r="AA532" i="28" s="1"/>
  <c r="U532" i="28"/>
  <c r="AB532" i="28" s="1"/>
  <c r="V532" i="28"/>
  <c r="AC532" i="28" s="1"/>
  <c r="Q533" i="28"/>
  <c r="X533" i="28" s="1"/>
  <c r="R533" i="28"/>
  <c r="Y533" i="28" s="1"/>
  <c r="S533" i="28"/>
  <c r="Z533" i="28" s="1"/>
  <c r="T533" i="28"/>
  <c r="AA533" i="28" s="1"/>
  <c r="U533" i="28"/>
  <c r="AB533" i="28" s="1"/>
  <c r="V533" i="28"/>
  <c r="AC533" i="28" s="1"/>
  <c r="Q534" i="28"/>
  <c r="X534" i="28" s="1"/>
  <c r="R534" i="28"/>
  <c r="Y534" i="28" s="1"/>
  <c r="S534" i="28"/>
  <c r="Z534" i="28" s="1"/>
  <c r="T534" i="28"/>
  <c r="AA534" i="28" s="1"/>
  <c r="U534" i="28"/>
  <c r="AB534" i="28" s="1"/>
  <c r="V534" i="28"/>
  <c r="AC534" i="28" s="1"/>
  <c r="Q535" i="28"/>
  <c r="X535" i="28" s="1"/>
  <c r="R535" i="28"/>
  <c r="Y535" i="28" s="1"/>
  <c r="S535" i="28"/>
  <c r="Z535" i="28" s="1"/>
  <c r="T535" i="28"/>
  <c r="AA535" i="28" s="1"/>
  <c r="U535" i="28"/>
  <c r="AB535" i="28" s="1"/>
  <c r="V535" i="28"/>
  <c r="AC535" i="28" s="1"/>
  <c r="Q536" i="28"/>
  <c r="X536" i="28" s="1"/>
  <c r="R536" i="28"/>
  <c r="Y536" i="28" s="1"/>
  <c r="S536" i="28"/>
  <c r="Z536" i="28" s="1"/>
  <c r="T536" i="28"/>
  <c r="AA536" i="28" s="1"/>
  <c r="U536" i="28"/>
  <c r="AB536" i="28" s="1"/>
  <c r="Q537" i="28"/>
  <c r="X537" i="28" s="1"/>
  <c r="R537" i="28"/>
  <c r="Y537" i="28" s="1"/>
  <c r="S537" i="28"/>
  <c r="Z537" i="28" s="1"/>
  <c r="T537" i="28"/>
  <c r="AA537" i="28" s="1"/>
  <c r="U537" i="28"/>
  <c r="AB537" i="28" s="1"/>
  <c r="V537" i="28"/>
  <c r="AC537" i="28" s="1"/>
  <c r="Q538" i="28"/>
  <c r="X538" i="28" s="1"/>
  <c r="R538" i="28"/>
  <c r="Y538" i="28" s="1"/>
  <c r="S538" i="28"/>
  <c r="Z538" i="28" s="1"/>
  <c r="T538" i="28"/>
  <c r="AA538" i="28" s="1"/>
  <c r="U538" i="28"/>
  <c r="AB538" i="28" s="1"/>
  <c r="V538" i="28"/>
  <c r="AC538" i="28" s="1"/>
  <c r="Q539" i="28"/>
  <c r="X539" i="28" s="1"/>
  <c r="R539" i="28"/>
  <c r="Y539" i="28" s="1"/>
  <c r="S539" i="28"/>
  <c r="Z539" i="28" s="1"/>
  <c r="T539" i="28"/>
  <c r="AA539" i="28" s="1"/>
  <c r="U539" i="28"/>
  <c r="AB539" i="28" s="1"/>
  <c r="V539" i="28"/>
  <c r="AC539" i="28" s="1"/>
  <c r="Q540" i="28"/>
  <c r="X540" i="28" s="1"/>
  <c r="R540" i="28"/>
  <c r="Y540" i="28" s="1"/>
  <c r="S540" i="28"/>
  <c r="Z540" i="28" s="1"/>
  <c r="T540" i="28"/>
  <c r="AA540" i="28" s="1"/>
  <c r="U540" i="28"/>
  <c r="AB540" i="28" s="1"/>
  <c r="V540" i="28"/>
  <c r="AC540" i="28" s="1"/>
  <c r="Q541" i="28"/>
  <c r="X541" i="28" s="1"/>
  <c r="R541" i="28"/>
  <c r="Y541" i="28" s="1"/>
  <c r="S541" i="28"/>
  <c r="Z541" i="28" s="1"/>
  <c r="T541" i="28"/>
  <c r="AA541" i="28" s="1"/>
  <c r="U541" i="28"/>
  <c r="AB541" i="28" s="1"/>
  <c r="V541" i="28"/>
  <c r="AC541" i="28" s="1"/>
  <c r="Q542" i="28"/>
  <c r="X542" i="28" s="1"/>
  <c r="R542" i="28"/>
  <c r="Y542" i="28" s="1"/>
  <c r="S542" i="28"/>
  <c r="Z542" i="28" s="1"/>
  <c r="T542" i="28"/>
  <c r="AA542" i="28" s="1"/>
  <c r="U542" i="28"/>
  <c r="AB542" i="28" s="1"/>
  <c r="V542" i="28"/>
  <c r="AC542" i="28" s="1"/>
  <c r="Q543" i="28"/>
  <c r="X543" i="28" s="1"/>
  <c r="R543" i="28"/>
  <c r="Y543" i="28" s="1"/>
  <c r="S543" i="28"/>
  <c r="Z543" i="28" s="1"/>
  <c r="T543" i="28"/>
  <c r="AA543" i="28" s="1"/>
  <c r="U543" i="28"/>
  <c r="AB543" i="28" s="1"/>
  <c r="V543" i="28"/>
  <c r="AC543" i="28" s="1"/>
  <c r="Q544" i="28"/>
  <c r="X544" i="28" s="1"/>
  <c r="R544" i="28"/>
  <c r="Y544" i="28" s="1"/>
  <c r="S544" i="28"/>
  <c r="Z544" i="28" s="1"/>
  <c r="T544" i="28"/>
  <c r="AA544" i="28" s="1"/>
  <c r="U544" i="28"/>
  <c r="AB544" i="28" s="1"/>
  <c r="Q545" i="28"/>
  <c r="X545" i="28" s="1"/>
  <c r="R545" i="28"/>
  <c r="Y545" i="28" s="1"/>
  <c r="S545" i="28"/>
  <c r="Z545" i="28" s="1"/>
  <c r="T545" i="28"/>
  <c r="AA545" i="28" s="1"/>
  <c r="U545" i="28"/>
  <c r="AB545" i="28" s="1"/>
  <c r="V545" i="28"/>
  <c r="AC545" i="28" s="1"/>
  <c r="Q546" i="28"/>
  <c r="X546" i="28" s="1"/>
  <c r="R546" i="28"/>
  <c r="Y546" i="28" s="1"/>
  <c r="S546" i="28"/>
  <c r="Z546" i="28" s="1"/>
  <c r="T546" i="28"/>
  <c r="AA546" i="28" s="1"/>
  <c r="U546" i="28"/>
  <c r="AB546" i="28" s="1"/>
  <c r="V546" i="28"/>
  <c r="AC546" i="28" s="1"/>
  <c r="Q547" i="28"/>
  <c r="X547" i="28" s="1"/>
  <c r="R547" i="28"/>
  <c r="Y547" i="28" s="1"/>
  <c r="S547" i="28"/>
  <c r="Z547" i="28" s="1"/>
  <c r="T547" i="28"/>
  <c r="AA547" i="28" s="1"/>
  <c r="U547" i="28"/>
  <c r="AB547" i="28" s="1"/>
  <c r="V547" i="28"/>
  <c r="AC547" i="28" s="1"/>
  <c r="Q548" i="28"/>
  <c r="X548" i="28" s="1"/>
  <c r="R548" i="28"/>
  <c r="Y548" i="28" s="1"/>
  <c r="S548" i="28"/>
  <c r="Z548" i="28" s="1"/>
  <c r="T548" i="28"/>
  <c r="AA548" i="28" s="1"/>
  <c r="U548" i="28"/>
  <c r="AB548" i="28" s="1"/>
  <c r="V548" i="28"/>
  <c r="AC548" i="28" s="1"/>
  <c r="Q549" i="28"/>
  <c r="X549" i="28" s="1"/>
  <c r="R549" i="28"/>
  <c r="Y549" i="28" s="1"/>
  <c r="S549" i="28"/>
  <c r="Z549" i="28" s="1"/>
  <c r="T549" i="28"/>
  <c r="AA549" i="28" s="1"/>
  <c r="U549" i="28"/>
  <c r="AB549" i="28" s="1"/>
  <c r="V549" i="28"/>
  <c r="AC549" i="28" s="1"/>
  <c r="Q550" i="28"/>
  <c r="X550" i="28" s="1"/>
  <c r="R550" i="28"/>
  <c r="Y550" i="28" s="1"/>
  <c r="S550" i="28"/>
  <c r="Z550" i="28" s="1"/>
  <c r="T550" i="28"/>
  <c r="AA550" i="28" s="1"/>
  <c r="U550" i="28"/>
  <c r="AB550" i="28" s="1"/>
  <c r="V550" i="28"/>
  <c r="AC550" i="28" s="1"/>
  <c r="Q551" i="28"/>
  <c r="X551" i="28" s="1"/>
  <c r="R551" i="28"/>
  <c r="Y551" i="28" s="1"/>
  <c r="S551" i="28"/>
  <c r="Z551" i="28" s="1"/>
  <c r="T551" i="28"/>
  <c r="AA551" i="28" s="1"/>
  <c r="U551" i="28"/>
  <c r="AB551" i="28" s="1"/>
  <c r="V551" i="28"/>
  <c r="AC551" i="28" s="1"/>
  <c r="Q552" i="28"/>
  <c r="X552" i="28" s="1"/>
  <c r="R552" i="28"/>
  <c r="Y552" i="28" s="1"/>
  <c r="S552" i="28"/>
  <c r="Z552" i="28" s="1"/>
  <c r="T552" i="28"/>
  <c r="AA552" i="28" s="1"/>
  <c r="U552" i="28"/>
  <c r="AB552" i="28" s="1"/>
  <c r="Q553" i="28"/>
  <c r="X553" i="28" s="1"/>
  <c r="R553" i="28"/>
  <c r="Y553" i="28" s="1"/>
  <c r="S553" i="28"/>
  <c r="Z553" i="28" s="1"/>
  <c r="T553" i="28"/>
  <c r="AA553" i="28" s="1"/>
  <c r="U553" i="28"/>
  <c r="AB553" i="28" s="1"/>
  <c r="V553" i="28"/>
  <c r="AC553" i="28" s="1"/>
  <c r="Q554" i="28"/>
  <c r="X554" i="28" s="1"/>
  <c r="R554" i="28"/>
  <c r="Y554" i="28" s="1"/>
  <c r="S554" i="28"/>
  <c r="Z554" i="28" s="1"/>
  <c r="T554" i="28"/>
  <c r="AA554" i="28" s="1"/>
  <c r="U554" i="28"/>
  <c r="AB554" i="28" s="1"/>
  <c r="V554" i="28"/>
  <c r="AC554" i="28" s="1"/>
  <c r="Q555" i="28"/>
  <c r="X555" i="28" s="1"/>
  <c r="R555" i="28"/>
  <c r="Y555" i="28" s="1"/>
  <c r="S555" i="28"/>
  <c r="Z555" i="28" s="1"/>
  <c r="T555" i="28"/>
  <c r="AA555" i="28" s="1"/>
  <c r="U555" i="28"/>
  <c r="AB555" i="28" s="1"/>
  <c r="V555" i="28"/>
  <c r="AC555" i="28" s="1"/>
  <c r="Q556" i="28"/>
  <c r="X556" i="28" s="1"/>
  <c r="R556" i="28"/>
  <c r="Y556" i="28" s="1"/>
  <c r="S556" i="28"/>
  <c r="Z556" i="28" s="1"/>
  <c r="T556" i="28"/>
  <c r="AA556" i="28" s="1"/>
  <c r="U556" i="28"/>
  <c r="AB556" i="28" s="1"/>
  <c r="V556" i="28"/>
  <c r="AC556" i="28" s="1"/>
  <c r="Q557" i="28"/>
  <c r="X557" i="28" s="1"/>
  <c r="R557" i="28"/>
  <c r="Y557" i="28" s="1"/>
  <c r="S557" i="28"/>
  <c r="Z557" i="28" s="1"/>
  <c r="T557" i="28"/>
  <c r="AA557" i="28" s="1"/>
  <c r="U557" i="28"/>
  <c r="AB557" i="28" s="1"/>
  <c r="V557" i="28"/>
  <c r="AC557" i="28" s="1"/>
  <c r="Q558" i="28"/>
  <c r="X558" i="28" s="1"/>
  <c r="R558" i="28"/>
  <c r="Y558" i="28" s="1"/>
  <c r="S558" i="28"/>
  <c r="Z558" i="28" s="1"/>
  <c r="T558" i="28"/>
  <c r="AA558" i="28" s="1"/>
  <c r="U558" i="28"/>
  <c r="AB558" i="28" s="1"/>
  <c r="V558" i="28"/>
  <c r="AC558" i="28" s="1"/>
  <c r="Q559" i="28"/>
  <c r="X559" i="28" s="1"/>
  <c r="R559" i="28"/>
  <c r="Y559" i="28" s="1"/>
  <c r="S559" i="28"/>
  <c r="Z559" i="28" s="1"/>
  <c r="T559" i="28"/>
  <c r="AA559" i="28" s="1"/>
  <c r="U559" i="28"/>
  <c r="AB559" i="28" s="1"/>
  <c r="V559" i="28"/>
  <c r="AC559" i="28" s="1"/>
  <c r="Q560" i="28"/>
  <c r="X560" i="28" s="1"/>
  <c r="R560" i="28"/>
  <c r="Y560" i="28" s="1"/>
  <c r="S560" i="28"/>
  <c r="Z560" i="28" s="1"/>
  <c r="T560" i="28"/>
  <c r="AA560" i="28" s="1"/>
  <c r="U560" i="28"/>
  <c r="AB560" i="28" s="1"/>
  <c r="Q561" i="28"/>
  <c r="X561" i="28" s="1"/>
  <c r="R561" i="28"/>
  <c r="Y561" i="28" s="1"/>
  <c r="S561" i="28"/>
  <c r="Z561" i="28" s="1"/>
  <c r="T561" i="28"/>
  <c r="AA561" i="28" s="1"/>
  <c r="U561" i="28"/>
  <c r="AB561" i="28" s="1"/>
  <c r="V561" i="28"/>
  <c r="AC561" i="28" s="1"/>
  <c r="Q562" i="28"/>
  <c r="X562" i="28" s="1"/>
  <c r="R562" i="28"/>
  <c r="Y562" i="28" s="1"/>
  <c r="S562" i="28"/>
  <c r="Z562" i="28" s="1"/>
  <c r="T562" i="28"/>
  <c r="AA562" i="28" s="1"/>
  <c r="U562" i="28"/>
  <c r="AB562" i="28" s="1"/>
  <c r="V562" i="28"/>
  <c r="AC562" i="28" s="1"/>
  <c r="Q563" i="28"/>
  <c r="X563" i="28" s="1"/>
  <c r="R563" i="28"/>
  <c r="Y563" i="28" s="1"/>
  <c r="S563" i="28"/>
  <c r="Z563" i="28" s="1"/>
  <c r="T563" i="28"/>
  <c r="AA563" i="28" s="1"/>
  <c r="U563" i="28"/>
  <c r="AB563" i="28" s="1"/>
  <c r="V563" i="28"/>
  <c r="AC563" i="28" s="1"/>
  <c r="Q564" i="28"/>
  <c r="X564" i="28" s="1"/>
  <c r="R564" i="28"/>
  <c r="Y564" i="28" s="1"/>
  <c r="S564" i="28"/>
  <c r="Z564" i="28" s="1"/>
  <c r="T564" i="28"/>
  <c r="AA564" i="28" s="1"/>
  <c r="U564" i="28"/>
  <c r="AB564" i="28" s="1"/>
  <c r="V564" i="28"/>
  <c r="AC564" i="28" s="1"/>
  <c r="Q565" i="28"/>
  <c r="X565" i="28" s="1"/>
  <c r="R565" i="28"/>
  <c r="Y565" i="28" s="1"/>
  <c r="S565" i="28"/>
  <c r="Z565" i="28" s="1"/>
  <c r="T565" i="28"/>
  <c r="AA565" i="28" s="1"/>
  <c r="U565" i="28"/>
  <c r="AB565" i="28" s="1"/>
  <c r="V565" i="28"/>
  <c r="AC565" i="28" s="1"/>
  <c r="Q566" i="28"/>
  <c r="X566" i="28" s="1"/>
  <c r="R566" i="28"/>
  <c r="Y566" i="28" s="1"/>
  <c r="S566" i="28"/>
  <c r="Z566" i="28" s="1"/>
  <c r="T566" i="28"/>
  <c r="AA566" i="28" s="1"/>
  <c r="U566" i="28"/>
  <c r="AB566" i="28" s="1"/>
  <c r="V566" i="28"/>
  <c r="AC566" i="28" s="1"/>
  <c r="Q567" i="28"/>
  <c r="X567" i="28" s="1"/>
  <c r="R567" i="28"/>
  <c r="Y567" i="28" s="1"/>
  <c r="S567" i="28"/>
  <c r="Z567" i="28" s="1"/>
  <c r="T567" i="28"/>
  <c r="AA567" i="28" s="1"/>
  <c r="U567" i="28"/>
  <c r="AB567" i="28" s="1"/>
  <c r="V567" i="28"/>
  <c r="AC567" i="28" s="1"/>
  <c r="Q568" i="28"/>
  <c r="X568" i="28" s="1"/>
  <c r="R568" i="28"/>
  <c r="Y568" i="28" s="1"/>
  <c r="S568" i="28"/>
  <c r="Z568" i="28" s="1"/>
  <c r="T568" i="28"/>
  <c r="AA568" i="28" s="1"/>
  <c r="U568" i="28"/>
  <c r="AB568" i="28" s="1"/>
  <c r="Q569" i="28"/>
  <c r="X569" i="28" s="1"/>
  <c r="R569" i="28"/>
  <c r="Y569" i="28" s="1"/>
  <c r="S569" i="28"/>
  <c r="Z569" i="28" s="1"/>
  <c r="T569" i="28"/>
  <c r="AA569" i="28" s="1"/>
  <c r="U569" i="28"/>
  <c r="AB569" i="28" s="1"/>
  <c r="V569" i="28"/>
  <c r="AC569" i="28" s="1"/>
  <c r="Q570" i="28"/>
  <c r="X570" i="28" s="1"/>
  <c r="R570" i="28"/>
  <c r="Y570" i="28" s="1"/>
  <c r="S570" i="28"/>
  <c r="Z570" i="28" s="1"/>
  <c r="T570" i="28"/>
  <c r="AA570" i="28" s="1"/>
  <c r="U570" i="28"/>
  <c r="AB570" i="28" s="1"/>
  <c r="V570" i="28"/>
  <c r="AC570" i="28" s="1"/>
  <c r="Q571" i="28"/>
  <c r="X571" i="28" s="1"/>
  <c r="R571" i="28"/>
  <c r="Y571" i="28" s="1"/>
  <c r="S571" i="28"/>
  <c r="Z571" i="28" s="1"/>
  <c r="T571" i="28"/>
  <c r="AA571" i="28" s="1"/>
  <c r="U571" i="28"/>
  <c r="AB571" i="28" s="1"/>
  <c r="V571" i="28"/>
  <c r="AC571" i="28" s="1"/>
  <c r="Q572" i="28"/>
  <c r="X572" i="28" s="1"/>
  <c r="R572" i="28"/>
  <c r="Y572" i="28" s="1"/>
  <c r="S572" i="28"/>
  <c r="Z572" i="28" s="1"/>
  <c r="T572" i="28"/>
  <c r="AA572" i="28" s="1"/>
  <c r="U572" i="28"/>
  <c r="AB572" i="28" s="1"/>
  <c r="V572" i="28"/>
  <c r="AC572" i="28" s="1"/>
  <c r="Q573" i="28"/>
  <c r="X573" i="28" s="1"/>
  <c r="R573" i="28"/>
  <c r="Y573" i="28" s="1"/>
  <c r="S573" i="28"/>
  <c r="Z573" i="28" s="1"/>
  <c r="T573" i="28"/>
  <c r="AA573" i="28" s="1"/>
  <c r="U573" i="28"/>
  <c r="AB573" i="28" s="1"/>
  <c r="V573" i="28"/>
  <c r="AC573" i="28" s="1"/>
  <c r="Q574" i="28"/>
  <c r="X574" i="28" s="1"/>
  <c r="R574" i="28"/>
  <c r="Y574" i="28" s="1"/>
  <c r="S574" i="28"/>
  <c r="Z574" i="28" s="1"/>
  <c r="T574" i="28"/>
  <c r="AA574" i="28" s="1"/>
  <c r="U574" i="28"/>
  <c r="AB574" i="28" s="1"/>
  <c r="V574" i="28"/>
  <c r="AC574" i="28" s="1"/>
  <c r="Q575" i="28"/>
  <c r="X575" i="28" s="1"/>
  <c r="R575" i="28"/>
  <c r="Y575" i="28" s="1"/>
  <c r="S575" i="28"/>
  <c r="Z575" i="28" s="1"/>
  <c r="T575" i="28"/>
  <c r="AA575" i="28" s="1"/>
  <c r="U575" i="28"/>
  <c r="AB575" i="28" s="1"/>
  <c r="V575" i="28"/>
  <c r="AC575" i="28" s="1"/>
  <c r="Q576" i="28"/>
  <c r="X576" i="28" s="1"/>
  <c r="R576" i="28"/>
  <c r="Y576" i="28" s="1"/>
  <c r="S576" i="28"/>
  <c r="Z576" i="28" s="1"/>
  <c r="T576" i="28"/>
  <c r="AA576" i="28" s="1"/>
  <c r="U576" i="28"/>
  <c r="AB576" i="28" s="1"/>
  <c r="Q577" i="28"/>
  <c r="X577" i="28" s="1"/>
  <c r="R577" i="28"/>
  <c r="Y577" i="28" s="1"/>
  <c r="S577" i="28"/>
  <c r="Z577" i="28" s="1"/>
  <c r="T577" i="28"/>
  <c r="AA577" i="28" s="1"/>
  <c r="U577" i="28"/>
  <c r="AB577" i="28" s="1"/>
  <c r="V577" i="28"/>
  <c r="AC577" i="28" s="1"/>
  <c r="Q578" i="28"/>
  <c r="X578" i="28" s="1"/>
  <c r="R578" i="28"/>
  <c r="Y578" i="28" s="1"/>
  <c r="S578" i="28"/>
  <c r="Z578" i="28" s="1"/>
  <c r="T578" i="28"/>
  <c r="AA578" i="28" s="1"/>
  <c r="U578" i="28"/>
  <c r="AB578" i="28" s="1"/>
  <c r="V578" i="28"/>
  <c r="AC578" i="28" s="1"/>
  <c r="Q579" i="28"/>
  <c r="X579" i="28" s="1"/>
  <c r="R579" i="28"/>
  <c r="Y579" i="28" s="1"/>
  <c r="S579" i="28"/>
  <c r="Z579" i="28" s="1"/>
  <c r="T579" i="28"/>
  <c r="AA579" i="28" s="1"/>
  <c r="U579" i="28"/>
  <c r="AB579" i="28" s="1"/>
  <c r="V579" i="28"/>
  <c r="AC579" i="28" s="1"/>
  <c r="Q580" i="28"/>
  <c r="X580" i="28" s="1"/>
  <c r="R580" i="28"/>
  <c r="Y580" i="28" s="1"/>
  <c r="S580" i="28"/>
  <c r="Z580" i="28" s="1"/>
  <c r="T580" i="28"/>
  <c r="AA580" i="28" s="1"/>
  <c r="U580" i="28"/>
  <c r="AB580" i="28" s="1"/>
  <c r="V580" i="28"/>
  <c r="AC580" i="28" s="1"/>
  <c r="Q581" i="28"/>
  <c r="X581" i="28" s="1"/>
  <c r="R581" i="28"/>
  <c r="Y581" i="28" s="1"/>
  <c r="S581" i="28"/>
  <c r="Z581" i="28" s="1"/>
  <c r="T581" i="28"/>
  <c r="AA581" i="28" s="1"/>
  <c r="U581" i="28"/>
  <c r="AB581" i="28" s="1"/>
  <c r="V581" i="28"/>
  <c r="AC581" i="28" s="1"/>
  <c r="Q582" i="28"/>
  <c r="X582" i="28" s="1"/>
  <c r="R582" i="28"/>
  <c r="Y582" i="28" s="1"/>
  <c r="S582" i="28"/>
  <c r="Z582" i="28" s="1"/>
  <c r="T582" i="28"/>
  <c r="AA582" i="28" s="1"/>
  <c r="U582" i="28"/>
  <c r="AB582" i="28" s="1"/>
  <c r="V582" i="28"/>
  <c r="AC582" i="28" s="1"/>
  <c r="Q583" i="28"/>
  <c r="X583" i="28" s="1"/>
  <c r="R583" i="28"/>
  <c r="Y583" i="28" s="1"/>
  <c r="S583" i="28"/>
  <c r="Z583" i="28" s="1"/>
  <c r="T583" i="28"/>
  <c r="AA583" i="28" s="1"/>
  <c r="U583" i="28"/>
  <c r="AB583" i="28" s="1"/>
  <c r="V583" i="28"/>
  <c r="AC583" i="28" s="1"/>
  <c r="Q584" i="28"/>
  <c r="X584" i="28" s="1"/>
  <c r="R584" i="28"/>
  <c r="Y584" i="28" s="1"/>
  <c r="S584" i="28"/>
  <c r="Z584" i="28" s="1"/>
  <c r="T584" i="28"/>
  <c r="AA584" i="28" s="1"/>
  <c r="U584" i="28"/>
  <c r="AB584" i="28" s="1"/>
  <c r="Q585" i="28"/>
  <c r="X585" i="28" s="1"/>
  <c r="R585" i="28"/>
  <c r="Y585" i="28" s="1"/>
  <c r="S585" i="28"/>
  <c r="Z585" i="28" s="1"/>
  <c r="T585" i="28"/>
  <c r="AA585" i="28" s="1"/>
  <c r="U585" i="28"/>
  <c r="AB585" i="28" s="1"/>
  <c r="V585" i="28"/>
  <c r="AC585" i="28" s="1"/>
  <c r="Q586" i="28"/>
  <c r="X586" i="28" s="1"/>
  <c r="R586" i="28"/>
  <c r="Y586" i="28" s="1"/>
  <c r="S586" i="28"/>
  <c r="Z586" i="28" s="1"/>
  <c r="T586" i="28"/>
  <c r="AA586" i="28" s="1"/>
  <c r="U586" i="28"/>
  <c r="AB586" i="28" s="1"/>
  <c r="V586" i="28"/>
  <c r="AC586" i="28" s="1"/>
  <c r="Q587" i="28"/>
  <c r="X587" i="28" s="1"/>
  <c r="R587" i="28"/>
  <c r="Y587" i="28" s="1"/>
  <c r="S587" i="28"/>
  <c r="Z587" i="28" s="1"/>
  <c r="T587" i="28"/>
  <c r="AA587" i="28" s="1"/>
  <c r="U587" i="28"/>
  <c r="AB587" i="28" s="1"/>
  <c r="V587" i="28"/>
  <c r="AC587" i="28" s="1"/>
  <c r="Q588" i="28"/>
  <c r="X588" i="28" s="1"/>
  <c r="R588" i="28"/>
  <c r="Y588" i="28" s="1"/>
  <c r="S588" i="28"/>
  <c r="Z588" i="28" s="1"/>
  <c r="T588" i="28"/>
  <c r="AA588" i="28" s="1"/>
  <c r="U588" i="28"/>
  <c r="AB588" i="28" s="1"/>
  <c r="V588" i="28"/>
  <c r="AC588" i="28" s="1"/>
  <c r="Q589" i="28"/>
  <c r="X589" i="28" s="1"/>
  <c r="R589" i="28"/>
  <c r="Y589" i="28" s="1"/>
  <c r="S589" i="28"/>
  <c r="Z589" i="28" s="1"/>
  <c r="T589" i="28"/>
  <c r="AA589" i="28" s="1"/>
  <c r="U589" i="28"/>
  <c r="AB589" i="28" s="1"/>
  <c r="V589" i="28"/>
  <c r="AC589" i="28" s="1"/>
  <c r="Q590" i="28"/>
  <c r="X590" i="28" s="1"/>
  <c r="R590" i="28"/>
  <c r="Y590" i="28" s="1"/>
  <c r="S590" i="28"/>
  <c r="Z590" i="28" s="1"/>
  <c r="T590" i="28"/>
  <c r="AA590" i="28" s="1"/>
  <c r="U590" i="28"/>
  <c r="AB590" i="28" s="1"/>
  <c r="V590" i="28"/>
  <c r="AC590" i="28" s="1"/>
  <c r="Q591" i="28"/>
  <c r="X591" i="28" s="1"/>
  <c r="R591" i="28"/>
  <c r="Y591" i="28" s="1"/>
  <c r="S591" i="28"/>
  <c r="Z591" i="28" s="1"/>
  <c r="T591" i="28"/>
  <c r="AA591" i="28" s="1"/>
  <c r="U591" i="28"/>
  <c r="AB591" i="28" s="1"/>
  <c r="V591" i="28"/>
  <c r="AC591" i="28" s="1"/>
  <c r="Q592" i="28"/>
  <c r="X592" i="28" s="1"/>
  <c r="R592" i="28"/>
  <c r="Y592" i="28" s="1"/>
  <c r="S592" i="28"/>
  <c r="Z592" i="28" s="1"/>
  <c r="T592" i="28"/>
  <c r="AA592" i="28" s="1"/>
  <c r="U592" i="28"/>
  <c r="AB592" i="28" s="1"/>
  <c r="Q593" i="28"/>
  <c r="X593" i="28" s="1"/>
  <c r="R593" i="28"/>
  <c r="Y593" i="28" s="1"/>
  <c r="S593" i="28"/>
  <c r="Z593" i="28" s="1"/>
  <c r="T593" i="28"/>
  <c r="AA593" i="28" s="1"/>
  <c r="U593" i="28"/>
  <c r="AB593" i="28" s="1"/>
  <c r="V593" i="28"/>
  <c r="AC593" i="28" s="1"/>
  <c r="Q594" i="28"/>
  <c r="X594" i="28" s="1"/>
  <c r="R594" i="28"/>
  <c r="Y594" i="28" s="1"/>
  <c r="S594" i="28"/>
  <c r="Z594" i="28" s="1"/>
  <c r="T594" i="28"/>
  <c r="AA594" i="28" s="1"/>
  <c r="U594" i="28"/>
  <c r="AB594" i="28" s="1"/>
  <c r="V594" i="28"/>
  <c r="AC594" i="28" s="1"/>
  <c r="Q595" i="28"/>
  <c r="X595" i="28" s="1"/>
  <c r="R595" i="28"/>
  <c r="Y595" i="28" s="1"/>
  <c r="S595" i="28"/>
  <c r="Z595" i="28" s="1"/>
  <c r="T595" i="28"/>
  <c r="AA595" i="28" s="1"/>
  <c r="U595" i="28"/>
  <c r="AB595" i="28" s="1"/>
  <c r="V595" i="28"/>
  <c r="AC595" i="28" s="1"/>
  <c r="Q596" i="28"/>
  <c r="X596" i="28" s="1"/>
  <c r="R596" i="28"/>
  <c r="Y596" i="28" s="1"/>
  <c r="S596" i="28"/>
  <c r="Z596" i="28" s="1"/>
  <c r="T596" i="28"/>
  <c r="AA596" i="28" s="1"/>
  <c r="U596" i="28"/>
  <c r="AB596" i="28" s="1"/>
  <c r="V596" i="28"/>
  <c r="AC596" i="28" s="1"/>
  <c r="Q597" i="28"/>
  <c r="X597" i="28" s="1"/>
  <c r="R597" i="28"/>
  <c r="Y597" i="28" s="1"/>
  <c r="S597" i="28"/>
  <c r="Z597" i="28" s="1"/>
  <c r="T597" i="28"/>
  <c r="AA597" i="28" s="1"/>
  <c r="U597" i="28"/>
  <c r="AB597" i="28" s="1"/>
  <c r="V597" i="28"/>
  <c r="AC597" i="28" s="1"/>
  <c r="Q598" i="28"/>
  <c r="X598" i="28" s="1"/>
  <c r="R598" i="28"/>
  <c r="Y598" i="28" s="1"/>
  <c r="S598" i="28"/>
  <c r="Z598" i="28" s="1"/>
  <c r="T598" i="28"/>
  <c r="AA598" i="28" s="1"/>
  <c r="U598" i="28"/>
  <c r="AB598" i="28" s="1"/>
  <c r="V598" i="28"/>
  <c r="AC598" i="28" s="1"/>
  <c r="Q599" i="28"/>
  <c r="X599" i="28" s="1"/>
  <c r="R599" i="28"/>
  <c r="Y599" i="28" s="1"/>
  <c r="S599" i="28"/>
  <c r="Z599" i="28" s="1"/>
  <c r="T599" i="28"/>
  <c r="AA599" i="28" s="1"/>
  <c r="U599" i="28"/>
  <c r="AB599" i="28" s="1"/>
  <c r="V599" i="28"/>
  <c r="AC599" i="28" s="1"/>
  <c r="Q600" i="28"/>
  <c r="X600" i="28" s="1"/>
  <c r="R600" i="28"/>
  <c r="Y600" i="28" s="1"/>
  <c r="S600" i="28"/>
  <c r="Z600" i="28" s="1"/>
  <c r="T600" i="28"/>
  <c r="AA600" i="28" s="1"/>
  <c r="U600" i="28"/>
  <c r="AB600" i="28" s="1"/>
  <c r="Q601" i="28"/>
  <c r="X601" i="28" s="1"/>
  <c r="R601" i="28"/>
  <c r="Y601" i="28" s="1"/>
  <c r="S601" i="28"/>
  <c r="Z601" i="28" s="1"/>
  <c r="T601" i="28"/>
  <c r="AA601" i="28" s="1"/>
  <c r="U601" i="28"/>
  <c r="AB601" i="28" s="1"/>
  <c r="V601" i="28"/>
  <c r="AC601" i="28" s="1"/>
  <c r="Q602" i="28"/>
  <c r="X602" i="28" s="1"/>
  <c r="R602" i="28"/>
  <c r="Y602" i="28" s="1"/>
  <c r="S602" i="28"/>
  <c r="Z602" i="28" s="1"/>
  <c r="T602" i="28"/>
  <c r="AA602" i="28" s="1"/>
  <c r="U602" i="28"/>
  <c r="AB602" i="28" s="1"/>
  <c r="V602" i="28"/>
  <c r="AC602" i="28" s="1"/>
  <c r="Q603" i="28"/>
  <c r="X603" i="28" s="1"/>
  <c r="R603" i="28"/>
  <c r="Y603" i="28" s="1"/>
  <c r="S603" i="28"/>
  <c r="Z603" i="28" s="1"/>
  <c r="T603" i="28"/>
  <c r="AA603" i="28" s="1"/>
  <c r="U603" i="28"/>
  <c r="AB603" i="28" s="1"/>
  <c r="V603" i="28"/>
  <c r="AC603" i="28" s="1"/>
  <c r="Q604" i="28"/>
  <c r="X604" i="28" s="1"/>
  <c r="R604" i="28"/>
  <c r="Y604" i="28" s="1"/>
  <c r="S604" i="28"/>
  <c r="Z604" i="28" s="1"/>
  <c r="T604" i="28"/>
  <c r="AA604" i="28" s="1"/>
  <c r="U604" i="28"/>
  <c r="AB604" i="28" s="1"/>
  <c r="V604" i="28"/>
  <c r="AC604" i="28" s="1"/>
  <c r="Q605" i="28"/>
  <c r="X605" i="28" s="1"/>
  <c r="R605" i="28"/>
  <c r="Y605" i="28" s="1"/>
  <c r="S605" i="28"/>
  <c r="Z605" i="28" s="1"/>
  <c r="T605" i="28"/>
  <c r="AA605" i="28" s="1"/>
  <c r="U605" i="28"/>
  <c r="AB605" i="28" s="1"/>
  <c r="V605" i="28"/>
  <c r="AC605" i="28" s="1"/>
  <c r="Q606" i="28"/>
  <c r="X606" i="28" s="1"/>
  <c r="R606" i="28"/>
  <c r="Y606" i="28" s="1"/>
  <c r="S606" i="28"/>
  <c r="Z606" i="28" s="1"/>
  <c r="T606" i="28"/>
  <c r="AA606" i="28" s="1"/>
  <c r="U606" i="28"/>
  <c r="AB606" i="28" s="1"/>
  <c r="V606" i="28"/>
  <c r="AC606" i="28" s="1"/>
  <c r="Q607" i="28"/>
  <c r="X607" i="28" s="1"/>
  <c r="R607" i="28"/>
  <c r="Y607" i="28" s="1"/>
  <c r="S607" i="28"/>
  <c r="Z607" i="28" s="1"/>
  <c r="T607" i="28"/>
  <c r="AA607" i="28" s="1"/>
  <c r="U607" i="28"/>
  <c r="AB607" i="28" s="1"/>
  <c r="V607" i="28"/>
  <c r="AC607" i="28" s="1"/>
  <c r="Q608" i="28"/>
  <c r="X608" i="28" s="1"/>
  <c r="R608" i="28"/>
  <c r="Y608" i="28" s="1"/>
  <c r="S608" i="28"/>
  <c r="Z608" i="28" s="1"/>
  <c r="T608" i="28"/>
  <c r="AA608" i="28" s="1"/>
  <c r="U608" i="28"/>
  <c r="AB608" i="28" s="1"/>
  <c r="Q609" i="28"/>
  <c r="X609" i="28" s="1"/>
  <c r="R609" i="28"/>
  <c r="Y609" i="28" s="1"/>
  <c r="S609" i="28"/>
  <c r="Z609" i="28" s="1"/>
  <c r="T609" i="28"/>
  <c r="AA609" i="28" s="1"/>
  <c r="U609" i="28"/>
  <c r="AB609" i="28" s="1"/>
  <c r="V609" i="28"/>
  <c r="AC609" i="28" s="1"/>
  <c r="Q610" i="28"/>
  <c r="X610" i="28" s="1"/>
  <c r="R610" i="28"/>
  <c r="Y610" i="28" s="1"/>
  <c r="S610" i="28"/>
  <c r="Z610" i="28" s="1"/>
  <c r="T610" i="28"/>
  <c r="AA610" i="28" s="1"/>
  <c r="U610" i="28"/>
  <c r="AB610" i="28" s="1"/>
  <c r="V610" i="28"/>
  <c r="AC610" i="28" s="1"/>
  <c r="Q611" i="28"/>
  <c r="X611" i="28" s="1"/>
  <c r="R611" i="28"/>
  <c r="Y611" i="28" s="1"/>
  <c r="S611" i="28"/>
  <c r="Z611" i="28" s="1"/>
  <c r="T611" i="28"/>
  <c r="AA611" i="28" s="1"/>
  <c r="U611" i="28"/>
  <c r="AB611" i="28" s="1"/>
  <c r="V611" i="28"/>
  <c r="AC611" i="28" s="1"/>
  <c r="Q612" i="28"/>
  <c r="X612" i="28" s="1"/>
  <c r="R612" i="28"/>
  <c r="Y612" i="28" s="1"/>
  <c r="S612" i="28"/>
  <c r="Z612" i="28" s="1"/>
  <c r="T612" i="28"/>
  <c r="AA612" i="28" s="1"/>
  <c r="U612" i="28"/>
  <c r="AB612" i="28" s="1"/>
  <c r="V612" i="28"/>
  <c r="AC612" i="28" s="1"/>
  <c r="Q613" i="28"/>
  <c r="X613" i="28" s="1"/>
  <c r="R613" i="28"/>
  <c r="Y613" i="28" s="1"/>
  <c r="S613" i="28"/>
  <c r="Z613" i="28" s="1"/>
  <c r="T613" i="28"/>
  <c r="AA613" i="28" s="1"/>
  <c r="U613" i="28"/>
  <c r="AB613" i="28" s="1"/>
  <c r="V613" i="28"/>
  <c r="AC613" i="28" s="1"/>
  <c r="Q614" i="28"/>
  <c r="X614" i="28" s="1"/>
  <c r="R614" i="28"/>
  <c r="Y614" i="28" s="1"/>
  <c r="S614" i="28"/>
  <c r="Z614" i="28" s="1"/>
  <c r="T614" i="28"/>
  <c r="AA614" i="28" s="1"/>
  <c r="U614" i="28"/>
  <c r="AB614" i="28" s="1"/>
  <c r="V614" i="28"/>
  <c r="AC614" i="28" s="1"/>
  <c r="Q615" i="28"/>
  <c r="X615" i="28" s="1"/>
  <c r="R615" i="28"/>
  <c r="Y615" i="28" s="1"/>
  <c r="S615" i="28"/>
  <c r="Z615" i="28" s="1"/>
  <c r="T615" i="28"/>
  <c r="AA615" i="28" s="1"/>
  <c r="U615" i="28"/>
  <c r="AB615" i="28" s="1"/>
  <c r="V615" i="28"/>
  <c r="AC615" i="28" s="1"/>
  <c r="Q616" i="28"/>
  <c r="X616" i="28" s="1"/>
  <c r="R616" i="28"/>
  <c r="Y616" i="28" s="1"/>
  <c r="S616" i="28"/>
  <c r="Z616" i="28" s="1"/>
  <c r="T616" i="28"/>
  <c r="AA616" i="28" s="1"/>
  <c r="U616" i="28"/>
  <c r="AB616" i="28" s="1"/>
  <c r="Q617" i="28"/>
  <c r="X617" i="28" s="1"/>
  <c r="R617" i="28"/>
  <c r="Y617" i="28" s="1"/>
  <c r="S617" i="28"/>
  <c r="Z617" i="28" s="1"/>
  <c r="T617" i="28"/>
  <c r="AA617" i="28" s="1"/>
  <c r="U617" i="28"/>
  <c r="AB617" i="28" s="1"/>
  <c r="V617" i="28"/>
  <c r="AC617" i="28" s="1"/>
  <c r="Q618" i="28"/>
  <c r="X618" i="28" s="1"/>
  <c r="R618" i="28"/>
  <c r="Y618" i="28" s="1"/>
  <c r="S618" i="28"/>
  <c r="Z618" i="28" s="1"/>
  <c r="T618" i="28"/>
  <c r="AA618" i="28" s="1"/>
  <c r="U618" i="28"/>
  <c r="AB618" i="28" s="1"/>
  <c r="V618" i="28"/>
  <c r="AC618" i="28" s="1"/>
  <c r="Q619" i="28"/>
  <c r="X619" i="28" s="1"/>
  <c r="R619" i="28"/>
  <c r="Y619" i="28" s="1"/>
  <c r="S619" i="28"/>
  <c r="Z619" i="28" s="1"/>
  <c r="T619" i="28"/>
  <c r="AA619" i="28" s="1"/>
  <c r="U619" i="28"/>
  <c r="AB619" i="28" s="1"/>
  <c r="V619" i="28"/>
  <c r="AC619" i="28" s="1"/>
  <c r="Q620" i="28"/>
  <c r="X620" i="28" s="1"/>
  <c r="R620" i="28"/>
  <c r="Y620" i="28" s="1"/>
  <c r="S620" i="28"/>
  <c r="Z620" i="28" s="1"/>
  <c r="T620" i="28"/>
  <c r="AA620" i="28" s="1"/>
  <c r="U620" i="28"/>
  <c r="AB620" i="28" s="1"/>
  <c r="V620" i="28"/>
  <c r="AC620" i="28" s="1"/>
  <c r="Q621" i="28"/>
  <c r="X621" i="28" s="1"/>
  <c r="R621" i="28"/>
  <c r="Y621" i="28" s="1"/>
  <c r="S621" i="28"/>
  <c r="Z621" i="28" s="1"/>
  <c r="T621" i="28"/>
  <c r="AA621" i="28" s="1"/>
  <c r="U621" i="28"/>
  <c r="AB621" i="28" s="1"/>
  <c r="V621" i="28"/>
  <c r="AC621" i="28" s="1"/>
  <c r="Q622" i="28"/>
  <c r="X622" i="28" s="1"/>
  <c r="R622" i="28"/>
  <c r="Y622" i="28" s="1"/>
  <c r="S622" i="28"/>
  <c r="Z622" i="28" s="1"/>
  <c r="T622" i="28"/>
  <c r="AA622" i="28" s="1"/>
  <c r="U622" i="28"/>
  <c r="AB622" i="28" s="1"/>
  <c r="V622" i="28"/>
  <c r="AC622" i="28" s="1"/>
  <c r="Q623" i="28"/>
  <c r="X623" i="28" s="1"/>
  <c r="R623" i="28"/>
  <c r="Y623" i="28" s="1"/>
  <c r="S623" i="28"/>
  <c r="Z623" i="28" s="1"/>
  <c r="T623" i="28"/>
  <c r="AA623" i="28" s="1"/>
  <c r="U623" i="28"/>
  <c r="AB623" i="28" s="1"/>
  <c r="V623" i="28"/>
  <c r="AC623" i="28" s="1"/>
  <c r="Q624" i="28"/>
  <c r="X624" i="28" s="1"/>
  <c r="R624" i="28"/>
  <c r="Y624" i="28" s="1"/>
  <c r="S624" i="28"/>
  <c r="Z624" i="28" s="1"/>
  <c r="T624" i="28"/>
  <c r="AA624" i="28" s="1"/>
  <c r="U624" i="28"/>
  <c r="AB624" i="28" s="1"/>
  <c r="Q625" i="28"/>
  <c r="X625" i="28" s="1"/>
  <c r="R625" i="28"/>
  <c r="Y625" i="28" s="1"/>
  <c r="S625" i="28"/>
  <c r="Z625" i="28" s="1"/>
  <c r="T625" i="28"/>
  <c r="AA625" i="28" s="1"/>
  <c r="U625" i="28"/>
  <c r="AB625" i="28" s="1"/>
  <c r="V625" i="28"/>
  <c r="AC625" i="28" s="1"/>
  <c r="Q626" i="28"/>
  <c r="X626" i="28" s="1"/>
  <c r="R626" i="28"/>
  <c r="Y626" i="28" s="1"/>
  <c r="S626" i="28"/>
  <c r="Z626" i="28" s="1"/>
  <c r="T626" i="28"/>
  <c r="AA626" i="28" s="1"/>
  <c r="U626" i="28"/>
  <c r="AB626" i="28" s="1"/>
  <c r="V626" i="28"/>
  <c r="AC626" i="28" s="1"/>
  <c r="Q627" i="28"/>
  <c r="X627" i="28" s="1"/>
  <c r="R627" i="28"/>
  <c r="Y627" i="28" s="1"/>
  <c r="S627" i="28"/>
  <c r="Z627" i="28" s="1"/>
  <c r="T627" i="28"/>
  <c r="AA627" i="28" s="1"/>
  <c r="U627" i="28"/>
  <c r="AB627" i="28" s="1"/>
  <c r="V627" i="28"/>
  <c r="AC627" i="28" s="1"/>
  <c r="Q628" i="28"/>
  <c r="X628" i="28" s="1"/>
  <c r="R628" i="28"/>
  <c r="Y628" i="28" s="1"/>
  <c r="S628" i="28"/>
  <c r="Z628" i="28" s="1"/>
  <c r="T628" i="28"/>
  <c r="AA628" i="28" s="1"/>
  <c r="U628" i="28"/>
  <c r="AB628" i="28" s="1"/>
  <c r="V628" i="28"/>
  <c r="AC628" i="28" s="1"/>
  <c r="Q629" i="28"/>
  <c r="X629" i="28" s="1"/>
  <c r="R629" i="28"/>
  <c r="Y629" i="28" s="1"/>
  <c r="S629" i="28"/>
  <c r="Z629" i="28" s="1"/>
  <c r="T629" i="28"/>
  <c r="AA629" i="28" s="1"/>
  <c r="U629" i="28"/>
  <c r="AB629" i="28" s="1"/>
  <c r="V629" i="28"/>
  <c r="AC629" i="28" s="1"/>
  <c r="Q630" i="28"/>
  <c r="X630" i="28" s="1"/>
  <c r="R630" i="28"/>
  <c r="Y630" i="28" s="1"/>
  <c r="S630" i="28"/>
  <c r="Z630" i="28" s="1"/>
  <c r="T630" i="28"/>
  <c r="AA630" i="28" s="1"/>
  <c r="U630" i="28"/>
  <c r="AB630" i="28" s="1"/>
  <c r="V630" i="28"/>
  <c r="AC630" i="28" s="1"/>
  <c r="Q631" i="28"/>
  <c r="X631" i="28" s="1"/>
  <c r="R631" i="28"/>
  <c r="Y631" i="28" s="1"/>
  <c r="S631" i="28"/>
  <c r="Z631" i="28" s="1"/>
  <c r="T631" i="28"/>
  <c r="AA631" i="28" s="1"/>
  <c r="U631" i="28"/>
  <c r="AB631" i="28" s="1"/>
  <c r="V631" i="28"/>
  <c r="AC631" i="28" s="1"/>
  <c r="Q632" i="28"/>
  <c r="X632" i="28" s="1"/>
  <c r="R632" i="28"/>
  <c r="Y632" i="28" s="1"/>
  <c r="S632" i="28"/>
  <c r="Z632" i="28" s="1"/>
  <c r="T632" i="28"/>
  <c r="AA632" i="28" s="1"/>
  <c r="U632" i="28"/>
  <c r="AB632" i="28" s="1"/>
  <c r="Q633" i="28"/>
  <c r="X633" i="28" s="1"/>
  <c r="R633" i="28"/>
  <c r="Y633" i="28" s="1"/>
  <c r="S633" i="28"/>
  <c r="Z633" i="28" s="1"/>
  <c r="T633" i="28"/>
  <c r="AA633" i="28" s="1"/>
  <c r="U633" i="28"/>
  <c r="AB633" i="28" s="1"/>
  <c r="V633" i="28"/>
  <c r="AC633" i="28" s="1"/>
  <c r="Q634" i="28"/>
  <c r="X634" i="28" s="1"/>
  <c r="R634" i="28"/>
  <c r="Y634" i="28" s="1"/>
  <c r="S634" i="28"/>
  <c r="Z634" i="28" s="1"/>
  <c r="T634" i="28"/>
  <c r="AA634" i="28" s="1"/>
  <c r="U634" i="28"/>
  <c r="AB634" i="28" s="1"/>
  <c r="V634" i="28"/>
  <c r="AC634" i="28" s="1"/>
  <c r="Q635" i="28"/>
  <c r="X635" i="28" s="1"/>
  <c r="R635" i="28"/>
  <c r="Y635" i="28" s="1"/>
  <c r="S635" i="28"/>
  <c r="Z635" i="28" s="1"/>
  <c r="T635" i="28"/>
  <c r="AA635" i="28" s="1"/>
  <c r="U635" i="28"/>
  <c r="AB635" i="28" s="1"/>
  <c r="V635" i="28"/>
  <c r="AC635" i="28" s="1"/>
  <c r="Q636" i="28"/>
  <c r="X636" i="28" s="1"/>
  <c r="R636" i="28"/>
  <c r="Y636" i="28" s="1"/>
  <c r="S636" i="28"/>
  <c r="Z636" i="28" s="1"/>
  <c r="T636" i="28"/>
  <c r="AA636" i="28" s="1"/>
  <c r="U636" i="28"/>
  <c r="AB636" i="28" s="1"/>
  <c r="V636" i="28"/>
  <c r="AC636" i="28" s="1"/>
  <c r="Q637" i="28"/>
  <c r="X637" i="28" s="1"/>
  <c r="R637" i="28"/>
  <c r="Y637" i="28" s="1"/>
  <c r="S637" i="28"/>
  <c r="Z637" i="28" s="1"/>
  <c r="T637" i="28"/>
  <c r="AA637" i="28" s="1"/>
  <c r="U637" i="28"/>
  <c r="AB637" i="28" s="1"/>
  <c r="V637" i="28"/>
  <c r="AC637" i="28" s="1"/>
  <c r="Q638" i="28"/>
  <c r="X638" i="28" s="1"/>
  <c r="R638" i="28"/>
  <c r="Y638" i="28" s="1"/>
  <c r="S638" i="28"/>
  <c r="Z638" i="28" s="1"/>
  <c r="T638" i="28"/>
  <c r="AA638" i="28" s="1"/>
  <c r="U638" i="28"/>
  <c r="AB638" i="28" s="1"/>
  <c r="V638" i="28"/>
  <c r="AC638" i="28" s="1"/>
  <c r="Q639" i="28"/>
  <c r="X639" i="28" s="1"/>
  <c r="R639" i="28"/>
  <c r="Y639" i="28" s="1"/>
  <c r="S639" i="28"/>
  <c r="Z639" i="28" s="1"/>
  <c r="T639" i="28"/>
  <c r="AA639" i="28" s="1"/>
  <c r="U639" i="28"/>
  <c r="AB639" i="28" s="1"/>
  <c r="V639" i="28"/>
  <c r="AC639" i="28" s="1"/>
  <c r="Q640" i="28"/>
  <c r="X640" i="28" s="1"/>
  <c r="R640" i="28"/>
  <c r="Y640" i="28" s="1"/>
  <c r="S640" i="28"/>
  <c r="Z640" i="28" s="1"/>
  <c r="T640" i="28"/>
  <c r="AA640" i="28" s="1"/>
  <c r="U640" i="28"/>
  <c r="AB640" i="28" s="1"/>
  <c r="Q641" i="28"/>
  <c r="X641" i="28" s="1"/>
  <c r="R641" i="28"/>
  <c r="Y641" i="28" s="1"/>
  <c r="S641" i="28"/>
  <c r="Z641" i="28" s="1"/>
  <c r="T641" i="28"/>
  <c r="AA641" i="28" s="1"/>
  <c r="U641" i="28"/>
  <c r="AB641" i="28" s="1"/>
  <c r="V641" i="28"/>
  <c r="AC641" i="28" s="1"/>
  <c r="Q642" i="28"/>
  <c r="X642" i="28" s="1"/>
  <c r="R642" i="28"/>
  <c r="Y642" i="28" s="1"/>
  <c r="S642" i="28"/>
  <c r="Z642" i="28" s="1"/>
  <c r="T642" i="28"/>
  <c r="AA642" i="28" s="1"/>
  <c r="U642" i="28"/>
  <c r="AB642" i="28" s="1"/>
  <c r="V642" i="28"/>
  <c r="AC642" i="28" s="1"/>
  <c r="Q643" i="28"/>
  <c r="X643" i="28" s="1"/>
  <c r="R643" i="28"/>
  <c r="Y643" i="28" s="1"/>
  <c r="S643" i="28"/>
  <c r="Z643" i="28" s="1"/>
  <c r="T643" i="28"/>
  <c r="AA643" i="28" s="1"/>
  <c r="U643" i="28"/>
  <c r="AB643" i="28" s="1"/>
  <c r="V643" i="28"/>
  <c r="AC643" i="28" s="1"/>
  <c r="Q644" i="28"/>
  <c r="X644" i="28" s="1"/>
  <c r="R644" i="28"/>
  <c r="Y644" i="28" s="1"/>
  <c r="S644" i="28"/>
  <c r="Z644" i="28" s="1"/>
  <c r="T644" i="28"/>
  <c r="AA644" i="28" s="1"/>
  <c r="U644" i="28"/>
  <c r="AB644" i="28" s="1"/>
  <c r="V644" i="28"/>
  <c r="AC644" i="28" s="1"/>
  <c r="Q645" i="28"/>
  <c r="X645" i="28" s="1"/>
  <c r="R645" i="28"/>
  <c r="Y645" i="28" s="1"/>
  <c r="S645" i="28"/>
  <c r="Z645" i="28" s="1"/>
  <c r="T645" i="28"/>
  <c r="AA645" i="28" s="1"/>
  <c r="U645" i="28"/>
  <c r="AB645" i="28" s="1"/>
  <c r="V645" i="28"/>
  <c r="AC645" i="28" s="1"/>
  <c r="Q646" i="28"/>
  <c r="X646" i="28" s="1"/>
  <c r="R646" i="28"/>
  <c r="Y646" i="28" s="1"/>
  <c r="S646" i="28"/>
  <c r="Z646" i="28" s="1"/>
  <c r="T646" i="28"/>
  <c r="AA646" i="28" s="1"/>
  <c r="U646" i="28"/>
  <c r="AB646" i="28" s="1"/>
  <c r="V646" i="28"/>
  <c r="AC646" i="28" s="1"/>
  <c r="Q647" i="28"/>
  <c r="X647" i="28" s="1"/>
  <c r="R647" i="28"/>
  <c r="Y647" i="28" s="1"/>
  <c r="S647" i="28"/>
  <c r="Z647" i="28" s="1"/>
  <c r="T647" i="28"/>
  <c r="AA647" i="28" s="1"/>
  <c r="U647" i="28"/>
  <c r="AB647" i="28" s="1"/>
  <c r="V647" i="28"/>
  <c r="AC647" i="28" s="1"/>
  <c r="Q648" i="28"/>
  <c r="X648" i="28" s="1"/>
  <c r="R648" i="28"/>
  <c r="Y648" i="28" s="1"/>
  <c r="S648" i="28"/>
  <c r="Z648" i="28" s="1"/>
  <c r="T648" i="28"/>
  <c r="AA648" i="28" s="1"/>
  <c r="U648" i="28"/>
  <c r="AB648" i="28" s="1"/>
  <c r="Q649" i="28"/>
  <c r="X649" i="28" s="1"/>
  <c r="R649" i="28"/>
  <c r="Y649" i="28" s="1"/>
  <c r="S649" i="28"/>
  <c r="Z649" i="28" s="1"/>
  <c r="T649" i="28"/>
  <c r="AA649" i="28" s="1"/>
  <c r="U649" i="28"/>
  <c r="AB649" i="28" s="1"/>
  <c r="V649" i="28"/>
  <c r="AC649" i="28" s="1"/>
  <c r="Q650" i="28"/>
  <c r="X650" i="28" s="1"/>
  <c r="R650" i="28"/>
  <c r="Y650" i="28" s="1"/>
  <c r="S650" i="28"/>
  <c r="Z650" i="28" s="1"/>
  <c r="T650" i="28"/>
  <c r="AA650" i="28" s="1"/>
  <c r="U650" i="28"/>
  <c r="AB650" i="28" s="1"/>
  <c r="V650" i="28"/>
  <c r="AC650" i="28" s="1"/>
  <c r="Q651" i="28"/>
  <c r="X651" i="28" s="1"/>
  <c r="R651" i="28"/>
  <c r="Y651" i="28" s="1"/>
  <c r="S651" i="28"/>
  <c r="Z651" i="28" s="1"/>
  <c r="T651" i="28"/>
  <c r="AA651" i="28" s="1"/>
  <c r="U651" i="28"/>
  <c r="AB651" i="28" s="1"/>
  <c r="V651" i="28"/>
  <c r="AC651" i="28" s="1"/>
  <c r="Q652" i="28"/>
  <c r="X652" i="28" s="1"/>
  <c r="R652" i="28"/>
  <c r="Y652" i="28" s="1"/>
  <c r="S652" i="28"/>
  <c r="Z652" i="28" s="1"/>
  <c r="T652" i="28"/>
  <c r="AA652" i="28" s="1"/>
  <c r="U652" i="28"/>
  <c r="AB652" i="28" s="1"/>
  <c r="V652" i="28"/>
  <c r="AC652" i="28" s="1"/>
  <c r="Q653" i="28"/>
  <c r="X653" i="28" s="1"/>
  <c r="R653" i="28"/>
  <c r="Y653" i="28" s="1"/>
  <c r="S653" i="28"/>
  <c r="Z653" i="28" s="1"/>
  <c r="T653" i="28"/>
  <c r="AA653" i="28" s="1"/>
  <c r="U653" i="28"/>
  <c r="AB653" i="28" s="1"/>
  <c r="V653" i="28"/>
  <c r="AC653" i="28" s="1"/>
  <c r="Q654" i="28"/>
  <c r="X654" i="28" s="1"/>
  <c r="R654" i="28"/>
  <c r="Y654" i="28" s="1"/>
  <c r="S654" i="28"/>
  <c r="Z654" i="28" s="1"/>
  <c r="T654" i="28"/>
  <c r="AA654" i="28" s="1"/>
  <c r="U654" i="28"/>
  <c r="AB654" i="28" s="1"/>
  <c r="V654" i="28"/>
  <c r="AC654" i="28" s="1"/>
  <c r="Q655" i="28"/>
  <c r="X655" i="28" s="1"/>
  <c r="R655" i="28"/>
  <c r="Y655" i="28" s="1"/>
  <c r="S655" i="28"/>
  <c r="Z655" i="28" s="1"/>
  <c r="T655" i="28"/>
  <c r="AA655" i="28" s="1"/>
  <c r="U655" i="28"/>
  <c r="AB655" i="28" s="1"/>
  <c r="V655" i="28"/>
  <c r="AC655" i="28" s="1"/>
  <c r="Q656" i="28"/>
  <c r="X656" i="28" s="1"/>
  <c r="R656" i="28"/>
  <c r="Y656" i="28" s="1"/>
  <c r="S656" i="28"/>
  <c r="Z656" i="28" s="1"/>
  <c r="T656" i="28"/>
  <c r="AA656" i="28" s="1"/>
  <c r="U656" i="28"/>
  <c r="AB656" i="28" s="1"/>
  <c r="Q657" i="28"/>
  <c r="X657" i="28" s="1"/>
  <c r="R657" i="28"/>
  <c r="Y657" i="28" s="1"/>
  <c r="S657" i="28"/>
  <c r="Z657" i="28" s="1"/>
  <c r="T657" i="28"/>
  <c r="AA657" i="28" s="1"/>
  <c r="U657" i="28"/>
  <c r="AB657" i="28" s="1"/>
  <c r="V657" i="28"/>
  <c r="AC657" i="28" s="1"/>
  <c r="Q658" i="28"/>
  <c r="X658" i="28" s="1"/>
  <c r="R658" i="28"/>
  <c r="Y658" i="28" s="1"/>
  <c r="S658" i="28"/>
  <c r="Z658" i="28" s="1"/>
  <c r="T658" i="28"/>
  <c r="AA658" i="28" s="1"/>
  <c r="U658" i="28"/>
  <c r="AB658" i="28" s="1"/>
  <c r="V658" i="28"/>
  <c r="AC658" i="28" s="1"/>
  <c r="Q659" i="28"/>
  <c r="X659" i="28" s="1"/>
  <c r="R659" i="28"/>
  <c r="Y659" i="28" s="1"/>
  <c r="S659" i="28"/>
  <c r="Z659" i="28" s="1"/>
  <c r="T659" i="28"/>
  <c r="AA659" i="28" s="1"/>
  <c r="U659" i="28"/>
  <c r="AB659" i="28" s="1"/>
  <c r="V659" i="28"/>
  <c r="AC659" i="28" s="1"/>
  <c r="Q660" i="28"/>
  <c r="X660" i="28" s="1"/>
  <c r="R660" i="28"/>
  <c r="Y660" i="28" s="1"/>
  <c r="S660" i="28"/>
  <c r="Z660" i="28" s="1"/>
  <c r="T660" i="28"/>
  <c r="AA660" i="28" s="1"/>
  <c r="U660" i="28"/>
  <c r="AB660" i="28" s="1"/>
  <c r="V660" i="28"/>
  <c r="AC660" i="28" s="1"/>
  <c r="Q661" i="28"/>
  <c r="X661" i="28" s="1"/>
  <c r="R661" i="28"/>
  <c r="Y661" i="28" s="1"/>
  <c r="S661" i="28"/>
  <c r="Z661" i="28" s="1"/>
  <c r="T661" i="28"/>
  <c r="AA661" i="28" s="1"/>
  <c r="U661" i="28"/>
  <c r="AB661" i="28" s="1"/>
  <c r="V661" i="28"/>
  <c r="AC661" i="28" s="1"/>
  <c r="Q662" i="28"/>
  <c r="X662" i="28" s="1"/>
  <c r="R662" i="28"/>
  <c r="Y662" i="28" s="1"/>
  <c r="S662" i="28"/>
  <c r="Z662" i="28" s="1"/>
  <c r="T662" i="28"/>
  <c r="AA662" i="28" s="1"/>
  <c r="U662" i="28"/>
  <c r="AB662" i="28" s="1"/>
  <c r="V662" i="28"/>
  <c r="AC662" i="28" s="1"/>
  <c r="Q663" i="28"/>
  <c r="X663" i="28" s="1"/>
  <c r="R663" i="28"/>
  <c r="Y663" i="28" s="1"/>
  <c r="S663" i="28"/>
  <c r="Z663" i="28" s="1"/>
  <c r="T663" i="28"/>
  <c r="AA663" i="28" s="1"/>
  <c r="U663" i="28"/>
  <c r="AB663" i="28" s="1"/>
  <c r="V663" i="28"/>
  <c r="AC663" i="28" s="1"/>
  <c r="Q664" i="28"/>
  <c r="X664" i="28" s="1"/>
  <c r="R664" i="28"/>
  <c r="Y664" i="28" s="1"/>
  <c r="S664" i="28"/>
  <c r="Z664" i="28" s="1"/>
  <c r="T664" i="28"/>
  <c r="AA664" i="28" s="1"/>
  <c r="U664" i="28"/>
  <c r="AB664" i="28" s="1"/>
  <c r="Q665" i="28"/>
  <c r="X665" i="28" s="1"/>
  <c r="R665" i="28"/>
  <c r="Y665" i="28" s="1"/>
  <c r="S665" i="28"/>
  <c r="Z665" i="28" s="1"/>
  <c r="T665" i="28"/>
  <c r="AA665" i="28" s="1"/>
  <c r="U665" i="28"/>
  <c r="AB665" i="28" s="1"/>
  <c r="V665" i="28"/>
  <c r="AC665" i="28" s="1"/>
  <c r="Q666" i="28"/>
  <c r="X666" i="28" s="1"/>
  <c r="R666" i="28"/>
  <c r="Y666" i="28" s="1"/>
  <c r="S666" i="28"/>
  <c r="Z666" i="28" s="1"/>
  <c r="T666" i="28"/>
  <c r="AA666" i="28" s="1"/>
  <c r="U666" i="28"/>
  <c r="AB666" i="28" s="1"/>
  <c r="V666" i="28"/>
  <c r="AC666" i="28" s="1"/>
  <c r="Q667" i="28"/>
  <c r="X667" i="28" s="1"/>
  <c r="R667" i="28"/>
  <c r="Y667" i="28" s="1"/>
  <c r="S667" i="28"/>
  <c r="Z667" i="28" s="1"/>
  <c r="T667" i="28"/>
  <c r="AA667" i="28" s="1"/>
  <c r="U667" i="28"/>
  <c r="AB667" i="28" s="1"/>
  <c r="V667" i="28"/>
  <c r="AC667" i="28" s="1"/>
  <c r="Q668" i="28"/>
  <c r="X668" i="28" s="1"/>
  <c r="R668" i="28"/>
  <c r="Y668" i="28" s="1"/>
  <c r="S668" i="28"/>
  <c r="Z668" i="28" s="1"/>
  <c r="T668" i="28"/>
  <c r="AA668" i="28" s="1"/>
  <c r="U668" i="28"/>
  <c r="AB668" i="28" s="1"/>
  <c r="V668" i="28"/>
  <c r="AC668" i="28" s="1"/>
  <c r="Q669" i="28"/>
  <c r="X669" i="28" s="1"/>
  <c r="R669" i="28"/>
  <c r="Y669" i="28" s="1"/>
  <c r="S669" i="28"/>
  <c r="Z669" i="28" s="1"/>
  <c r="T669" i="28"/>
  <c r="AA669" i="28" s="1"/>
  <c r="U669" i="28"/>
  <c r="AB669" i="28" s="1"/>
  <c r="V669" i="28"/>
  <c r="AC669" i="28" s="1"/>
  <c r="Q670" i="28"/>
  <c r="X670" i="28" s="1"/>
  <c r="R670" i="28"/>
  <c r="Y670" i="28" s="1"/>
  <c r="S670" i="28"/>
  <c r="Z670" i="28" s="1"/>
  <c r="T670" i="28"/>
  <c r="AA670" i="28" s="1"/>
  <c r="U670" i="28"/>
  <c r="AB670" i="28" s="1"/>
  <c r="V670" i="28"/>
  <c r="AC670" i="28" s="1"/>
  <c r="Q671" i="28"/>
  <c r="X671" i="28" s="1"/>
  <c r="R671" i="28"/>
  <c r="Y671" i="28" s="1"/>
  <c r="S671" i="28"/>
  <c r="Z671" i="28" s="1"/>
  <c r="T671" i="28"/>
  <c r="AA671" i="28" s="1"/>
  <c r="U671" i="28"/>
  <c r="AB671" i="28" s="1"/>
  <c r="V671" i="28"/>
  <c r="AC671" i="28" s="1"/>
  <c r="Q672" i="28"/>
  <c r="X672" i="28" s="1"/>
  <c r="R672" i="28"/>
  <c r="Y672" i="28" s="1"/>
  <c r="S672" i="28"/>
  <c r="Z672" i="28" s="1"/>
  <c r="T672" i="28"/>
  <c r="AA672" i="28" s="1"/>
  <c r="U672" i="28"/>
  <c r="AB672" i="28" s="1"/>
  <c r="Q673" i="28"/>
  <c r="X673" i="28" s="1"/>
  <c r="R673" i="28"/>
  <c r="Y673" i="28" s="1"/>
  <c r="S673" i="28"/>
  <c r="Z673" i="28" s="1"/>
  <c r="T673" i="28"/>
  <c r="AA673" i="28" s="1"/>
  <c r="U673" i="28"/>
  <c r="AB673" i="28" s="1"/>
  <c r="V673" i="28"/>
  <c r="AC673" i="28" s="1"/>
  <c r="Q674" i="28"/>
  <c r="X674" i="28" s="1"/>
  <c r="R674" i="28"/>
  <c r="Y674" i="28" s="1"/>
  <c r="S674" i="28"/>
  <c r="Z674" i="28" s="1"/>
  <c r="T674" i="28"/>
  <c r="AA674" i="28" s="1"/>
  <c r="U674" i="28"/>
  <c r="AB674" i="28" s="1"/>
  <c r="V674" i="28"/>
  <c r="AC674" i="28" s="1"/>
  <c r="Q675" i="28"/>
  <c r="X675" i="28" s="1"/>
  <c r="R675" i="28"/>
  <c r="Y675" i="28" s="1"/>
  <c r="S675" i="28"/>
  <c r="Z675" i="28" s="1"/>
  <c r="T675" i="28"/>
  <c r="AA675" i="28" s="1"/>
  <c r="U675" i="28"/>
  <c r="AB675" i="28" s="1"/>
  <c r="V675" i="28"/>
  <c r="AC675" i="28" s="1"/>
  <c r="Q676" i="28"/>
  <c r="X676" i="28" s="1"/>
  <c r="R676" i="28"/>
  <c r="Y676" i="28" s="1"/>
  <c r="S676" i="28"/>
  <c r="Z676" i="28" s="1"/>
  <c r="T676" i="28"/>
  <c r="AA676" i="28" s="1"/>
  <c r="U676" i="28"/>
  <c r="AB676" i="28" s="1"/>
  <c r="V676" i="28"/>
  <c r="AC676" i="28" s="1"/>
  <c r="Q677" i="28"/>
  <c r="X677" i="28" s="1"/>
  <c r="R677" i="28"/>
  <c r="Y677" i="28" s="1"/>
  <c r="S677" i="28"/>
  <c r="Z677" i="28" s="1"/>
  <c r="T677" i="28"/>
  <c r="AA677" i="28" s="1"/>
  <c r="U677" i="28"/>
  <c r="AB677" i="28" s="1"/>
  <c r="V677" i="28"/>
  <c r="AC677" i="28" s="1"/>
  <c r="Q678" i="28"/>
  <c r="X678" i="28" s="1"/>
  <c r="R678" i="28"/>
  <c r="Y678" i="28" s="1"/>
  <c r="S678" i="28"/>
  <c r="Z678" i="28" s="1"/>
  <c r="T678" i="28"/>
  <c r="AA678" i="28" s="1"/>
  <c r="U678" i="28"/>
  <c r="AB678" i="28" s="1"/>
  <c r="V678" i="28"/>
  <c r="AC678" i="28" s="1"/>
  <c r="Q679" i="28"/>
  <c r="X679" i="28" s="1"/>
  <c r="R679" i="28"/>
  <c r="Y679" i="28" s="1"/>
  <c r="S679" i="28"/>
  <c r="Z679" i="28" s="1"/>
  <c r="T679" i="28"/>
  <c r="AA679" i="28" s="1"/>
  <c r="U679" i="28"/>
  <c r="AB679" i="28" s="1"/>
  <c r="V679" i="28"/>
  <c r="AC679" i="28" s="1"/>
  <c r="Q680" i="28"/>
  <c r="X680" i="28" s="1"/>
  <c r="R680" i="28"/>
  <c r="Y680" i="28" s="1"/>
  <c r="S680" i="28"/>
  <c r="Z680" i="28" s="1"/>
  <c r="T680" i="28"/>
  <c r="AA680" i="28" s="1"/>
  <c r="U680" i="28"/>
  <c r="AB680" i="28" s="1"/>
  <c r="Q681" i="28"/>
  <c r="X681" i="28" s="1"/>
  <c r="R681" i="28"/>
  <c r="Y681" i="28" s="1"/>
  <c r="S681" i="28"/>
  <c r="Z681" i="28" s="1"/>
  <c r="T681" i="28"/>
  <c r="AA681" i="28" s="1"/>
  <c r="U681" i="28"/>
  <c r="AB681" i="28" s="1"/>
  <c r="V681" i="28"/>
  <c r="AC681" i="28" s="1"/>
  <c r="Q682" i="28"/>
  <c r="X682" i="28" s="1"/>
  <c r="R682" i="28"/>
  <c r="Y682" i="28" s="1"/>
  <c r="S682" i="28"/>
  <c r="Z682" i="28" s="1"/>
  <c r="T682" i="28"/>
  <c r="AA682" i="28" s="1"/>
  <c r="U682" i="28"/>
  <c r="AB682" i="28" s="1"/>
  <c r="V682" i="28"/>
  <c r="AC682" i="28" s="1"/>
  <c r="Q683" i="28"/>
  <c r="X683" i="28" s="1"/>
  <c r="R683" i="28"/>
  <c r="Y683" i="28" s="1"/>
  <c r="S683" i="28"/>
  <c r="Z683" i="28" s="1"/>
  <c r="T683" i="28"/>
  <c r="AA683" i="28" s="1"/>
  <c r="U683" i="28"/>
  <c r="AB683" i="28" s="1"/>
  <c r="V683" i="28"/>
  <c r="AC683" i="28" s="1"/>
  <c r="Q684" i="28"/>
  <c r="X684" i="28" s="1"/>
  <c r="R684" i="28"/>
  <c r="Y684" i="28" s="1"/>
  <c r="S684" i="28"/>
  <c r="Z684" i="28" s="1"/>
  <c r="T684" i="28"/>
  <c r="AA684" i="28" s="1"/>
  <c r="U684" i="28"/>
  <c r="AB684" i="28" s="1"/>
  <c r="V684" i="28"/>
  <c r="AC684" i="28" s="1"/>
  <c r="Q685" i="28"/>
  <c r="X685" i="28" s="1"/>
  <c r="R685" i="28"/>
  <c r="Y685" i="28" s="1"/>
  <c r="S685" i="28"/>
  <c r="Z685" i="28" s="1"/>
  <c r="T685" i="28"/>
  <c r="AA685" i="28" s="1"/>
  <c r="U685" i="28"/>
  <c r="AB685" i="28" s="1"/>
  <c r="V685" i="28"/>
  <c r="AC685" i="28" s="1"/>
  <c r="Q686" i="28"/>
  <c r="X686" i="28" s="1"/>
  <c r="R686" i="28"/>
  <c r="Y686" i="28" s="1"/>
  <c r="S686" i="28"/>
  <c r="Z686" i="28" s="1"/>
  <c r="T686" i="28"/>
  <c r="AA686" i="28" s="1"/>
  <c r="U686" i="28"/>
  <c r="AB686" i="28" s="1"/>
  <c r="V686" i="28"/>
  <c r="AC686" i="28" s="1"/>
  <c r="Q687" i="28"/>
  <c r="X687" i="28" s="1"/>
  <c r="R687" i="28"/>
  <c r="Y687" i="28" s="1"/>
  <c r="S687" i="28"/>
  <c r="Z687" i="28" s="1"/>
  <c r="T687" i="28"/>
  <c r="AA687" i="28" s="1"/>
  <c r="U687" i="28"/>
  <c r="AB687" i="28" s="1"/>
  <c r="V687" i="28"/>
  <c r="AC687" i="28" s="1"/>
  <c r="Q688" i="28"/>
  <c r="X688" i="28" s="1"/>
  <c r="R688" i="28"/>
  <c r="Y688" i="28" s="1"/>
  <c r="S688" i="28"/>
  <c r="Z688" i="28" s="1"/>
  <c r="T688" i="28"/>
  <c r="AA688" i="28" s="1"/>
  <c r="U688" i="28"/>
  <c r="AB688" i="28" s="1"/>
  <c r="Q689" i="28"/>
  <c r="X689" i="28" s="1"/>
  <c r="R689" i="28"/>
  <c r="Y689" i="28" s="1"/>
  <c r="S689" i="28"/>
  <c r="Z689" i="28" s="1"/>
  <c r="T689" i="28"/>
  <c r="AA689" i="28" s="1"/>
  <c r="U689" i="28"/>
  <c r="AB689" i="28" s="1"/>
  <c r="V689" i="28"/>
  <c r="AC689" i="28" s="1"/>
  <c r="Q690" i="28"/>
  <c r="X690" i="28" s="1"/>
  <c r="R690" i="28"/>
  <c r="Y690" i="28" s="1"/>
  <c r="S690" i="28"/>
  <c r="Z690" i="28" s="1"/>
  <c r="T690" i="28"/>
  <c r="AA690" i="28" s="1"/>
  <c r="U690" i="28"/>
  <c r="AB690" i="28" s="1"/>
  <c r="V690" i="28"/>
  <c r="AC690" i="28" s="1"/>
  <c r="Q691" i="28"/>
  <c r="X691" i="28" s="1"/>
  <c r="R691" i="28"/>
  <c r="Y691" i="28" s="1"/>
  <c r="S691" i="28"/>
  <c r="Z691" i="28" s="1"/>
  <c r="T691" i="28"/>
  <c r="AA691" i="28" s="1"/>
  <c r="U691" i="28"/>
  <c r="AB691" i="28" s="1"/>
  <c r="V691" i="28"/>
  <c r="AC691" i="28" s="1"/>
  <c r="Q692" i="28"/>
  <c r="X692" i="28" s="1"/>
  <c r="R692" i="28"/>
  <c r="Y692" i="28" s="1"/>
  <c r="S692" i="28"/>
  <c r="Z692" i="28" s="1"/>
  <c r="T692" i="28"/>
  <c r="AA692" i="28" s="1"/>
  <c r="U692" i="28"/>
  <c r="AB692" i="28" s="1"/>
  <c r="V692" i="28"/>
  <c r="AC692" i="28" s="1"/>
  <c r="Q693" i="28"/>
  <c r="X693" i="28" s="1"/>
  <c r="R693" i="28"/>
  <c r="Y693" i="28" s="1"/>
  <c r="S693" i="28"/>
  <c r="Z693" i="28" s="1"/>
  <c r="T693" i="28"/>
  <c r="AA693" i="28" s="1"/>
  <c r="U693" i="28"/>
  <c r="AB693" i="28" s="1"/>
  <c r="V693" i="28"/>
  <c r="AC693" i="28" s="1"/>
  <c r="Q694" i="28"/>
  <c r="X694" i="28" s="1"/>
  <c r="R694" i="28"/>
  <c r="Y694" i="28" s="1"/>
  <c r="S694" i="28"/>
  <c r="Z694" i="28" s="1"/>
  <c r="T694" i="28"/>
  <c r="AA694" i="28" s="1"/>
  <c r="U694" i="28"/>
  <c r="AB694" i="28" s="1"/>
  <c r="V694" i="28"/>
  <c r="AC694" i="28" s="1"/>
  <c r="Q695" i="28"/>
  <c r="X695" i="28" s="1"/>
  <c r="R695" i="28"/>
  <c r="Y695" i="28" s="1"/>
  <c r="S695" i="28"/>
  <c r="Z695" i="28" s="1"/>
  <c r="T695" i="28"/>
  <c r="AA695" i="28" s="1"/>
  <c r="U695" i="28"/>
  <c r="AB695" i="28" s="1"/>
  <c r="V695" i="28"/>
  <c r="AC695" i="28" s="1"/>
  <c r="Q696" i="28"/>
  <c r="X696" i="28" s="1"/>
  <c r="R696" i="28"/>
  <c r="Y696" i="28" s="1"/>
  <c r="S696" i="28"/>
  <c r="Z696" i="28" s="1"/>
  <c r="T696" i="28"/>
  <c r="AA696" i="28" s="1"/>
  <c r="U696" i="28"/>
  <c r="AB696" i="28" s="1"/>
  <c r="Q697" i="28"/>
  <c r="X697" i="28" s="1"/>
  <c r="R697" i="28"/>
  <c r="Y697" i="28" s="1"/>
  <c r="S697" i="28"/>
  <c r="Z697" i="28" s="1"/>
  <c r="T697" i="28"/>
  <c r="AA697" i="28" s="1"/>
  <c r="U697" i="28"/>
  <c r="AB697" i="28" s="1"/>
  <c r="V697" i="28"/>
  <c r="AC697" i="28" s="1"/>
  <c r="Q698" i="28"/>
  <c r="X698" i="28" s="1"/>
  <c r="R698" i="28"/>
  <c r="Y698" i="28" s="1"/>
  <c r="S698" i="28"/>
  <c r="Z698" i="28" s="1"/>
  <c r="T698" i="28"/>
  <c r="AA698" i="28" s="1"/>
  <c r="U698" i="28"/>
  <c r="AB698" i="28" s="1"/>
  <c r="V698" i="28"/>
  <c r="AC698" i="28" s="1"/>
  <c r="Q699" i="28"/>
  <c r="X699" i="28" s="1"/>
  <c r="R699" i="28"/>
  <c r="Y699" i="28" s="1"/>
  <c r="S699" i="28"/>
  <c r="Z699" i="28" s="1"/>
  <c r="T699" i="28"/>
  <c r="AA699" i="28" s="1"/>
  <c r="U699" i="28"/>
  <c r="AB699" i="28" s="1"/>
  <c r="V699" i="28"/>
  <c r="AC699" i="28" s="1"/>
  <c r="Q700" i="28"/>
  <c r="X700" i="28" s="1"/>
  <c r="R700" i="28"/>
  <c r="Y700" i="28" s="1"/>
  <c r="S700" i="28"/>
  <c r="Z700" i="28" s="1"/>
  <c r="T700" i="28"/>
  <c r="AA700" i="28" s="1"/>
  <c r="U700" i="28"/>
  <c r="AB700" i="28" s="1"/>
  <c r="V700" i="28"/>
  <c r="AC700" i="28" s="1"/>
  <c r="Q701" i="28"/>
  <c r="X701" i="28" s="1"/>
  <c r="R701" i="28"/>
  <c r="Y701" i="28" s="1"/>
  <c r="S701" i="28"/>
  <c r="Z701" i="28" s="1"/>
  <c r="T701" i="28"/>
  <c r="AA701" i="28" s="1"/>
  <c r="U701" i="28"/>
  <c r="AB701" i="28" s="1"/>
  <c r="V701" i="28"/>
  <c r="AC701" i="28" s="1"/>
  <c r="Q702" i="28"/>
  <c r="X702" i="28" s="1"/>
  <c r="R702" i="28"/>
  <c r="Y702" i="28" s="1"/>
  <c r="S702" i="28"/>
  <c r="Z702" i="28" s="1"/>
  <c r="T702" i="28"/>
  <c r="AA702" i="28" s="1"/>
  <c r="U702" i="28"/>
  <c r="AB702" i="28" s="1"/>
  <c r="V702" i="28"/>
  <c r="AC702" i="28" s="1"/>
  <c r="Q703" i="28"/>
  <c r="X703" i="28" s="1"/>
  <c r="R703" i="28"/>
  <c r="Y703" i="28" s="1"/>
  <c r="S703" i="28"/>
  <c r="Z703" i="28" s="1"/>
  <c r="T703" i="28"/>
  <c r="AA703" i="28" s="1"/>
  <c r="U703" i="28"/>
  <c r="AB703" i="28" s="1"/>
  <c r="V703" i="28"/>
  <c r="AC703" i="28" s="1"/>
  <c r="Q704" i="28"/>
  <c r="X704" i="28" s="1"/>
  <c r="R704" i="28"/>
  <c r="Y704" i="28" s="1"/>
  <c r="S704" i="28"/>
  <c r="Z704" i="28" s="1"/>
  <c r="T704" i="28"/>
  <c r="AA704" i="28" s="1"/>
  <c r="U704" i="28"/>
  <c r="AB704" i="28" s="1"/>
  <c r="Q705" i="28"/>
  <c r="X705" i="28" s="1"/>
  <c r="R705" i="28"/>
  <c r="Y705" i="28" s="1"/>
  <c r="S705" i="28"/>
  <c r="Z705" i="28" s="1"/>
  <c r="T705" i="28"/>
  <c r="AA705" i="28" s="1"/>
  <c r="U705" i="28"/>
  <c r="AB705" i="28" s="1"/>
  <c r="V705" i="28"/>
  <c r="AC705" i="28" s="1"/>
  <c r="Q706" i="28"/>
  <c r="X706" i="28" s="1"/>
  <c r="R706" i="28"/>
  <c r="Y706" i="28" s="1"/>
  <c r="S706" i="28"/>
  <c r="Z706" i="28" s="1"/>
  <c r="T706" i="28"/>
  <c r="AA706" i="28" s="1"/>
  <c r="U706" i="28"/>
  <c r="AB706" i="28" s="1"/>
  <c r="V706" i="28"/>
  <c r="AC706" i="28" s="1"/>
  <c r="Q707" i="28"/>
  <c r="X707" i="28" s="1"/>
  <c r="R707" i="28"/>
  <c r="Y707" i="28" s="1"/>
  <c r="S707" i="28"/>
  <c r="Z707" i="28" s="1"/>
  <c r="T707" i="28"/>
  <c r="AA707" i="28" s="1"/>
  <c r="U707" i="28"/>
  <c r="AB707" i="28" s="1"/>
  <c r="V707" i="28"/>
  <c r="AC707" i="28" s="1"/>
  <c r="Q708" i="28"/>
  <c r="X708" i="28" s="1"/>
  <c r="R708" i="28"/>
  <c r="Y708" i="28" s="1"/>
  <c r="S708" i="28"/>
  <c r="Z708" i="28" s="1"/>
  <c r="T708" i="28"/>
  <c r="AA708" i="28" s="1"/>
  <c r="U708" i="28"/>
  <c r="AB708" i="28" s="1"/>
  <c r="V708" i="28"/>
  <c r="AC708" i="28" s="1"/>
  <c r="Q709" i="28"/>
  <c r="X709" i="28" s="1"/>
  <c r="R709" i="28"/>
  <c r="Y709" i="28" s="1"/>
  <c r="S709" i="28"/>
  <c r="Z709" i="28" s="1"/>
  <c r="T709" i="28"/>
  <c r="AA709" i="28" s="1"/>
  <c r="U709" i="28"/>
  <c r="AB709" i="28" s="1"/>
  <c r="V709" i="28"/>
  <c r="AC709" i="28" s="1"/>
  <c r="Q710" i="28"/>
  <c r="X710" i="28" s="1"/>
  <c r="R710" i="28"/>
  <c r="Y710" i="28" s="1"/>
  <c r="S710" i="28"/>
  <c r="Z710" i="28" s="1"/>
  <c r="T710" i="28"/>
  <c r="AA710" i="28" s="1"/>
  <c r="U710" i="28"/>
  <c r="AB710" i="28" s="1"/>
  <c r="V710" i="28"/>
  <c r="AC710" i="28" s="1"/>
  <c r="Q711" i="28"/>
  <c r="X711" i="28" s="1"/>
  <c r="R711" i="28"/>
  <c r="Y711" i="28" s="1"/>
  <c r="S711" i="28"/>
  <c r="Z711" i="28" s="1"/>
  <c r="T711" i="28"/>
  <c r="AA711" i="28" s="1"/>
  <c r="U711" i="28"/>
  <c r="AB711" i="28" s="1"/>
  <c r="V711" i="28"/>
  <c r="AC711" i="28" s="1"/>
  <c r="Q712" i="28"/>
  <c r="X712" i="28" s="1"/>
  <c r="R712" i="28"/>
  <c r="Y712" i="28" s="1"/>
  <c r="S712" i="28"/>
  <c r="Z712" i="28" s="1"/>
  <c r="T712" i="28"/>
  <c r="AA712" i="28" s="1"/>
  <c r="U712" i="28"/>
  <c r="AB712" i="28" s="1"/>
  <c r="Q713" i="28"/>
  <c r="X713" i="28" s="1"/>
  <c r="R713" i="28"/>
  <c r="Y713" i="28" s="1"/>
  <c r="S713" i="28"/>
  <c r="Z713" i="28" s="1"/>
  <c r="T713" i="28"/>
  <c r="AA713" i="28" s="1"/>
  <c r="U713" i="28"/>
  <c r="AB713" i="28" s="1"/>
  <c r="V713" i="28"/>
  <c r="AC713" i="28" s="1"/>
  <c r="Q714" i="28"/>
  <c r="X714" i="28" s="1"/>
  <c r="R714" i="28"/>
  <c r="Y714" i="28" s="1"/>
  <c r="S714" i="28"/>
  <c r="Z714" i="28" s="1"/>
  <c r="T714" i="28"/>
  <c r="AA714" i="28" s="1"/>
  <c r="U714" i="28"/>
  <c r="AB714" i="28" s="1"/>
  <c r="V714" i="28"/>
  <c r="AC714" i="28" s="1"/>
  <c r="Q715" i="28"/>
  <c r="X715" i="28" s="1"/>
  <c r="R715" i="28"/>
  <c r="Y715" i="28" s="1"/>
  <c r="S715" i="28"/>
  <c r="Z715" i="28" s="1"/>
  <c r="T715" i="28"/>
  <c r="AA715" i="28" s="1"/>
  <c r="U715" i="28"/>
  <c r="AB715" i="28" s="1"/>
  <c r="V715" i="28"/>
  <c r="AC715" i="28" s="1"/>
  <c r="Q716" i="28"/>
  <c r="X716" i="28" s="1"/>
  <c r="R716" i="28"/>
  <c r="Y716" i="28" s="1"/>
  <c r="S716" i="28"/>
  <c r="Z716" i="28" s="1"/>
  <c r="T716" i="28"/>
  <c r="AA716" i="28" s="1"/>
  <c r="U716" i="28"/>
  <c r="AB716" i="28" s="1"/>
  <c r="V716" i="28"/>
  <c r="AC716" i="28" s="1"/>
  <c r="Q717" i="28"/>
  <c r="X717" i="28" s="1"/>
  <c r="R717" i="28"/>
  <c r="Y717" i="28" s="1"/>
  <c r="S717" i="28"/>
  <c r="Z717" i="28" s="1"/>
  <c r="T717" i="28"/>
  <c r="AA717" i="28" s="1"/>
  <c r="U717" i="28"/>
  <c r="AB717" i="28" s="1"/>
  <c r="V717" i="28"/>
  <c r="AC717" i="28" s="1"/>
  <c r="Q718" i="28"/>
  <c r="X718" i="28" s="1"/>
  <c r="R718" i="28"/>
  <c r="Y718" i="28" s="1"/>
  <c r="S718" i="28"/>
  <c r="Z718" i="28" s="1"/>
  <c r="T718" i="28"/>
  <c r="AA718" i="28" s="1"/>
  <c r="U718" i="28"/>
  <c r="AB718" i="28" s="1"/>
  <c r="V718" i="28"/>
  <c r="AC718" i="28" s="1"/>
  <c r="Q719" i="28"/>
  <c r="X719" i="28" s="1"/>
  <c r="R719" i="28"/>
  <c r="Y719" i="28" s="1"/>
  <c r="S719" i="28"/>
  <c r="Z719" i="28" s="1"/>
  <c r="T719" i="28"/>
  <c r="AA719" i="28" s="1"/>
  <c r="U719" i="28"/>
  <c r="AB719" i="28" s="1"/>
  <c r="V719" i="28"/>
  <c r="AC719" i="28" s="1"/>
  <c r="Q720" i="28"/>
  <c r="X720" i="28" s="1"/>
  <c r="R720" i="28"/>
  <c r="Y720" i="28" s="1"/>
  <c r="S720" i="28"/>
  <c r="Z720" i="28" s="1"/>
  <c r="T720" i="28"/>
  <c r="AA720" i="28" s="1"/>
  <c r="U720" i="28"/>
  <c r="AB720" i="28" s="1"/>
  <c r="Q721" i="28"/>
  <c r="X721" i="28" s="1"/>
  <c r="R721" i="28"/>
  <c r="Y721" i="28" s="1"/>
  <c r="S721" i="28"/>
  <c r="Z721" i="28" s="1"/>
  <c r="T721" i="28"/>
  <c r="AA721" i="28" s="1"/>
  <c r="U721" i="28"/>
  <c r="AB721" i="28" s="1"/>
  <c r="V721" i="28"/>
  <c r="AC721" i="28" s="1"/>
  <c r="Q722" i="28"/>
  <c r="X722" i="28" s="1"/>
  <c r="R722" i="28"/>
  <c r="Y722" i="28" s="1"/>
  <c r="S722" i="28"/>
  <c r="Z722" i="28" s="1"/>
  <c r="T722" i="28"/>
  <c r="AA722" i="28" s="1"/>
  <c r="U722" i="28"/>
  <c r="AB722" i="28" s="1"/>
  <c r="V722" i="28"/>
  <c r="AC722" i="28" s="1"/>
  <c r="Q723" i="28"/>
  <c r="X723" i="28" s="1"/>
  <c r="R723" i="28"/>
  <c r="Y723" i="28" s="1"/>
  <c r="S723" i="28"/>
  <c r="Z723" i="28" s="1"/>
  <c r="T723" i="28"/>
  <c r="AA723" i="28" s="1"/>
  <c r="U723" i="28"/>
  <c r="AB723" i="28" s="1"/>
  <c r="V723" i="28"/>
  <c r="AC723" i="28" s="1"/>
  <c r="Q724" i="28"/>
  <c r="X724" i="28" s="1"/>
  <c r="R724" i="28"/>
  <c r="Y724" i="28" s="1"/>
  <c r="S724" i="28"/>
  <c r="Z724" i="28" s="1"/>
  <c r="T724" i="28"/>
  <c r="AA724" i="28" s="1"/>
  <c r="U724" i="28"/>
  <c r="AB724" i="28" s="1"/>
  <c r="V724" i="28"/>
  <c r="AC724" i="28" s="1"/>
  <c r="Q725" i="28"/>
  <c r="X725" i="28" s="1"/>
  <c r="R725" i="28"/>
  <c r="Y725" i="28" s="1"/>
  <c r="S725" i="28"/>
  <c r="Z725" i="28" s="1"/>
  <c r="T725" i="28"/>
  <c r="AA725" i="28" s="1"/>
  <c r="U725" i="28"/>
  <c r="AB725" i="28" s="1"/>
  <c r="V725" i="28"/>
  <c r="AC725" i="28" s="1"/>
  <c r="Q726" i="28"/>
  <c r="X726" i="28" s="1"/>
  <c r="R726" i="28"/>
  <c r="Y726" i="28" s="1"/>
  <c r="S726" i="28"/>
  <c r="Z726" i="28" s="1"/>
  <c r="T726" i="28"/>
  <c r="AA726" i="28" s="1"/>
  <c r="U726" i="28"/>
  <c r="AB726" i="28" s="1"/>
  <c r="V726" i="28"/>
  <c r="AC726" i="28" s="1"/>
  <c r="Q727" i="28"/>
  <c r="X727" i="28" s="1"/>
  <c r="R727" i="28"/>
  <c r="Y727" i="28" s="1"/>
  <c r="S727" i="28"/>
  <c r="Z727" i="28" s="1"/>
  <c r="T727" i="28"/>
  <c r="AA727" i="28" s="1"/>
  <c r="U727" i="28"/>
  <c r="AB727" i="28" s="1"/>
  <c r="V727" i="28"/>
  <c r="AC727" i="28" s="1"/>
  <c r="Q728" i="28"/>
  <c r="X728" i="28" s="1"/>
  <c r="R728" i="28"/>
  <c r="Y728" i="28" s="1"/>
  <c r="S728" i="28"/>
  <c r="Z728" i="28" s="1"/>
  <c r="T728" i="28"/>
  <c r="AA728" i="28" s="1"/>
  <c r="U728" i="28"/>
  <c r="AB728" i="28" s="1"/>
  <c r="Q729" i="28"/>
  <c r="X729" i="28" s="1"/>
  <c r="R729" i="28"/>
  <c r="Y729" i="28" s="1"/>
  <c r="S729" i="28"/>
  <c r="Z729" i="28" s="1"/>
  <c r="T729" i="28"/>
  <c r="AA729" i="28" s="1"/>
  <c r="U729" i="28"/>
  <c r="AB729" i="28" s="1"/>
  <c r="V729" i="28"/>
  <c r="AC729" i="28" s="1"/>
  <c r="Q730" i="28"/>
  <c r="X730" i="28" s="1"/>
  <c r="R730" i="28"/>
  <c r="Y730" i="28" s="1"/>
  <c r="S730" i="28"/>
  <c r="Z730" i="28" s="1"/>
  <c r="T730" i="28"/>
  <c r="AA730" i="28" s="1"/>
  <c r="U730" i="28"/>
  <c r="AB730" i="28" s="1"/>
  <c r="V730" i="28"/>
  <c r="AC730" i="28" s="1"/>
  <c r="Q731" i="28"/>
  <c r="X731" i="28" s="1"/>
  <c r="R731" i="28"/>
  <c r="Y731" i="28" s="1"/>
  <c r="S731" i="28"/>
  <c r="Z731" i="28" s="1"/>
  <c r="T731" i="28"/>
  <c r="AA731" i="28" s="1"/>
  <c r="U731" i="28"/>
  <c r="AB731" i="28" s="1"/>
  <c r="V731" i="28"/>
  <c r="AC731" i="28" s="1"/>
  <c r="Q732" i="28"/>
  <c r="X732" i="28" s="1"/>
  <c r="R732" i="28"/>
  <c r="Y732" i="28" s="1"/>
  <c r="S732" i="28"/>
  <c r="Z732" i="28" s="1"/>
  <c r="T732" i="28"/>
  <c r="AA732" i="28" s="1"/>
  <c r="U732" i="28"/>
  <c r="AB732" i="28" s="1"/>
  <c r="V732" i="28"/>
  <c r="AC732" i="28" s="1"/>
  <c r="Q733" i="28"/>
  <c r="X733" i="28" s="1"/>
  <c r="R733" i="28"/>
  <c r="Y733" i="28" s="1"/>
  <c r="S733" i="28"/>
  <c r="Z733" i="28" s="1"/>
  <c r="T733" i="28"/>
  <c r="AA733" i="28" s="1"/>
  <c r="U733" i="28"/>
  <c r="AB733" i="28" s="1"/>
  <c r="V733" i="28"/>
  <c r="AC733" i="28" s="1"/>
  <c r="Q734" i="28"/>
  <c r="X734" i="28" s="1"/>
  <c r="R734" i="28"/>
  <c r="Y734" i="28" s="1"/>
  <c r="S734" i="28"/>
  <c r="Z734" i="28" s="1"/>
  <c r="T734" i="28"/>
  <c r="AA734" i="28" s="1"/>
  <c r="U734" i="28"/>
  <c r="AB734" i="28" s="1"/>
  <c r="V734" i="28"/>
  <c r="AC734" i="28" s="1"/>
  <c r="Q735" i="28"/>
  <c r="X735" i="28" s="1"/>
  <c r="R735" i="28"/>
  <c r="Y735" i="28" s="1"/>
  <c r="S735" i="28"/>
  <c r="Z735" i="28" s="1"/>
  <c r="T735" i="28"/>
  <c r="AA735" i="28" s="1"/>
  <c r="U735" i="28"/>
  <c r="AB735" i="28" s="1"/>
  <c r="V735" i="28"/>
  <c r="AC735" i="28" s="1"/>
  <c r="Q736" i="28"/>
  <c r="X736" i="28" s="1"/>
  <c r="R736" i="28"/>
  <c r="Y736" i="28" s="1"/>
  <c r="S736" i="28"/>
  <c r="Z736" i="28" s="1"/>
  <c r="T736" i="28"/>
  <c r="AA736" i="28" s="1"/>
  <c r="U736" i="28"/>
  <c r="AB736" i="28" s="1"/>
  <c r="Q737" i="28"/>
  <c r="X737" i="28" s="1"/>
  <c r="R737" i="28"/>
  <c r="Y737" i="28" s="1"/>
  <c r="S737" i="28"/>
  <c r="Z737" i="28" s="1"/>
  <c r="T737" i="28"/>
  <c r="AA737" i="28" s="1"/>
  <c r="U737" i="28"/>
  <c r="AB737" i="28" s="1"/>
  <c r="V737" i="28"/>
  <c r="AC737" i="28" s="1"/>
  <c r="Q738" i="28"/>
  <c r="X738" i="28" s="1"/>
  <c r="R738" i="28"/>
  <c r="Y738" i="28" s="1"/>
  <c r="S738" i="28"/>
  <c r="Z738" i="28" s="1"/>
  <c r="T738" i="28"/>
  <c r="AA738" i="28" s="1"/>
  <c r="U738" i="28"/>
  <c r="AB738" i="28" s="1"/>
  <c r="V738" i="28"/>
  <c r="AC738" i="28" s="1"/>
  <c r="Q739" i="28"/>
  <c r="X739" i="28" s="1"/>
  <c r="R739" i="28"/>
  <c r="Y739" i="28" s="1"/>
  <c r="S739" i="28"/>
  <c r="Z739" i="28" s="1"/>
  <c r="T739" i="28"/>
  <c r="AA739" i="28" s="1"/>
  <c r="U739" i="28"/>
  <c r="AB739" i="28" s="1"/>
  <c r="V739" i="28"/>
  <c r="AC739" i="28" s="1"/>
  <c r="Q740" i="28"/>
  <c r="X740" i="28" s="1"/>
  <c r="R740" i="28"/>
  <c r="Y740" i="28" s="1"/>
  <c r="S740" i="28"/>
  <c r="Z740" i="28" s="1"/>
  <c r="T740" i="28"/>
  <c r="AA740" i="28" s="1"/>
  <c r="U740" i="28"/>
  <c r="AB740" i="28" s="1"/>
  <c r="V740" i="28"/>
  <c r="AC740" i="28" s="1"/>
  <c r="Q741" i="28"/>
  <c r="X741" i="28" s="1"/>
  <c r="R741" i="28"/>
  <c r="Y741" i="28" s="1"/>
  <c r="S741" i="28"/>
  <c r="Z741" i="28" s="1"/>
  <c r="T741" i="28"/>
  <c r="AA741" i="28" s="1"/>
  <c r="U741" i="28"/>
  <c r="AB741" i="28" s="1"/>
  <c r="V741" i="28"/>
  <c r="AC741" i="28" s="1"/>
  <c r="Q742" i="28"/>
  <c r="X742" i="28" s="1"/>
  <c r="R742" i="28"/>
  <c r="Y742" i="28" s="1"/>
  <c r="S742" i="28"/>
  <c r="Z742" i="28" s="1"/>
  <c r="T742" i="28"/>
  <c r="AA742" i="28" s="1"/>
  <c r="U742" i="28"/>
  <c r="AB742" i="28" s="1"/>
  <c r="V742" i="28"/>
  <c r="AC742" i="28" s="1"/>
  <c r="Q743" i="28"/>
  <c r="X743" i="28" s="1"/>
  <c r="R743" i="28"/>
  <c r="Y743" i="28" s="1"/>
  <c r="S743" i="28"/>
  <c r="Z743" i="28" s="1"/>
  <c r="T743" i="28"/>
  <c r="AA743" i="28" s="1"/>
  <c r="U743" i="28"/>
  <c r="AB743" i="28" s="1"/>
  <c r="V743" i="28"/>
  <c r="AC743" i="28" s="1"/>
  <c r="Q744" i="28"/>
  <c r="X744" i="28" s="1"/>
  <c r="R744" i="28"/>
  <c r="Y744" i="28" s="1"/>
  <c r="S744" i="28"/>
  <c r="Z744" i="28" s="1"/>
  <c r="T744" i="28"/>
  <c r="AA744" i="28" s="1"/>
  <c r="U744" i="28"/>
  <c r="AB744" i="28" s="1"/>
  <c r="Q745" i="28"/>
  <c r="X745" i="28" s="1"/>
  <c r="R745" i="28"/>
  <c r="Y745" i="28" s="1"/>
  <c r="S745" i="28"/>
  <c r="Z745" i="28" s="1"/>
  <c r="T745" i="28"/>
  <c r="AA745" i="28" s="1"/>
  <c r="U745" i="28"/>
  <c r="AB745" i="28" s="1"/>
  <c r="V745" i="28"/>
  <c r="AC745" i="28" s="1"/>
  <c r="Q746" i="28"/>
  <c r="X746" i="28" s="1"/>
  <c r="R746" i="28"/>
  <c r="Y746" i="28" s="1"/>
  <c r="S746" i="28"/>
  <c r="Z746" i="28" s="1"/>
  <c r="T746" i="28"/>
  <c r="AA746" i="28" s="1"/>
  <c r="U746" i="28"/>
  <c r="AB746" i="28" s="1"/>
  <c r="V746" i="28"/>
  <c r="AC746" i="28" s="1"/>
  <c r="Q747" i="28"/>
  <c r="X747" i="28" s="1"/>
  <c r="R747" i="28"/>
  <c r="Y747" i="28" s="1"/>
  <c r="S747" i="28"/>
  <c r="Z747" i="28" s="1"/>
  <c r="T747" i="28"/>
  <c r="AA747" i="28" s="1"/>
  <c r="U747" i="28"/>
  <c r="AB747" i="28" s="1"/>
  <c r="V747" i="28"/>
  <c r="AC747" i="28" s="1"/>
  <c r="Q748" i="28"/>
  <c r="X748" i="28" s="1"/>
  <c r="R748" i="28"/>
  <c r="Y748" i="28" s="1"/>
  <c r="S748" i="28"/>
  <c r="Z748" i="28" s="1"/>
  <c r="T748" i="28"/>
  <c r="AA748" i="28" s="1"/>
  <c r="U748" i="28"/>
  <c r="AB748" i="28" s="1"/>
  <c r="V748" i="28"/>
  <c r="AC748" i="28" s="1"/>
  <c r="Q749" i="28"/>
  <c r="X749" i="28" s="1"/>
  <c r="R749" i="28"/>
  <c r="Y749" i="28" s="1"/>
  <c r="S749" i="28"/>
  <c r="Z749" i="28" s="1"/>
  <c r="T749" i="28"/>
  <c r="AA749" i="28" s="1"/>
  <c r="U749" i="28"/>
  <c r="AB749" i="28" s="1"/>
  <c r="V749" i="28"/>
  <c r="AC749" i="28" s="1"/>
  <c r="Q750" i="28"/>
  <c r="X750" i="28" s="1"/>
  <c r="R750" i="28"/>
  <c r="Y750" i="28" s="1"/>
  <c r="S750" i="28"/>
  <c r="Z750" i="28" s="1"/>
  <c r="T750" i="28"/>
  <c r="AA750" i="28" s="1"/>
  <c r="U750" i="28"/>
  <c r="AB750" i="28" s="1"/>
  <c r="V750" i="28"/>
  <c r="AC750" i="28" s="1"/>
  <c r="Q751" i="28"/>
  <c r="X751" i="28" s="1"/>
  <c r="R751" i="28"/>
  <c r="Y751" i="28" s="1"/>
  <c r="S751" i="28"/>
  <c r="Z751" i="28" s="1"/>
  <c r="T751" i="28"/>
  <c r="AA751" i="28" s="1"/>
  <c r="U751" i="28"/>
  <c r="AB751" i="28" s="1"/>
  <c r="V751" i="28"/>
  <c r="AC751" i="28" s="1"/>
  <c r="Q752" i="28"/>
  <c r="X752" i="28" s="1"/>
  <c r="R752" i="28"/>
  <c r="Y752" i="28" s="1"/>
  <c r="S752" i="28"/>
  <c r="Z752" i="28" s="1"/>
  <c r="T752" i="28"/>
  <c r="AA752" i="28" s="1"/>
  <c r="U752" i="28"/>
  <c r="AB752" i="28" s="1"/>
  <c r="Q753" i="28"/>
  <c r="X753" i="28" s="1"/>
  <c r="R753" i="28"/>
  <c r="Y753" i="28" s="1"/>
  <c r="S753" i="28"/>
  <c r="Z753" i="28" s="1"/>
  <c r="T753" i="28"/>
  <c r="AA753" i="28" s="1"/>
  <c r="U753" i="28"/>
  <c r="AB753" i="28" s="1"/>
  <c r="V753" i="28"/>
  <c r="AC753" i="28" s="1"/>
  <c r="Q754" i="28"/>
  <c r="X754" i="28" s="1"/>
  <c r="R754" i="28"/>
  <c r="Y754" i="28" s="1"/>
  <c r="S754" i="28"/>
  <c r="Z754" i="28" s="1"/>
  <c r="T754" i="28"/>
  <c r="AA754" i="28" s="1"/>
  <c r="U754" i="28"/>
  <c r="AB754" i="28" s="1"/>
  <c r="V754" i="28"/>
  <c r="AC754" i="28" s="1"/>
  <c r="Q755" i="28"/>
  <c r="X755" i="28" s="1"/>
  <c r="R755" i="28"/>
  <c r="Y755" i="28" s="1"/>
  <c r="S755" i="28"/>
  <c r="Z755" i="28" s="1"/>
  <c r="T755" i="28"/>
  <c r="AA755" i="28" s="1"/>
  <c r="U755" i="28"/>
  <c r="AB755" i="28" s="1"/>
  <c r="V755" i="28"/>
  <c r="AC755" i="28" s="1"/>
  <c r="Q756" i="28"/>
  <c r="X756" i="28" s="1"/>
  <c r="R756" i="28"/>
  <c r="Y756" i="28" s="1"/>
  <c r="S756" i="28"/>
  <c r="Z756" i="28" s="1"/>
  <c r="T756" i="28"/>
  <c r="AA756" i="28" s="1"/>
  <c r="U756" i="28"/>
  <c r="AB756" i="28" s="1"/>
  <c r="V756" i="28"/>
  <c r="AC756" i="28" s="1"/>
  <c r="Q757" i="28"/>
  <c r="X757" i="28" s="1"/>
  <c r="R757" i="28"/>
  <c r="Y757" i="28" s="1"/>
  <c r="S757" i="28"/>
  <c r="Z757" i="28" s="1"/>
  <c r="T757" i="28"/>
  <c r="AA757" i="28" s="1"/>
  <c r="U757" i="28"/>
  <c r="AB757" i="28" s="1"/>
  <c r="V757" i="28"/>
  <c r="AC757" i="28" s="1"/>
  <c r="Q758" i="28"/>
  <c r="X758" i="28" s="1"/>
  <c r="R758" i="28"/>
  <c r="Y758" i="28" s="1"/>
  <c r="S758" i="28"/>
  <c r="Z758" i="28" s="1"/>
  <c r="T758" i="28"/>
  <c r="AA758" i="28" s="1"/>
  <c r="U758" i="28"/>
  <c r="AB758" i="28" s="1"/>
  <c r="V758" i="28"/>
  <c r="AC758" i="28" s="1"/>
  <c r="Q759" i="28"/>
  <c r="X759" i="28" s="1"/>
  <c r="R759" i="28"/>
  <c r="Y759" i="28" s="1"/>
  <c r="S759" i="28"/>
  <c r="Z759" i="28" s="1"/>
  <c r="T759" i="28"/>
  <c r="AA759" i="28" s="1"/>
  <c r="U759" i="28"/>
  <c r="AB759" i="28" s="1"/>
  <c r="V759" i="28"/>
  <c r="AC759" i="28" s="1"/>
  <c r="Q760" i="28"/>
  <c r="X760" i="28" s="1"/>
  <c r="R760" i="28"/>
  <c r="Y760" i="28" s="1"/>
  <c r="S760" i="28"/>
  <c r="Z760" i="28" s="1"/>
  <c r="T760" i="28"/>
  <c r="AA760" i="28" s="1"/>
  <c r="U760" i="28"/>
  <c r="AB760" i="28" s="1"/>
  <c r="Q761" i="28"/>
  <c r="X761" i="28" s="1"/>
  <c r="R761" i="28"/>
  <c r="Y761" i="28" s="1"/>
  <c r="S761" i="28"/>
  <c r="Z761" i="28" s="1"/>
  <c r="T761" i="28"/>
  <c r="AA761" i="28" s="1"/>
  <c r="U761" i="28"/>
  <c r="AB761" i="28" s="1"/>
  <c r="V761" i="28"/>
  <c r="AC761" i="28" s="1"/>
  <c r="Q762" i="28"/>
  <c r="X762" i="28" s="1"/>
  <c r="R762" i="28"/>
  <c r="Y762" i="28" s="1"/>
  <c r="S762" i="28"/>
  <c r="Z762" i="28" s="1"/>
  <c r="T762" i="28"/>
  <c r="AA762" i="28" s="1"/>
  <c r="U762" i="28"/>
  <c r="AB762" i="28" s="1"/>
  <c r="V762" i="28"/>
  <c r="AC762" i="28" s="1"/>
  <c r="Q763" i="28"/>
  <c r="X763" i="28" s="1"/>
  <c r="R763" i="28"/>
  <c r="Y763" i="28" s="1"/>
  <c r="S763" i="28"/>
  <c r="Z763" i="28" s="1"/>
  <c r="T763" i="28"/>
  <c r="AA763" i="28" s="1"/>
  <c r="U763" i="28"/>
  <c r="AB763" i="28" s="1"/>
  <c r="V763" i="28"/>
  <c r="AC763" i="28" s="1"/>
  <c r="Q764" i="28"/>
  <c r="X764" i="28" s="1"/>
  <c r="R764" i="28"/>
  <c r="Y764" i="28" s="1"/>
  <c r="S764" i="28"/>
  <c r="Z764" i="28" s="1"/>
  <c r="T764" i="28"/>
  <c r="AA764" i="28" s="1"/>
  <c r="U764" i="28"/>
  <c r="AB764" i="28" s="1"/>
  <c r="V764" i="28"/>
  <c r="AC764" i="28" s="1"/>
  <c r="Q765" i="28"/>
  <c r="X765" i="28" s="1"/>
  <c r="R765" i="28"/>
  <c r="Y765" i="28" s="1"/>
  <c r="S765" i="28"/>
  <c r="Z765" i="28" s="1"/>
  <c r="T765" i="28"/>
  <c r="AA765" i="28" s="1"/>
  <c r="U765" i="28"/>
  <c r="AB765" i="28" s="1"/>
  <c r="V765" i="28"/>
  <c r="AC765" i="28" s="1"/>
  <c r="Q766" i="28"/>
  <c r="X766" i="28" s="1"/>
  <c r="R766" i="28"/>
  <c r="Y766" i="28" s="1"/>
  <c r="S766" i="28"/>
  <c r="Z766" i="28" s="1"/>
  <c r="T766" i="28"/>
  <c r="AA766" i="28" s="1"/>
  <c r="U766" i="28"/>
  <c r="AB766" i="28" s="1"/>
  <c r="V766" i="28"/>
  <c r="AC766" i="28" s="1"/>
  <c r="Q767" i="28"/>
  <c r="X767" i="28" s="1"/>
  <c r="R767" i="28"/>
  <c r="Y767" i="28" s="1"/>
  <c r="S767" i="28"/>
  <c r="Z767" i="28" s="1"/>
  <c r="T767" i="28"/>
  <c r="AA767" i="28" s="1"/>
  <c r="U767" i="28"/>
  <c r="AB767" i="28" s="1"/>
  <c r="V767" i="28"/>
  <c r="AC767" i="28" s="1"/>
  <c r="Q768" i="28"/>
  <c r="X768" i="28" s="1"/>
  <c r="R768" i="28"/>
  <c r="Y768" i="28" s="1"/>
  <c r="S768" i="28"/>
  <c r="Z768" i="28" s="1"/>
  <c r="T768" i="28"/>
  <c r="AA768" i="28" s="1"/>
  <c r="U768" i="28"/>
  <c r="AB768" i="28" s="1"/>
  <c r="Q769" i="28"/>
  <c r="X769" i="28" s="1"/>
  <c r="R769" i="28"/>
  <c r="Y769" i="28" s="1"/>
  <c r="S769" i="28"/>
  <c r="Z769" i="28" s="1"/>
  <c r="T769" i="28"/>
  <c r="AA769" i="28" s="1"/>
  <c r="U769" i="28"/>
  <c r="AB769" i="28" s="1"/>
  <c r="V769" i="28"/>
  <c r="AC769" i="28" s="1"/>
  <c r="Q770" i="28"/>
  <c r="X770" i="28" s="1"/>
  <c r="R770" i="28"/>
  <c r="Y770" i="28" s="1"/>
  <c r="S770" i="28"/>
  <c r="Z770" i="28" s="1"/>
  <c r="T770" i="28"/>
  <c r="AA770" i="28" s="1"/>
  <c r="U770" i="28"/>
  <c r="AB770" i="28" s="1"/>
  <c r="V770" i="28"/>
  <c r="AC770" i="28" s="1"/>
  <c r="Q771" i="28"/>
  <c r="X771" i="28" s="1"/>
  <c r="R771" i="28"/>
  <c r="Y771" i="28" s="1"/>
  <c r="S771" i="28"/>
  <c r="Z771" i="28" s="1"/>
  <c r="T771" i="28"/>
  <c r="AA771" i="28" s="1"/>
  <c r="U771" i="28"/>
  <c r="AB771" i="28" s="1"/>
  <c r="V771" i="28"/>
  <c r="AC771" i="28" s="1"/>
  <c r="Q772" i="28"/>
  <c r="X772" i="28" s="1"/>
  <c r="R772" i="28"/>
  <c r="Y772" i="28" s="1"/>
  <c r="S772" i="28"/>
  <c r="Z772" i="28" s="1"/>
  <c r="T772" i="28"/>
  <c r="AA772" i="28" s="1"/>
  <c r="U772" i="28"/>
  <c r="AB772" i="28" s="1"/>
  <c r="V772" i="28"/>
  <c r="AC772" i="28" s="1"/>
  <c r="Q773" i="28"/>
  <c r="X773" i="28" s="1"/>
  <c r="R773" i="28"/>
  <c r="Y773" i="28" s="1"/>
  <c r="S773" i="28"/>
  <c r="Z773" i="28" s="1"/>
  <c r="T773" i="28"/>
  <c r="AA773" i="28" s="1"/>
  <c r="U773" i="28"/>
  <c r="AB773" i="28" s="1"/>
  <c r="V773" i="28"/>
  <c r="AC773" i="28" s="1"/>
  <c r="Q774" i="28"/>
  <c r="X774" i="28" s="1"/>
  <c r="R774" i="28"/>
  <c r="Y774" i="28" s="1"/>
  <c r="S774" i="28"/>
  <c r="Z774" i="28" s="1"/>
  <c r="T774" i="28"/>
  <c r="AA774" i="28" s="1"/>
  <c r="U774" i="28"/>
  <c r="AB774" i="28" s="1"/>
  <c r="V774" i="28"/>
  <c r="AC774" i="28" s="1"/>
  <c r="Q775" i="28"/>
  <c r="X775" i="28" s="1"/>
  <c r="R775" i="28"/>
  <c r="Y775" i="28" s="1"/>
  <c r="S775" i="28"/>
  <c r="Z775" i="28" s="1"/>
  <c r="T775" i="28"/>
  <c r="AA775" i="28" s="1"/>
  <c r="U775" i="28"/>
  <c r="AB775" i="28" s="1"/>
  <c r="V775" i="28"/>
  <c r="AC775" i="28" s="1"/>
  <c r="Q776" i="28"/>
  <c r="X776" i="28" s="1"/>
  <c r="R776" i="28"/>
  <c r="Y776" i="28" s="1"/>
  <c r="S776" i="28"/>
  <c r="Z776" i="28" s="1"/>
  <c r="T776" i="28"/>
  <c r="AA776" i="28" s="1"/>
  <c r="U776" i="28"/>
  <c r="AB776" i="28" s="1"/>
  <c r="Q777" i="28"/>
  <c r="X777" i="28" s="1"/>
  <c r="R777" i="28"/>
  <c r="Y777" i="28" s="1"/>
  <c r="S777" i="28"/>
  <c r="Z777" i="28" s="1"/>
  <c r="T777" i="28"/>
  <c r="AA777" i="28" s="1"/>
  <c r="U777" i="28"/>
  <c r="AB777" i="28" s="1"/>
  <c r="V777" i="28"/>
  <c r="AC777" i="28" s="1"/>
  <c r="Q778" i="28"/>
  <c r="X778" i="28" s="1"/>
  <c r="R778" i="28"/>
  <c r="Y778" i="28" s="1"/>
  <c r="S778" i="28"/>
  <c r="Z778" i="28" s="1"/>
  <c r="T778" i="28"/>
  <c r="AA778" i="28" s="1"/>
  <c r="U778" i="28"/>
  <c r="AB778" i="28" s="1"/>
  <c r="V778" i="28"/>
  <c r="AC778" i="28" s="1"/>
  <c r="Q779" i="28"/>
  <c r="X779" i="28" s="1"/>
  <c r="R779" i="28"/>
  <c r="Y779" i="28" s="1"/>
  <c r="S779" i="28"/>
  <c r="Z779" i="28" s="1"/>
  <c r="T779" i="28"/>
  <c r="AA779" i="28" s="1"/>
  <c r="U779" i="28"/>
  <c r="AB779" i="28" s="1"/>
  <c r="V779" i="28"/>
  <c r="AC779" i="28" s="1"/>
  <c r="Q780" i="28"/>
  <c r="X780" i="28" s="1"/>
  <c r="R780" i="28"/>
  <c r="Y780" i="28" s="1"/>
  <c r="S780" i="28"/>
  <c r="Z780" i="28" s="1"/>
  <c r="T780" i="28"/>
  <c r="AA780" i="28" s="1"/>
  <c r="U780" i="28"/>
  <c r="AB780" i="28" s="1"/>
  <c r="V780" i="28"/>
  <c r="AC780" i="28" s="1"/>
  <c r="Q781" i="28"/>
  <c r="X781" i="28" s="1"/>
  <c r="R781" i="28"/>
  <c r="Y781" i="28" s="1"/>
  <c r="S781" i="28"/>
  <c r="Z781" i="28" s="1"/>
  <c r="T781" i="28"/>
  <c r="AA781" i="28" s="1"/>
  <c r="U781" i="28"/>
  <c r="AB781" i="28" s="1"/>
  <c r="V781" i="28"/>
  <c r="AC781" i="28" s="1"/>
  <c r="Q782" i="28"/>
  <c r="X782" i="28" s="1"/>
  <c r="R782" i="28"/>
  <c r="Y782" i="28" s="1"/>
  <c r="S782" i="28"/>
  <c r="Z782" i="28" s="1"/>
  <c r="T782" i="28"/>
  <c r="AA782" i="28" s="1"/>
  <c r="U782" i="28"/>
  <c r="AB782" i="28" s="1"/>
  <c r="V782" i="28"/>
  <c r="AC782" i="28" s="1"/>
  <c r="Q783" i="28"/>
  <c r="X783" i="28" s="1"/>
  <c r="R783" i="28"/>
  <c r="Y783" i="28" s="1"/>
  <c r="S783" i="28"/>
  <c r="Z783" i="28" s="1"/>
  <c r="T783" i="28"/>
  <c r="AA783" i="28" s="1"/>
  <c r="U783" i="28"/>
  <c r="AB783" i="28" s="1"/>
  <c r="V783" i="28"/>
  <c r="AC783" i="28" s="1"/>
  <c r="Q784" i="28"/>
  <c r="X784" i="28" s="1"/>
  <c r="R784" i="28"/>
  <c r="Y784" i="28" s="1"/>
  <c r="S784" i="28"/>
  <c r="Z784" i="28" s="1"/>
  <c r="T784" i="28"/>
  <c r="AA784" i="28" s="1"/>
  <c r="U784" i="28"/>
  <c r="AB784" i="28" s="1"/>
  <c r="Q785" i="28"/>
  <c r="X785" i="28" s="1"/>
  <c r="R785" i="28"/>
  <c r="Y785" i="28" s="1"/>
  <c r="S785" i="28"/>
  <c r="Z785" i="28" s="1"/>
  <c r="T785" i="28"/>
  <c r="AA785" i="28" s="1"/>
  <c r="U785" i="28"/>
  <c r="AB785" i="28" s="1"/>
  <c r="V785" i="28"/>
  <c r="AC785" i="28" s="1"/>
  <c r="Q786" i="28"/>
  <c r="X786" i="28" s="1"/>
  <c r="R786" i="28"/>
  <c r="Y786" i="28" s="1"/>
  <c r="S786" i="28"/>
  <c r="Z786" i="28" s="1"/>
  <c r="T786" i="28"/>
  <c r="AA786" i="28" s="1"/>
  <c r="U786" i="28"/>
  <c r="AB786" i="28" s="1"/>
  <c r="V786" i="28"/>
  <c r="AC786" i="28" s="1"/>
  <c r="Q787" i="28"/>
  <c r="X787" i="28" s="1"/>
  <c r="R787" i="28"/>
  <c r="Y787" i="28" s="1"/>
  <c r="S787" i="28"/>
  <c r="Z787" i="28" s="1"/>
  <c r="T787" i="28"/>
  <c r="AA787" i="28" s="1"/>
  <c r="U787" i="28"/>
  <c r="AB787" i="28" s="1"/>
  <c r="V787" i="28"/>
  <c r="AC787" i="28" s="1"/>
  <c r="Q788" i="28"/>
  <c r="X788" i="28" s="1"/>
  <c r="R788" i="28"/>
  <c r="Y788" i="28" s="1"/>
  <c r="S788" i="28"/>
  <c r="Z788" i="28" s="1"/>
  <c r="T788" i="28"/>
  <c r="AA788" i="28" s="1"/>
  <c r="U788" i="28"/>
  <c r="AB788" i="28" s="1"/>
  <c r="V788" i="28"/>
  <c r="AC788" i="28" s="1"/>
  <c r="Q789" i="28"/>
  <c r="X789" i="28" s="1"/>
  <c r="R789" i="28"/>
  <c r="Y789" i="28" s="1"/>
  <c r="S789" i="28"/>
  <c r="Z789" i="28" s="1"/>
  <c r="T789" i="28"/>
  <c r="AA789" i="28" s="1"/>
  <c r="U789" i="28"/>
  <c r="AB789" i="28" s="1"/>
  <c r="V789" i="28"/>
  <c r="AC789" i="28" s="1"/>
  <c r="Q790" i="28"/>
  <c r="X790" i="28" s="1"/>
  <c r="R790" i="28"/>
  <c r="Y790" i="28" s="1"/>
  <c r="S790" i="28"/>
  <c r="Z790" i="28" s="1"/>
  <c r="T790" i="28"/>
  <c r="AA790" i="28" s="1"/>
  <c r="U790" i="28"/>
  <c r="AB790" i="28" s="1"/>
  <c r="V790" i="28"/>
  <c r="AC790" i="28" s="1"/>
  <c r="Q791" i="28"/>
  <c r="X791" i="28" s="1"/>
  <c r="R791" i="28"/>
  <c r="Y791" i="28" s="1"/>
  <c r="S791" i="28"/>
  <c r="Z791" i="28" s="1"/>
  <c r="T791" i="28"/>
  <c r="AA791" i="28" s="1"/>
  <c r="U791" i="28"/>
  <c r="AB791" i="28" s="1"/>
  <c r="V791" i="28"/>
  <c r="AC791" i="28" s="1"/>
  <c r="Q792" i="28"/>
  <c r="X792" i="28" s="1"/>
  <c r="R792" i="28"/>
  <c r="Y792" i="28" s="1"/>
  <c r="S792" i="28"/>
  <c r="Z792" i="28" s="1"/>
  <c r="T792" i="28"/>
  <c r="AA792" i="28" s="1"/>
  <c r="U792" i="28"/>
  <c r="AB792" i="28" s="1"/>
  <c r="Q793" i="28"/>
  <c r="X793" i="28" s="1"/>
  <c r="R793" i="28"/>
  <c r="Y793" i="28" s="1"/>
  <c r="S793" i="28"/>
  <c r="Z793" i="28" s="1"/>
  <c r="T793" i="28"/>
  <c r="AA793" i="28" s="1"/>
  <c r="U793" i="28"/>
  <c r="AB793" i="28" s="1"/>
  <c r="V793" i="28"/>
  <c r="AC793" i="28" s="1"/>
  <c r="Q794" i="28"/>
  <c r="X794" i="28" s="1"/>
  <c r="R794" i="28"/>
  <c r="Y794" i="28" s="1"/>
  <c r="S794" i="28"/>
  <c r="Z794" i="28" s="1"/>
  <c r="T794" i="28"/>
  <c r="AA794" i="28" s="1"/>
  <c r="U794" i="28"/>
  <c r="AB794" i="28" s="1"/>
  <c r="V794" i="28"/>
  <c r="AC794" i="28" s="1"/>
  <c r="Q795" i="28"/>
  <c r="X795" i="28" s="1"/>
  <c r="R795" i="28"/>
  <c r="Y795" i="28" s="1"/>
  <c r="S795" i="28"/>
  <c r="Z795" i="28" s="1"/>
  <c r="T795" i="28"/>
  <c r="AA795" i="28" s="1"/>
  <c r="U795" i="28"/>
  <c r="AB795" i="28" s="1"/>
  <c r="V795" i="28"/>
  <c r="AC795" i="28" s="1"/>
  <c r="Q796" i="28"/>
  <c r="X796" i="28" s="1"/>
  <c r="R796" i="28"/>
  <c r="Y796" i="28" s="1"/>
  <c r="S796" i="28"/>
  <c r="Z796" i="28" s="1"/>
  <c r="T796" i="28"/>
  <c r="AA796" i="28" s="1"/>
  <c r="U796" i="28"/>
  <c r="AB796" i="28" s="1"/>
  <c r="V796" i="28"/>
  <c r="AC796" i="28" s="1"/>
  <c r="Q797" i="28"/>
  <c r="X797" i="28" s="1"/>
  <c r="R797" i="28"/>
  <c r="Y797" i="28" s="1"/>
  <c r="S797" i="28"/>
  <c r="Z797" i="28" s="1"/>
  <c r="T797" i="28"/>
  <c r="AA797" i="28" s="1"/>
  <c r="U797" i="28"/>
  <c r="AB797" i="28" s="1"/>
  <c r="V797" i="28"/>
  <c r="AC797" i="28" s="1"/>
  <c r="Q798" i="28"/>
  <c r="X798" i="28" s="1"/>
  <c r="R798" i="28"/>
  <c r="Y798" i="28" s="1"/>
  <c r="S798" i="28"/>
  <c r="Z798" i="28" s="1"/>
  <c r="T798" i="28"/>
  <c r="AA798" i="28" s="1"/>
  <c r="U798" i="28"/>
  <c r="AB798" i="28" s="1"/>
  <c r="V798" i="28"/>
  <c r="AC798" i="28" s="1"/>
  <c r="Q799" i="28"/>
  <c r="X799" i="28" s="1"/>
  <c r="R799" i="28"/>
  <c r="Y799" i="28" s="1"/>
  <c r="S799" i="28"/>
  <c r="Z799" i="28" s="1"/>
  <c r="T799" i="28"/>
  <c r="AA799" i="28" s="1"/>
  <c r="U799" i="28"/>
  <c r="AB799" i="28" s="1"/>
  <c r="V799" i="28"/>
  <c r="AC799" i="28" s="1"/>
  <c r="Q800" i="28"/>
  <c r="X800" i="28" s="1"/>
  <c r="R800" i="28"/>
  <c r="Y800" i="28" s="1"/>
  <c r="S800" i="28"/>
  <c r="Z800" i="28" s="1"/>
  <c r="T800" i="28"/>
  <c r="AA800" i="28" s="1"/>
  <c r="U800" i="28"/>
  <c r="AB800" i="28" s="1"/>
  <c r="Q801" i="28"/>
  <c r="X801" i="28" s="1"/>
  <c r="R801" i="28"/>
  <c r="Y801" i="28" s="1"/>
  <c r="S801" i="28"/>
  <c r="Z801" i="28" s="1"/>
  <c r="T801" i="28"/>
  <c r="AA801" i="28" s="1"/>
  <c r="U801" i="28"/>
  <c r="AB801" i="28" s="1"/>
  <c r="V801" i="28"/>
  <c r="AC801" i="28" s="1"/>
  <c r="Q802" i="28"/>
  <c r="X802" i="28" s="1"/>
  <c r="R802" i="28"/>
  <c r="Y802" i="28" s="1"/>
  <c r="S802" i="28"/>
  <c r="Z802" i="28" s="1"/>
  <c r="T802" i="28"/>
  <c r="AA802" i="28" s="1"/>
  <c r="U802" i="28"/>
  <c r="AB802" i="28" s="1"/>
  <c r="V802" i="28"/>
  <c r="AC802" i="28" s="1"/>
  <c r="Q803" i="28"/>
  <c r="X803" i="28" s="1"/>
  <c r="R803" i="28"/>
  <c r="Y803" i="28" s="1"/>
  <c r="S803" i="28"/>
  <c r="Z803" i="28" s="1"/>
  <c r="T803" i="28"/>
  <c r="AA803" i="28" s="1"/>
  <c r="U803" i="28"/>
  <c r="AB803" i="28" s="1"/>
  <c r="V803" i="28"/>
  <c r="AC803" i="28" s="1"/>
  <c r="Q804" i="28"/>
  <c r="X804" i="28" s="1"/>
  <c r="R804" i="28"/>
  <c r="Y804" i="28" s="1"/>
  <c r="S804" i="28"/>
  <c r="Z804" i="28" s="1"/>
  <c r="T804" i="28"/>
  <c r="AA804" i="28" s="1"/>
  <c r="U804" i="28"/>
  <c r="AB804" i="28" s="1"/>
  <c r="V804" i="28"/>
  <c r="AC804" i="28" s="1"/>
  <c r="Q805" i="28"/>
  <c r="X805" i="28" s="1"/>
  <c r="R805" i="28"/>
  <c r="Y805" i="28" s="1"/>
  <c r="S805" i="28"/>
  <c r="Z805" i="28" s="1"/>
  <c r="T805" i="28"/>
  <c r="AA805" i="28" s="1"/>
  <c r="U805" i="28"/>
  <c r="AB805" i="28" s="1"/>
  <c r="V805" i="28"/>
  <c r="AC805" i="28" s="1"/>
  <c r="Q806" i="28"/>
  <c r="X806" i="28" s="1"/>
  <c r="R806" i="28"/>
  <c r="Y806" i="28" s="1"/>
  <c r="S806" i="28"/>
  <c r="Z806" i="28" s="1"/>
  <c r="T806" i="28"/>
  <c r="AA806" i="28" s="1"/>
  <c r="U806" i="28"/>
  <c r="AB806" i="28" s="1"/>
  <c r="V806" i="28"/>
  <c r="AC806" i="28" s="1"/>
  <c r="Q807" i="28"/>
  <c r="X807" i="28" s="1"/>
  <c r="R807" i="28"/>
  <c r="Y807" i="28" s="1"/>
  <c r="S807" i="28"/>
  <c r="Z807" i="28" s="1"/>
  <c r="T807" i="28"/>
  <c r="AA807" i="28" s="1"/>
  <c r="U807" i="28"/>
  <c r="AB807" i="28" s="1"/>
  <c r="V807" i="28"/>
  <c r="AC807" i="28" s="1"/>
  <c r="Q808" i="28"/>
  <c r="X808" i="28" s="1"/>
  <c r="R808" i="28"/>
  <c r="Y808" i="28" s="1"/>
  <c r="S808" i="28"/>
  <c r="Z808" i="28" s="1"/>
  <c r="T808" i="28"/>
  <c r="AA808" i="28" s="1"/>
  <c r="U808" i="28"/>
  <c r="AB808" i="28" s="1"/>
  <c r="Q809" i="28"/>
  <c r="X809" i="28" s="1"/>
  <c r="R809" i="28"/>
  <c r="Y809" i="28" s="1"/>
  <c r="S809" i="28"/>
  <c r="Z809" i="28" s="1"/>
  <c r="T809" i="28"/>
  <c r="AA809" i="28" s="1"/>
  <c r="U809" i="28"/>
  <c r="AB809" i="28" s="1"/>
  <c r="V809" i="28"/>
  <c r="AC809" i="28" s="1"/>
  <c r="Q810" i="28"/>
  <c r="X810" i="28" s="1"/>
  <c r="R810" i="28"/>
  <c r="Y810" i="28" s="1"/>
  <c r="S810" i="28"/>
  <c r="Z810" i="28" s="1"/>
  <c r="T810" i="28"/>
  <c r="AA810" i="28" s="1"/>
  <c r="U810" i="28"/>
  <c r="AB810" i="28" s="1"/>
  <c r="V810" i="28"/>
  <c r="AC810" i="28" s="1"/>
  <c r="Q811" i="28"/>
  <c r="X811" i="28" s="1"/>
  <c r="R811" i="28"/>
  <c r="Y811" i="28" s="1"/>
  <c r="S811" i="28"/>
  <c r="Z811" i="28" s="1"/>
  <c r="T811" i="28"/>
  <c r="AA811" i="28" s="1"/>
  <c r="U811" i="28"/>
  <c r="AB811" i="28" s="1"/>
  <c r="V811" i="28"/>
  <c r="AC811" i="28" s="1"/>
  <c r="Q812" i="28"/>
  <c r="X812" i="28" s="1"/>
  <c r="R812" i="28"/>
  <c r="Y812" i="28" s="1"/>
  <c r="S812" i="28"/>
  <c r="Z812" i="28" s="1"/>
  <c r="T812" i="28"/>
  <c r="AA812" i="28" s="1"/>
  <c r="U812" i="28"/>
  <c r="AB812" i="28" s="1"/>
  <c r="V812" i="28"/>
  <c r="AC812" i="28" s="1"/>
  <c r="Q813" i="28"/>
  <c r="X813" i="28" s="1"/>
  <c r="R813" i="28"/>
  <c r="Y813" i="28" s="1"/>
  <c r="S813" i="28"/>
  <c r="Z813" i="28" s="1"/>
  <c r="T813" i="28"/>
  <c r="AA813" i="28" s="1"/>
  <c r="U813" i="28"/>
  <c r="AB813" i="28" s="1"/>
  <c r="V813" i="28"/>
  <c r="AC813" i="28" s="1"/>
  <c r="Q814" i="28"/>
  <c r="X814" i="28" s="1"/>
  <c r="R814" i="28"/>
  <c r="Y814" i="28" s="1"/>
  <c r="S814" i="28"/>
  <c r="Z814" i="28" s="1"/>
  <c r="T814" i="28"/>
  <c r="AA814" i="28" s="1"/>
  <c r="U814" i="28"/>
  <c r="AB814" i="28" s="1"/>
  <c r="V814" i="28"/>
  <c r="AC814" i="28" s="1"/>
  <c r="Q815" i="28"/>
  <c r="X815" i="28" s="1"/>
  <c r="R815" i="28"/>
  <c r="Y815" i="28" s="1"/>
  <c r="S815" i="28"/>
  <c r="Z815" i="28" s="1"/>
  <c r="T815" i="28"/>
  <c r="AA815" i="28" s="1"/>
  <c r="U815" i="28"/>
  <c r="AB815" i="28" s="1"/>
  <c r="V815" i="28"/>
  <c r="AC815" i="28" s="1"/>
  <c r="Q816" i="28"/>
  <c r="X816" i="28" s="1"/>
  <c r="R816" i="28"/>
  <c r="Y816" i="28" s="1"/>
  <c r="S816" i="28"/>
  <c r="Z816" i="28" s="1"/>
  <c r="T816" i="28"/>
  <c r="AA816" i="28" s="1"/>
  <c r="U816" i="28"/>
  <c r="AB816" i="28" s="1"/>
  <c r="Q817" i="28"/>
  <c r="X817" i="28" s="1"/>
  <c r="R817" i="28"/>
  <c r="Y817" i="28" s="1"/>
  <c r="S817" i="28"/>
  <c r="Z817" i="28" s="1"/>
  <c r="T817" i="28"/>
  <c r="AA817" i="28" s="1"/>
  <c r="U817" i="28"/>
  <c r="AB817" i="28" s="1"/>
  <c r="V817" i="28"/>
  <c r="AC817" i="28" s="1"/>
  <c r="Q818" i="28"/>
  <c r="X818" i="28" s="1"/>
  <c r="R818" i="28"/>
  <c r="Y818" i="28" s="1"/>
  <c r="S818" i="28"/>
  <c r="Z818" i="28" s="1"/>
  <c r="T818" i="28"/>
  <c r="AA818" i="28" s="1"/>
  <c r="U818" i="28"/>
  <c r="AB818" i="28" s="1"/>
  <c r="V818" i="28"/>
  <c r="AC818" i="28" s="1"/>
  <c r="Q819" i="28"/>
  <c r="X819" i="28" s="1"/>
  <c r="R819" i="28"/>
  <c r="Y819" i="28" s="1"/>
  <c r="S819" i="28"/>
  <c r="Z819" i="28" s="1"/>
  <c r="T819" i="28"/>
  <c r="AA819" i="28" s="1"/>
  <c r="U819" i="28"/>
  <c r="AB819" i="28" s="1"/>
  <c r="V819" i="28"/>
  <c r="AC819" i="28" s="1"/>
  <c r="Q820" i="28"/>
  <c r="X820" i="28" s="1"/>
  <c r="R820" i="28"/>
  <c r="Y820" i="28" s="1"/>
  <c r="S820" i="28"/>
  <c r="Z820" i="28" s="1"/>
  <c r="T820" i="28"/>
  <c r="AA820" i="28" s="1"/>
  <c r="U820" i="28"/>
  <c r="AB820" i="28" s="1"/>
  <c r="V820" i="28"/>
  <c r="AC820" i="28" s="1"/>
  <c r="Q821" i="28"/>
  <c r="X821" i="28" s="1"/>
  <c r="R821" i="28"/>
  <c r="Y821" i="28" s="1"/>
  <c r="S821" i="28"/>
  <c r="Z821" i="28" s="1"/>
  <c r="T821" i="28"/>
  <c r="AA821" i="28" s="1"/>
  <c r="U821" i="28"/>
  <c r="AB821" i="28" s="1"/>
  <c r="V821" i="28"/>
  <c r="AC821" i="28" s="1"/>
  <c r="Q822" i="28"/>
  <c r="X822" i="28" s="1"/>
  <c r="R822" i="28"/>
  <c r="Y822" i="28" s="1"/>
  <c r="S822" i="28"/>
  <c r="Z822" i="28" s="1"/>
  <c r="T822" i="28"/>
  <c r="AA822" i="28" s="1"/>
  <c r="U822" i="28"/>
  <c r="AB822" i="28" s="1"/>
  <c r="V822" i="28"/>
  <c r="AC822" i="28" s="1"/>
  <c r="Q823" i="28"/>
  <c r="X823" i="28" s="1"/>
  <c r="R823" i="28"/>
  <c r="Y823" i="28" s="1"/>
  <c r="S823" i="28"/>
  <c r="Z823" i="28" s="1"/>
  <c r="T823" i="28"/>
  <c r="AA823" i="28" s="1"/>
  <c r="U823" i="28"/>
  <c r="AB823" i="28" s="1"/>
  <c r="V823" i="28"/>
  <c r="AC823" i="28" s="1"/>
  <c r="Q824" i="28"/>
  <c r="X824" i="28" s="1"/>
  <c r="R824" i="28"/>
  <c r="Y824" i="28" s="1"/>
  <c r="S824" i="28"/>
  <c r="Z824" i="28" s="1"/>
  <c r="T824" i="28"/>
  <c r="AA824" i="28" s="1"/>
  <c r="U824" i="28"/>
  <c r="AB824" i="28" s="1"/>
  <c r="Q825" i="28"/>
  <c r="X825" i="28" s="1"/>
  <c r="R825" i="28"/>
  <c r="Y825" i="28" s="1"/>
  <c r="S825" i="28"/>
  <c r="Z825" i="28" s="1"/>
  <c r="T825" i="28"/>
  <c r="AA825" i="28" s="1"/>
  <c r="U825" i="28"/>
  <c r="AB825" i="28" s="1"/>
  <c r="V825" i="28"/>
  <c r="AC825" i="28" s="1"/>
  <c r="Q826" i="28"/>
  <c r="X826" i="28" s="1"/>
  <c r="R826" i="28"/>
  <c r="Y826" i="28" s="1"/>
  <c r="S826" i="28"/>
  <c r="Z826" i="28" s="1"/>
  <c r="T826" i="28"/>
  <c r="AA826" i="28" s="1"/>
  <c r="U826" i="28"/>
  <c r="AB826" i="28" s="1"/>
  <c r="V826" i="28"/>
  <c r="AC826" i="28" s="1"/>
  <c r="Q827" i="28"/>
  <c r="X827" i="28" s="1"/>
  <c r="R827" i="28"/>
  <c r="Y827" i="28" s="1"/>
  <c r="S827" i="28"/>
  <c r="Z827" i="28" s="1"/>
  <c r="T827" i="28"/>
  <c r="AA827" i="28" s="1"/>
  <c r="U827" i="28"/>
  <c r="AB827" i="28" s="1"/>
  <c r="V827" i="28"/>
  <c r="AC827" i="28" s="1"/>
  <c r="Q828" i="28"/>
  <c r="X828" i="28" s="1"/>
  <c r="R828" i="28"/>
  <c r="Y828" i="28" s="1"/>
  <c r="S828" i="28"/>
  <c r="Z828" i="28" s="1"/>
  <c r="T828" i="28"/>
  <c r="AA828" i="28" s="1"/>
  <c r="U828" i="28"/>
  <c r="AB828" i="28" s="1"/>
  <c r="V828" i="28"/>
  <c r="AC828" i="28" s="1"/>
  <c r="Q829" i="28"/>
  <c r="X829" i="28" s="1"/>
  <c r="R829" i="28"/>
  <c r="Y829" i="28" s="1"/>
  <c r="S829" i="28"/>
  <c r="Z829" i="28" s="1"/>
  <c r="T829" i="28"/>
  <c r="AA829" i="28" s="1"/>
  <c r="U829" i="28"/>
  <c r="AB829" i="28" s="1"/>
  <c r="V829" i="28"/>
  <c r="AC829" i="28" s="1"/>
  <c r="Q830" i="28"/>
  <c r="X830" i="28" s="1"/>
  <c r="R830" i="28"/>
  <c r="Y830" i="28" s="1"/>
  <c r="S830" i="28"/>
  <c r="Z830" i="28" s="1"/>
  <c r="T830" i="28"/>
  <c r="AA830" i="28" s="1"/>
  <c r="U830" i="28"/>
  <c r="AB830" i="28" s="1"/>
  <c r="V830" i="28"/>
  <c r="AC830" i="28" s="1"/>
  <c r="Q831" i="28"/>
  <c r="X831" i="28" s="1"/>
  <c r="R831" i="28"/>
  <c r="Y831" i="28" s="1"/>
  <c r="S831" i="28"/>
  <c r="Z831" i="28" s="1"/>
  <c r="T831" i="28"/>
  <c r="AA831" i="28" s="1"/>
  <c r="U831" i="28"/>
  <c r="AB831" i="28" s="1"/>
  <c r="V831" i="28"/>
  <c r="AC831" i="28" s="1"/>
  <c r="Q832" i="28"/>
  <c r="X832" i="28" s="1"/>
  <c r="R832" i="28"/>
  <c r="Y832" i="28" s="1"/>
  <c r="S832" i="28"/>
  <c r="Z832" i="28" s="1"/>
  <c r="T832" i="28"/>
  <c r="AA832" i="28" s="1"/>
  <c r="U832" i="28"/>
  <c r="AB832" i="28" s="1"/>
  <c r="Q833" i="28"/>
  <c r="X833" i="28" s="1"/>
  <c r="R833" i="28"/>
  <c r="Y833" i="28" s="1"/>
  <c r="S833" i="28"/>
  <c r="Z833" i="28" s="1"/>
  <c r="T833" i="28"/>
  <c r="AA833" i="28" s="1"/>
  <c r="U833" i="28"/>
  <c r="AB833" i="28" s="1"/>
  <c r="V833" i="28"/>
  <c r="AC833" i="28" s="1"/>
  <c r="Q834" i="28"/>
  <c r="X834" i="28" s="1"/>
  <c r="R834" i="28"/>
  <c r="Y834" i="28" s="1"/>
  <c r="S834" i="28"/>
  <c r="Z834" i="28" s="1"/>
  <c r="T834" i="28"/>
  <c r="AA834" i="28" s="1"/>
  <c r="U834" i="28"/>
  <c r="AB834" i="28" s="1"/>
  <c r="V834" i="28"/>
  <c r="AC834" i="28" s="1"/>
  <c r="Q835" i="28"/>
  <c r="X835" i="28" s="1"/>
  <c r="R835" i="28"/>
  <c r="Y835" i="28" s="1"/>
  <c r="S835" i="28"/>
  <c r="Z835" i="28" s="1"/>
  <c r="T835" i="28"/>
  <c r="AA835" i="28" s="1"/>
  <c r="U835" i="28"/>
  <c r="AB835" i="28" s="1"/>
  <c r="V835" i="28"/>
  <c r="AC835" i="28" s="1"/>
  <c r="Q836" i="28"/>
  <c r="X836" i="28" s="1"/>
  <c r="R836" i="28"/>
  <c r="Y836" i="28" s="1"/>
  <c r="S836" i="28"/>
  <c r="Z836" i="28" s="1"/>
  <c r="T836" i="28"/>
  <c r="AA836" i="28" s="1"/>
  <c r="U836" i="28"/>
  <c r="AB836" i="28" s="1"/>
  <c r="V836" i="28"/>
  <c r="AC836" i="28" s="1"/>
  <c r="Q837" i="28"/>
  <c r="X837" i="28" s="1"/>
  <c r="R837" i="28"/>
  <c r="Y837" i="28" s="1"/>
  <c r="S837" i="28"/>
  <c r="Z837" i="28" s="1"/>
  <c r="T837" i="28"/>
  <c r="AA837" i="28" s="1"/>
  <c r="U837" i="28"/>
  <c r="AB837" i="28" s="1"/>
  <c r="V837" i="28"/>
  <c r="AC837" i="28" s="1"/>
  <c r="Q838" i="28"/>
  <c r="X838" i="28" s="1"/>
  <c r="R838" i="28"/>
  <c r="Y838" i="28" s="1"/>
  <c r="S838" i="28"/>
  <c r="Z838" i="28" s="1"/>
  <c r="T838" i="28"/>
  <c r="AA838" i="28" s="1"/>
  <c r="U838" i="28"/>
  <c r="AB838" i="28" s="1"/>
  <c r="V838" i="28"/>
  <c r="AC838" i="28" s="1"/>
  <c r="Q839" i="28"/>
  <c r="X839" i="28" s="1"/>
  <c r="R839" i="28"/>
  <c r="Y839" i="28" s="1"/>
  <c r="S839" i="28"/>
  <c r="Z839" i="28" s="1"/>
  <c r="T839" i="28"/>
  <c r="AA839" i="28" s="1"/>
  <c r="U839" i="28"/>
  <c r="AB839" i="28" s="1"/>
  <c r="V839" i="28"/>
  <c r="AC839" i="28" s="1"/>
  <c r="Q840" i="28"/>
  <c r="X840" i="28" s="1"/>
  <c r="R840" i="28"/>
  <c r="Y840" i="28" s="1"/>
  <c r="S840" i="28"/>
  <c r="Z840" i="28" s="1"/>
  <c r="T840" i="28"/>
  <c r="AA840" i="28" s="1"/>
  <c r="U840" i="28"/>
  <c r="AB840" i="28" s="1"/>
  <c r="Q841" i="28"/>
  <c r="X841" i="28" s="1"/>
  <c r="R841" i="28"/>
  <c r="Y841" i="28" s="1"/>
  <c r="S841" i="28"/>
  <c r="Z841" i="28" s="1"/>
  <c r="T841" i="28"/>
  <c r="AA841" i="28" s="1"/>
  <c r="U841" i="28"/>
  <c r="AB841" i="28" s="1"/>
  <c r="V841" i="28"/>
  <c r="AC841" i="28" s="1"/>
  <c r="Q842" i="28"/>
  <c r="X842" i="28" s="1"/>
  <c r="R842" i="28"/>
  <c r="Y842" i="28" s="1"/>
  <c r="S842" i="28"/>
  <c r="Z842" i="28" s="1"/>
  <c r="T842" i="28"/>
  <c r="AA842" i="28" s="1"/>
  <c r="U842" i="28"/>
  <c r="AB842" i="28" s="1"/>
  <c r="V842" i="28"/>
  <c r="AC842" i="28" s="1"/>
  <c r="Q843" i="28"/>
  <c r="X843" i="28" s="1"/>
  <c r="R843" i="28"/>
  <c r="Y843" i="28" s="1"/>
  <c r="S843" i="28"/>
  <c r="Z843" i="28" s="1"/>
  <c r="T843" i="28"/>
  <c r="AA843" i="28" s="1"/>
  <c r="U843" i="28"/>
  <c r="AB843" i="28" s="1"/>
  <c r="V843" i="28"/>
  <c r="AC843" i="28" s="1"/>
  <c r="Q844" i="28"/>
  <c r="X844" i="28" s="1"/>
  <c r="R844" i="28"/>
  <c r="Y844" i="28" s="1"/>
  <c r="S844" i="28"/>
  <c r="Z844" i="28" s="1"/>
  <c r="T844" i="28"/>
  <c r="AA844" i="28" s="1"/>
  <c r="U844" i="28"/>
  <c r="AB844" i="28" s="1"/>
  <c r="V844" i="28"/>
  <c r="AC844" i="28" s="1"/>
  <c r="Q845" i="28"/>
  <c r="X845" i="28" s="1"/>
  <c r="R845" i="28"/>
  <c r="Y845" i="28" s="1"/>
  <c r="S845" i="28"/>
  <c r="Z845" i="28" s="1"/>
  <c r="T845" i="28"/>
  <c r="AA845" i="28" s="1"/>
  <c r="U845" i="28"/>
  <c r="AB845" i="28" s="1"/>
  <c r="V845" i="28"/>
  <c r="AC845" i="28" s="1"/>
  <c r="Q846" i="28"/>
  <c r="X846" i="28" s="1"/>
  <c r="R846" i="28"/>
  <c r="Y846" i="28" s="1"/>
  <c r="S846" i="28"/>
  <c r="Z846" i="28" s="1"/>
  <c r="T846" i="28"/>
  <c r="AA846" i="28" s="1"/>
  <c r="U846" i="28"/>
  <c r="AB846" i="28" s="1"/>
  <c r="V846" i="28"/>
  <c r="AC846" i="28" s="1"/>
  <c r="Q847" i="28"/>
  <c r="X847" i="28" s="1"/>
  <c r="R847" i="28"/>
  <c r="Y847" i="28" s="1"/>
  <c r="S847" i="28"/>
  <c r="Z847" i="28" s="1"/>
  <c r="T847" i="28"/>
  <c r="AA847" i="28" s="1"/>
  <c r="U847" i="28"/>
  <c r="AB847" i="28" s="1"/>
  <c r="V847" i="28"/>
  <c r="AC847" i="28" s="1"/>
  <c r="Q848" i="28"/>
  <c r="X848" i="28" s="1"/>
  <c r="R848" i="28"/>
  <c r="Y848" i="28" s="1"/>
  <c r="S848" i="28"/>
  <c r="Z848" i="28" s="1"/>
  <c r="T848" i="28"/>
  <c r="AA848" i="28" s="1"/>
  <c r="U848" i="28"/>
  <c r="AB848" i="28" s="1"/>
  <c r="Q849" i="28"/>
  <c r="X849" i="28" s="1"/>
  <c r="R849" i="28"/>
  <c r="Y849" i="28" s="1"/>
  <c r="S849" i="28"/>
  <c r="Z849" i="28" s="1"/>
  <c r="T849" i="28"/>
  <c r="AA849" i="28" s="1"/>
  <c r="U849" i="28"/>
  <c r="AB849" i="28" s="1"/>
  <c r="V849" i="28"/>
  <c r="AC849" i="28" s="1"/>
  <c r="Q850" i="28"/>
  <c r="X850" i="28" s="1"/>
  <c r="R850" i="28"/>
  <c r="Y850" i="28" s="1"/>
  <c r="S850" i="28"/>
  <c r="Z850" i="28" s="1"/>
  <c r="T850" i="28"/>
  <c r="AA850" i="28" s="1"/>
  <c r="U850" i="28"/>
  <c r="AB850" i="28" s="1"/>
  <c r="V850" i="28"/>
  <c r="AC850" i="28" s="1"/>
  <c r="Q851" i="28"/>
  <c r="X851" i="28" s="1"/>
  <c r="R851" i="28"/>
  <c r="Y851" i="28" s="1"/>
  <c r="S851" i="28"/>
  <c r="Z851" i="28" s="1"/>
  <c r="T851" i="28"/>
  <c r="AA851" i="28" s="1"/>
  <c r="U851" i="28"/>
  <c r="AB851" i="28" s="1"/>
  <c r="V851" i="28"/>
  <c r="AC851" i="28" s="1"/>
  <c r="Q852" i="28"/>
  <c r="X852" i="28" s="1"/>
  <c r="R852" i="28"/>
  <c r="Y852" i="28" s="1"/>
  <c r="S852" i="28"/>
  <c r="Z852" i="28" s="1"/>
  <c r="T852" i="28"/>
  <c r="AA852" i="28" s="1"/>
  <c r="U852" i="28"/>
  <c r="AB852" i="28" s="1"/>
  <c r="V852" i="28"/>
  <c r="AC852" i="28" s="1"/>
  <c r="Q853" i="28"/>
  <c r="X853" i="28" s="1"/>
  <c r="R853" i="28"/>
  <c r="Y853" i="28" s="1"/>
  <c r="S853" i="28"/>
  <c r="Z853" i="28" s="1"/>
  <c r="T853" i="28"/>
  <c r="AA853" i="28" s="1"/>
  <c r="U853" i="28"/>
  <c r="AB853" i="28" s="1"/>
  <c r="V853" i="28"/>
  <c r="AC853" i="28" s="1"/>
  <c r="Q854" i="28"/>
  <c r="X854" i="28" s="1"/>
  <c r="R854" i="28"/>
  <c r="Y854" i="28" s="1"/>
  <c r="S854" i="28"/>
  <c r="Z854" i="28" s="1"/>
  <c r="T854" i="28"/>
  <c r="AA854" i="28" s="1"/>
  <c r="U854" i="28"/>
  <c r="AB854" i="28" s="1"/>
  <c r="V854" i="28"/>
  <c r="AC854" i="28" s="1"/>
  <c r="Q855" i="28"/>
  <c r="X855" i="28" s="1"/>
  <c r="R855" i="28"/>
  <c r="Y855" i="28" s="1"/>
  <c r="S855" i="28"/>
  <c r="Z855" i="28" s="1"/>
  <c r="T855" i="28"/>
  <c r="AA855" i="28" s="1"/>
  <c r="U855" i="28"/>
  <c r="AB855" i="28" s="1"/>
  <c r="V855" i="28"/>
  <c r="AC855" i="28" s="1"/>
  <c r="Q856" i="28"/>
  <c r="X856" i="28" s="1"/>
  <c r="R856" i="28"/>
  <c r="Y856" i="28" s="1"/>
  <c r="S856" i="28"/>
  <c r="Z856" i="28" s="1"/>
  <c r="T856" i="28"/>
  <c r="AA856" i="28" s="1"/>
  <c r="U856" i="28"/>
  <c r="AB856" i="28" s="1"/>
  <c r="Q857" i="28"/>
  <c r="X857" i="28" s="1"/>
  <c r="R857" i="28"/>
  <c r="Y857" i="28" s="1"/>
  <c r="S857" i="28"/>
  <c r="Z857" i="28" s="1"/>
  <c r="T857" i="28"/>
  <c r="AA857" i="28" s="1"/>
  <c r="U857" i="28"/>
  <c r="AB857" i="28" s="1"/>
  <c r="V857" i="28"/>
  <c r="AC857" i="28" s="1"/>
  <c r="Q858" i="28"/>
  <c r="X858" i="28" s="1"/>
  <c r="R858" i="28"/>
  <c r="Y858" i="28" s="1"/>
  <c r="S858" i="28"/>
  <c r="Z858" i="28" s="1"/>
  <c r="T858" i="28"/>
  <c r="AA858" i="28" s="1"/>
  <c r="U858" i="28"/>
  <c r="AB858" i="28" s="1"/>
  <c r="V858" i="28"/>
  <c r="AC858" i="28" s="1"/>
  <c r="Q859" i="28"/>
  <c r="X859" i="28" s="1"/>
  <c r="R859" i="28"/>
  <c r="Y859" i="28" s="1"/>
  <c r="S859" i="28"/>
  <c r="Z859" i="28" s="1"/>
  <c r="T859" i="28"/>
  <c r="AA859" i="28" s="1"/>
  <c r="U859" i="28"/>
  <c r="AB859" i="28" s="1"/>
  <c r="V859" i="28"/>
  <c r="AC859" i="28" s="1"/>
  <c r="Q860" i="28"/>
  <c r="X860" i="28" s="1"/>
  <c r="R860" i="28"/>
  <c r="Y860" i="28" s="1"/>
  <c r="S860" i="28"/>
  <c r="Z860" i="28" s="1"/>
  <c r="T860" i="28"/>
  <c r="AA860" i="28" s="1"/>
  <c r="U860" i="28"/>
  <c r="AB860" i="28" s="1"/>
  <c r="V860" i="28"/>
  <c r="AC860" i="28" s="1"/>
  <c r="Q861" i="28"/>
  <c r="X861" i="28" s="1"/>
  <c r="R861" i="28"/>
  <c r="Y861" i="28" s="1"/>
  <c r="S861" i="28"/>
  <c r="Z861" i="28" s="1"/>
  <c r="T861" i="28"/>
  <c r="AA861" i="28" s="1"/>
  <c r="U861" i="28"/>
  <c r="AB861" i="28" s="1"/>
  <c r="V861" i="28"/>
  <c r="AC861" i="28" s="1"/>
  <c r="Q862" i="28"/>
  <c r="X862" i="28" s="1"/>
  <c r="R862" i="28"/>
  <c r="Y862" i="28" s="1"/>
  <c r="S862" i="28"/>
  <c r="Z862" i="28" s="1"/>
  <c r="T862" i="28"/>
  <c r="AA862" i="28" s="1"/>
  <c r="U862" i="28"/>
  <c r="AB862" i="28" s="1"/>
  <c r="V862" i="28"/>
  <c r="AC862" i="28" s="1"/>
  <c r="Q863" i="28"/>
  <c r="X863" i="28" s="1"/>
  <c r="R863" i="28"/>
  <c r="Y863" i="28" s="1"/>
  <c r="S863" i="28"/>
  <c r="Z863" i="28" s="1"/>
  <c r="T863" i="28"/>
  <c r="AA863" i="28" s="1"/>
  <c r="U863" i="28"/>
  <c r="AB863" i="28" s="1"/>
  <c r="V863" i="28"/>
  <c r="AC863" i="28" s="1"/>
  <c r="Q864" i="28"/>
  <c r="X864" i="28" s="1"/>
  <c r="R864" i="28"/>
  <c r="Y864" i="28" s="1"/>
  <c r="S864" i="28"/>
  <c r="Z864" i="28" s="1"/>
  <c r="T864" i="28"/>
  <c r="AA864" i="28" s="1"/>
  <c r="U864" i="28"/>
  <c r="AB864" i="28" s="1"/>
  <c r="Q865" i="28"/>
  <c r="X865" i="28" s="1"/>
  <c r="R865" i="28"/>
  <c r="Y865" i="28" s="1"/>
  <c r="S865" i="28"/>
  <c r="Z865" i="28" s="1"/>
  <c r="T865" i="28"/>
  <c r="AA865" i="28" s="1"/>
  <c r="U865" i="28"/>
  <c r="AB865" i="28" s="1"/>
  <c r="V865" i="28"/>
  <c r="AC865" i="28" s="1"/>
  <c r="Q866" i="28"/>
  <c r="X866" i="28" s="1"/>
  <c r="R866" i="28"/>
  <c r="Y866" i="28" s="1"/>
  <c r="S866" i="28"/>
  <c r="Z866" i="28" s="1"/>
  <c r="T866" i="28"/>
  <c r="AA866" i="28" s="1"/>
  <c r="U866" i="28"/>
  <c r="AB866" i="28" s="1"/>
  <c r="V866" i="28"/>
  <c r="AC866" i="28" s="1"/>
  <c r="Q867" i="28"/>
  <c r="X867" i="28" s="1"/>
  <c r="R867" i="28"/>
  <c r="Y867" i="28" s="1"/>
  <c r="S867" i="28"/>
  <c r="Z867" i="28" s="1"/>
  <c r="T867" i="28"/>
  <c r="AA867" i="28" s="1"/>
  <c r="U867" i="28"/>
  <c r="AB867" i="28" s="1"/>
  <c r="V867" i="28"/>
  <c r="AC867" i="28" s="1"/>
  <c r="Q868" i="28"/>
  <c r="X868" i="28" s="1"/>
  <c r="R868" i="28"/>
  <c r="Y868" i="28" s="1"/>
  <c r="S868" i="28"/>
  <c r="Z868" i="28" s="1"/>
  <c r="T868" i="28"/>
  <c r="AA868" i="28" s="1"/>
  <c r="U868" i="28"/>
  <c r="AB868" i="28" s="1"/>
  <c r="V868" i="28"/>
  <c r="AC868" i="28" s="1"/>
  <c r="Q869" i="28"/>
  <c r="X869" i="28" s="1"/>
  <c r="R869" i="28"/>
  <c r="Y869" i="28" s="1"/>
  <c r="S869" i="28"/>
  <c r="Z869" i="28" s="1"/>
  <c r="T869" i="28"/>
  <c r="AA869" i="28" s="1"/>
  <c r="U869" i="28"/>
  <c r="AB869" i="28" s="1"/>
  <c r="V869" i="28"/>
  <c r="AC869" i="28" s="1"/>
  <c r="Q870" i="28"/>
  <c r="X870" i="28" s="1"/>
  <c r="R870" i="28"/>
  <c r="Y870" i="28" s="1"/>
  <c r="S870" i="28"/>
  <c r="Z870" i="28" s="1"/>
  <c r="T870" i="28"/>
  <c r="AA870" i="28" s="1"/>
  <c r="U870" i="28"/>
  <c r="AB870" i="28" s="1"/>
  <c r="V870" i="28"/>
  <c r="AC870" i="28" s="1"/>
  <c r="Q871" i="28"/>
  <c r="X871" i="28" s="1"/>
  <c r="R871" i="28"/>
  <c r="Y871" i="28" s="1"/>
  <c r="S871" i="28"/>
  <c r="Z871" i="28" s="1"/>
  <c r="T871" i="28"/>
  <c r="AA871" i="28" s="1"/>
  <c r="U871" i="28"/>
  <c r="AB871" i="28" s="1"/>
  <c r="V871" i="28"/>
  <c r="AC871" i="28" s="1"/>
  <c r="Q872" i="28"/>
  <c r="X872" i="28" s="1"/>
  <c r="R872" i="28"/>
  <c r="Y872" i="28" s="1"/>
  <c r="S872" i="28"/>
  <c r="Z872" i="28" s="1"/>
  <c r="T872" i="28"/>
  <c r="AA872" i="28" s="1"/>
  <c r="U872" i="28"/>
  <c r="AB872" i="28" s="1"/>
  <c r="Q873" i="28"/>
  <c r="X873" i="28" s="1"/>
  <c r="R873" i="28"/>
  <c r="Y873" i="28" s="1"/>
  <c r="S873" i="28"/>
  <c r="Z873" i="28" s="1"/>
  <c r="T873" i="28"/>
  <c r="AA873" i="28" s="1"/>
  <c r="U873" i="28"/>
  <c r="AB873" i="28" s="1"/>
  <c r="V873" i="28"/>
  <c r="AC873" i="28" s="1"/>
  <c r="Q874" i="28"/>
  <c r="X874" i="28" s="1"/>
  <c r="R874" i="28"/>
  <c r="Y874" i="28" s="1"/>
  <c r="S874" i="28"/>
  <c r="Z874" i="28" s="1"/>
  <c r="T874" i="28"/>
  <c r="AA874" i="28" s="1"/>
  <c r="U874" i="28"/>
  <c r="AB874" i="28" s="1"/>
  <c r="V874" i="28"/>
  <c r="AC874" i="28" s="1"/>
  <c r="Q875" i="28"/>
  <c r="X875" i="28" s="1"/>
  <c r="R875" i="28"/>
  <c r="Y875" i="28" s="1"/>
  <c r="S875" i="28"/>
  <c r="Z875" i="28" s="1"/>
  <c r="T875" i="28"/>
  <c r="AA875" i="28" s="1"/>
  <c r="U875" i="28"/>
  <c r="AB875" i="28" s="1"/>
  <c r="V875" i="28"/>
  <c r="AC875" i="28" s="1"/>
  <c r="Q876" i="28"/>
  <c r="X876" i="28" s="1"/>
  <c r="R876" i="28"/>
  <c r="Y876" i="28" s="1"/>
  <c r="S876" i="28"/>
  <c r="Z876" i="28" s="1"/>
  <c r="T876" i="28"/>
  <c r="AA876" i="28" s="1"/>
  <c r="U876" i="28"/>
  <c r="AB876" i="28" s="1"/>
  <c r="V876" i="28"/>
  <c r="AC876" i="28" s="1"/>
  <c r="Q877" i="28"/>
  <c r="X877" i="28" s="1"/>
  <c r="R877" i="28"/>
  <c r="Y877" i="28" s="1"/>
  <c r="S877" i="28"/>
  <c r="Z877" i="28" s="1"/>
  <c r="T877" i="28"/>
  <c r="AA877" i="28" s="1"/>
  <c r="U877" i="28"/>
  <c r="AB877" i="28" s="1"/>
  <c r="V877" i="28"/>
  <c r="AC877" i="28" s="1"/>
  <c r="Q878" i="28"/>
  <c r="X878" i="28" s="1"/>
  <c r="R878" i="28"/>
  <c r="Y878" i="28" s="1"/>
  <c r="S878" i="28"/>
  <c r="Z878" i="28" s="1"/>
  <c r="T878" i="28"/>
  <c r="AA878" i="28" s="1"/>
  <c r="U878" i="28"/>
  <c r="AB878" i="28" s="1"/>
  <c r="V878" i="28"/>
  <c r="AC878" i="28" s="1"/>
  <c r="Q879" i="28"/>
  <c r="X879" i="28" s="1"/>
  <c r="R879" i="28"/>
  <c r="Y879" i="28" s="1"/>
  <c r="S879" i="28"/>
  <c r="Z879" i="28" s="1"/>
  <c r="T879" i="28"/>
  <c r="AA879" i="28" s="1"/>
  <c r="U879" i="28"/>
  <c r="AB879" i="28" s="1"/>
  <c r="V879" i="28"/>
  <c r="AC879" i="28" s="1"/>
  <c r="Q880" i="28"/>
  <c r="X880" i="28" s="1"/>
  <c r="R880" i="28"/>
  <c r="Y880" i="28" s="1"/>
  <c r="S880" i="28"/>
  <c r="Z880" i="28" s="1"/>
  <c r="T880" i="28"/>
  <c r="AA880" i="28" s="1"/>
  <c r="U880" i="28"/>
  <c r="AB880" i="28" s="1"/>
  <c r="Q881" i="28"/>
  <c r="X881" i="28" s="1"/>
  <c r="R881" i="28"/>
  <c r="Y881" i="28" s="1"/>
  <c r="S881" i="28"/>
  <c r="Z881" i="28" s="1"/>
  <c r="T881" i="28"/>
  <c r="AA881" i="28" s="1"/>
  <c r="U881" i="28"/>
  <c r="AB881" i="28" s="1"/>
  <c r="V881" i="28"/>
  <c r="AC881" i="28" s="1"/>
  <c r="Q882" i="28"/>
  <c r="X882" i="28" s="1"/>
  <c r="R882" i="28"/>
  <c r="Y882" i="28" s="1"/>
  <c r="S882" i="28"/>
  <c r="Z882" i="28" s="1"/>
  <c r="T882" i="28"/>
  <c r="AA882" i="28" s="1"/>
  <c r="U882" i="28"/>
  <c r="AB882" i="28" s="1"/>
  <c r="V882" i="28"/>
  <c r="AC882" i="28" s="1"/>
  <c r="Q883" i="28"/>
  <c r="X883" i="28" s="1"/>
  <c r="R883" i="28"/>
  <c r="Y883" i="28" s="1"/>
  <c r="S883" i="28"/>
  <c r="Z883" i="28" s="1"/>
  <c r="T883" i="28"/>
  <c r="AA883" i="28" s="1"/>
  <c r="U883" i="28"/>
  <c r="AB883" i="28" s="1"/>
  <c r="V883" i="28"/>
  <c r="AC883" i="28" s="1"/>
  <c r="Q884" i="28"/>
  <c r="X884" i="28" s="1"/>
  <c r="R884" i="28"/>
  <c r="Y884" i="28" s="1"/>
  <c r="S884" i="28"/>
  <c r="Z884" i="28" s="1"/>
  <c r="T884" i="28"/>
  <c r="AA884" i="28" s="1"/>
  <c r="U884" i="28"/>
  <c r="AB884" i="28" s="1"/>
  <c r="V884" i="28"/>
  <c r="AC884" i="28" s="1"/>
  <c r="Q885" i="28"/>
  <c r="X885" i="28" s="1"/>
  <c r="R885" i="28"/>
  <c r="Y885" i="28" s="1"/>
  <c r="S885" i="28"/>
  <c r="Z885" i="28" s="1"/>
  <c r="T885" i="28"/>
  <c r="AA885" i="28" s="1"/>
  <c r="U885" i="28"/>
  <c r="AB885" i="28" s="1"/>
  <c r="V885" i="28"/>
  <c r="AC885" i="28" s="1"/>
  <c r="Q886" i="28"/>
  <c r="X886" i="28" s="1"/>
  <c r="R886" i="28"/>
  <c r="Y886" i="28" s="1"/>
  <c r="S886" i="28"/>
  <c r="Z886" i="28" s="1"/>
  <c r="T886" i="28"/>
  <c r="AA886" i="28" s="1"/>
  <c r="U886" i="28"/>
  <c r="AB886" i="28" s="1"/>
  <c r="V886" i="28"/>
  <c r="AC886" i="28" s="1"/>
  <c r="Q887" i="28"/>
  <c r="X887" i="28" s="1"/>
  <c r="R887" i="28"/>
  <c r="Y887" i="28" s="1"/>
  <c r="S887" i="28"/>
  <c r="Z887" i="28" s="1"/>
  <c r="T887" i="28"/>
  <c r="AA887" i="28" s="1"/>
  <c r="U887" i="28"/>
  <c r="AB887" i="28" s="1"/>
  <c r="V887" i="28"/>
  <c r="AC887" i="28" s="1"/>
  <c r="Q888" i="28"/>
  <c r="X888" i="28" s="1"/>
  <c r="R888" i="28"/>
  <c r="Y888" i="28" s="1"/>
  <c r="S888" i="28"/>
  <c r="Z888" i="28" s="1"/>
  <c r="T888" i="28"/>
  <c r="AA888" i="28" s="1"/>
  <c r="U888" i="28"/>
  <c r="AB888" i="28" s="1"/>
  <c r="Q889" i="28"/>
  <c r="X889" i="28" s="1"/>
  <c r="R889" i="28"/>
  <c r="Y889" i="28" s="1"/>
  <c r="S889" i="28"/>
  <c r="Z889" i="28" s="1"/>
  <c r="T889" i="28"/>
  <c r="AA889" i="28" s="1"/>
  <c r="U889" i="28"/>
  <c r="AB889" i="28" s="1"/>
  <c r="V889" i="28"/>
  <c r="AC889" i="28" s="1"/>
  <c r="Q890" i="28"/>
  <c r="X890" i="28" s="1"/>
  <c r="R890" i="28"/>
  <c r="Y890" i="28" s="1"/>
  <c r="S890" i="28"/>
  <c r="Z890" i="28" s="1"/>
  <c r="T890" i="28"/>
  <c r="AA890" i="28" s="1"/>
  <c r="U890" i="28"/>
  <c r="AB890" i="28" s="1"/>
  <c r="V890" i="28"/>
  <c r="AC890" i="28" s="1"/>
  <c r="Q891" i="28"/>
  <c r="X891" i="28" s="1"/>
  <c r="R891" i="28"/>
  <c r="Y891" i="28" s="1"/>
  <c r="S891" i="28"/>
  <c r="Z891" i="28" s="1"/>
  <c r="T891" i="28"/>
  <c r="AA891" i="28" s="1"/>
  <c r="U891" i="28"/>
  <c r="AB891" i="28" s="1"/>
  <c r="V891" i="28"/>
  <c r="AC891" i="28" s="1"/>
  <c r="Q892" i="28"/>
  <c r="X892" i="28" s="1"/>
  <c r="R892" i="28"/>
  <c r="Y892" i="28" s="1"/>
  <c r="S892" i="28"/>
  <c r="Z892" i="28" s="1"/>
  <c r="T892" i="28"/>
  <c r="AA892" i="28" s="1"/>
  <c r="U892" i="28"/>
  <c r="AB892" i="28" s="1"/>
  <c r="V892" i="28"/>
  <c r="AC892" i="28" s="1"/>
  <c r="Q893" i="28"/>
  <c r="X893" i="28" s="1"/>
  <c r="R893" i="28"/>
  <c r="Y893" i="28" s="1"/>
  <c r="S893" i="28"/>
  <c r="Z893" i="28" s="1"/>
  <c r="T893" i="28"/>
  <c r="AA893" i="28" s="1"/>
  <c r="U893" i="28"/>
  <c r="AB893" i="28" s="1"/>
  <c r="V893" i="28"/>
  <c r="AC893" i="28" s="1"/>
  <c r="Q894" i="28"/>
  <c r="X894" i="28" s="1"/>
  <c r="R894" i="28"/>
  <c r="Y894" i="28" s="1"/>
  <c r="S894" i="28"/>
  <c r="Z894" i="28" s="1"/>
  <c r="T894" i="28"/>
  <c r="AA894" i="28" s="1"/>
  <c r="U894" i="28"/>
  <c r="AB894" i="28" s="1"/>
  <c r="V894" i="28"/>
  <c r="AC894" i="28" s="1"/>
  <c r="Q895" i="28"/>
  <c r="X895" i="28" s="1"/>
  <c r="R895" i="28"/>
  <c r="Y895" i="28" s="1"/>
  <c r="S895" i="28"/>
  <c r="Z895" i="28" s="1"/>
  <c r="T895" i="28"/>
  <c r="AA895" i="28" s="1"/>
  <c r="U895" i="28"/>
  <c r="AB895" i="28" s="1"/>
  <c r="V895" i="28"/>
  <c r="AC895" i="28" s="1"/>
  <c r="Q896" i="28"/>
  <c r="X896" i="28" s="1"/>
  <c r="R896" i="28"/>
  <c r="Y896" i="28" s="1"/>
  <c r="S896" i="28"/>
  <c r="Z896" i="28" s="1"/>
  <c r="T896" i="28"/>
  <c r="AA896" i="28" s="1"/>
  <c r="U896" i="28"/>
  <c r="AB896" i="28" s="1"/>
  <c r="Q897" i="28"/>
  <c r="X897" i="28" s="1"/>
  <c r="R897" i="28"/>
  <c r="Y897" i="28" s="1"/>
  <c r="S897" i="28"/>
  <c r="Z897" i="28" s="1"/>
  <c r="T897" i="28"/>
  <c r="AA897" i="28" s="1"/>
  <c r="U897" i="28"/>
  <c r="AB897" i="28" s="1"/>
  <c r="V897" i="28"/>
  <c r="AC897" i="28" s="1"/>
  <c r="Q898" i="28"/>
  <c r="X898" i="28" s="1"/>
  <c r="R898" i="28"/>
  <c r="Y898" i="28" s="1"/>
  <c r="S898" i="28"/>
  <c r="Z898" i="28" s="1"/>
  <c r="T898" i="28"/>
  <c r="AA898" i="28" s="1"/>
  <c r="U898" i="28"/>
  <c r="AB898" i="28" s="1"/>
  <c r="V898" i="28"/>
  <c r="AC898" i="28" s="1"/>
  <c r="Q899" i="28"/>
  <c r="X899" i="28" s="1"/>
  <c r="R899" i="28"/>
  <c r="Y899" i="28" s="1"/>
  <c r="S899" i="28"/>
  <c r="Z899" i="28" s="1"/>
  <c r="T899" i="28"/>
  <c r="AA899" i="28" s="1"/>
  <c r="U899" i="28"/>
  <c r="AB899" i="28" s="1"/>
  <c r="V899" i="28"/>
  <c r="AC899" i="28" s="1"/>
  <c r="Q900" i="28"/>
  <c r="X900" i="28" s="1"/>
  <c r="R900" i="28"/>
  <c r="Y900" i="28" s="1"/>
  <c r="S900" i="28"/>
  <c r="Z900" i="28" s="1"/>
  <c r="T900" i="28"/>
  <c r="AA900" i="28" s="1"/>
  <c r="U900" i="28"/>
  <c r="AB900" i="28" s="1"/>
  <c r="V900" i="28"/>
  <c r="AC900" i="28" s="1"/>
  <c r="Q901" i="28"/>
  <c r="X901" i="28" s="1"/>
  <c r="R901" i="28"/>
  <c r="Y901" i="28" s="1"/>
  <c r="S901" i="28"/>
  <c r="Z901" i="28" s="1"/>
  <c r="T901" i="28"/>
  <c r="AA901" i="28" s="1"/>
  <c r="U901" i="28"/>
  <c r="AB901" i="28" s="1"/>
  <c r="V901" i="28"/>
  <c r="AC901" i="28" s="1"/>
  <c r="Q902" i="28"/>
  <c r="X902" i="28" s="1"/>
  <c r="R902" i="28"/>
  <c r="Y902" i="28" s="1"/>
  <c r="S902" i="28"/>
  <c r="Z902" i="28" s="1"/>
  <c r="T902" i="28"/>
  <c r="AA902" i="28" s="1"/>
  <c r="U902" i="28"/>
  <c r="AB902" i="28" s="1"/>
  <c r="V902" i="28"/>
  <c r="AC902" i="28" s="1"/>
  <c r="Q903" i="28"/>
  <c r="X903" i="28" s="1"/>
  <c r="R903" i="28"/>
  <c r="Y903" i="28" s="1"/>
  <c r="S903" i="28"/>
  <c r="Z903" i="28" s="1"/>
  <c r="T903" i="28"/>
  <c r="AA903" i="28" s="1"/>
  <c r="U903" i="28"/>
  <c r="AB903" i="28" s="1"/>
  <c r="V903" i="28"/>
  <c r="AC903" i="28" s="1"/>
  <c r="Q904" i="28"/>
  <c r="X904" i="28" s="1"/>
  <c r="R904" i="28"/>
  <c r="Y904" i="28" s="1"/>
  <c r="S904" i="28"/>
  <c r="Z904" i="28" s="1"/>
  <c r="T904" i="28"/>
  <c r="AA904" i="28" s="1"/>
  <c r="U904" i="28"/>
  <c r="AB904" i="28" s="1"/>
  <c r="Q905" i="28"/>
  <c r="X905" i="28" s="1"/>
  <c r="R905" i="28"/>
  <c r="Y905" i="28" s="1"/>
  <c r="S905" i="28"/>
  <c r="Z905" i="28" s="1"/>
  <c r="T905" i="28"/>
  <c r="AA905" i="28" s="1"/>
  <c r="U905" i="28"/>
  <c r="AB905" i="28" s="1"/>
  <c r="V905" i="28"/>
  <c r="AC905" i="28" s="1"/>
  <c r="Q906" i="28"/>
  <c r="X906" i="28" s="1"/>
  <c r="R906" i="28"/>
  <c r="Y906" i="28" s="1"/>
  <c r="S906" i="28"/>
  <c r="Z906" i="28" s="1"/>
  <c r="T906" i="28"/>
  <c r="AA906" i="28" s="1"/>
  <c r="U906" i="28"/>
  <c r="AB906" i="28" s="1"/>
  <c r="V906" i="28"/>
  <c r="AC906" i="28" s="1"/>
  <c r="Q907" i="28"/>
  <c r="X907" i="28" s="1"/>
  <c r="R907" i="28"/>
  <c r="Y907" i="28" s="1"/>
  <c r="S907" i="28"/>
  <c r="Z907" i="28" s="1"/>
  <c r="T907" i="28"/>
  <c r="AA907" i="28" s="1"/>
  <c r="U907" i="28"/>
  <c r="AB907" i="28" s="1"/>
  <c r="V907" i="28"/>
  <c r="AC907" i="28" s="1"/>
  <c r="Q908" i="28"/>
  <c r="X908" i="28" s="1"/>
  <c r="R908" i="28"/>
  <c r="Y908" i="28" s="1"/>
  <c r="S908" i="28"/>
  <c r="Z908" i="28" s="1"/>
  <c r="T908" i="28"/>
  <c r="AA908" i="28" s="1"/>
  <c r="U908" i="28"/>
  <c r="AB908" i="28" s="1"/>
  <c r="V908" i="28"/>
  <c r="AC908" i="28" s="1"/>
  <c r="Q909" i="28"/>
  <c r="X909" i="28" s="1"/>
  <c r="R909" i="28"/>
  <c r="Y909" i="28" s="1"/>
  <c r="S909" i="28"/>
  <c r="Z909" i="28" s="1"/>
  <c r="T909" i="28"/>
  <c r="AA909" i="28" s="1"/>
  <c r="U909" i="28"/>
  <c r="AB909" i="28" s="1"/>
  <c r="V909" i="28"/>
  <c r="AC909" i="28" s="1"/>
  <c r="Q910" i="28"/>
  <c r="X910" i="28" s="1"/>
  <c r="R910" i="28"/>
  <c r="Y910" i="28" s="1"/>
  <c r="S910" i="28"/>
  <c r="Z910" i="28" s="1"/>
  <c r="T910" i="28"/>
  <c r="AA910" i="28" s="1"/>
  <c r="U910" i="28"/>
  <c r="AB910" i="28" s="1"/>
  <c r="V910" i="28"/>
  <c r="AC910" i="28" s="1"/>
  <c r="Q911" i="28"/>
  <c r="X911" i="28" s="1"/>
  <c r="R911" i="28"/>
  <c r="Y911" i="28" s="1"/>
  <c r="S911" i="28"/>
  <c r="Z911" i="28" s="1"/>
  <c r="T911" i="28"/>
  <c r="AA911" i="28" s="1"/>
  <c r="U911" i="28"/>
  <c r="AB911" i="28" s="1"/>
  <c r="V911" i="28"/>
  <c r="AC911" i="28" s="1"/>
  <c r="Q912" i="28"/>
  <c r="X912" i="28" s="1"/>
  <c r="R912" i="28"/>
  <c r="Y912" i="28" s="1"/>
  <c r="S912" i="28"/>
  <c r="Z912" i="28" s="1"/>
  <c r="T912" i="28"/>
  <c r="AA912" i="28" s="1"/>
  <c r="U912" i="28"/>
  <c r="AB912" i="28" s="1"/>
  <c r="Q913" i="28"/>
  <c r="X913" i="28" s="1"/>
  <c r="R913" i="28"/>
  <c r="Y913" i="28" s="1"/>
  <c r="S913" i="28"/>
  <c r="Z913" i="28" s="1"/>
  <c r="T913" i="28"/>
  <c r="AA913" i="28" s="1"/>
  <c r="U913" i="28"/>
  <c r="AB913" i="28" s="1"/>
  <c r="V913" i="28"/>
  <c r="AC913" i="28" s="1"/>
  <c r="Q914" i="28"/>
  <c r="X914" i="28" s="1"/>
  <c r="R914" i="28"/>
  <c r="Y914" i="28" s="1"/>
  <c r="S914" i="28"/>
  <c r="Z914" i="28" s="1"/>
  <c r="T914" i="28"/>
  <c r="AA914" i="28" s="1"/>
  <c r="U914" i="28"/>
  <c r="AB914" i="28" s="1"/>
  <c r="V914" i="28"/>
  <c r="AC914" i="28" s="1"/>
  <c r="Q915" i="28"/>
  <c r="X915" i="28" s="1"/>
  <c r="R915" i="28"/>
  <c r="Y915" i="28" s="1"/>
  <c r="S915" i="28"/>
  <c r="Z915" i="28" s="1"/>
  <c r="T915" i="28"/>
  <c r="AA915" i="28" s="1"/>
  <c r="U915" i="28"/>
  <c r="AB915" i="28" s="1"/>
  <c r="V915" i="28"/>
  <c r="AC915" i="28" s="1"/>
  <c r="Q916" i="28"/>
  <c r="X916" i="28" s="1"/>
  <c r="R916" i="28"/>
  <c r="Y916" i="28" s="1"/>
  <c r="S916" i="28"/>
  <c r="Z916" i="28" s="1"/>
  <c r="T916" i="28"/>
  <c r="AA916" i="28" s="1"/>
  <c r="U916" i="28"/>
  <c r="AB916" i="28" s="1"/>
  <c r="V916" i="28"/>
  <c r="AC916" i="28" s="1"/>
  <c r="Q917" i="28"/>
  <c r="X917" i="28" s="1"/>
  <c r="R917" i="28"/>
  <c r="Y917" i="28" s="1"/>
  <c r="S917" i="28"/>
  <c r="Z917" i="28" s="1"/>
  <c r="T917" i="28"/>
  <c r="AA917" i="28" s="1"/>
  <c r="U917" i="28"/>
  <c r="AB917" i="28" s="1"/>
  <c r="V917" i="28"/>
  <c r="AC917" i="28" s="1"/>
  <c r="Q918" i="28"/>
  <c r="X918" i="28" s="1"/>
  <c r="R918" i="28"/>
  <c r="Y918" i="28" s="1"/>
  <c r="S918" i="28"/>
  <c r="Z918" i="28" s="1"/>
  <c r="T918" i="28"/>
  <c r="AA918" i="28" s="1"/>
  <c r="U918" i="28"/>
  <c r="AB918" i="28" s="1"/>
  <c r="V918" i="28"/>
  <c r="AC918" i="28" s="1"/>
  <c r="Q919" i="28"/>
  <c r="X919" i="28" s="1"/>
  <c r="R919" i="28"/>
  <c r="Y919" i="28" s="1"/>
  <c r="S919" i="28"/>
  <c r="Z919" i="28" s="1"/>
  <c r="T919" i="28"/>
  <c r="AA919" i="28" s="1"/>
  <c r="U919" i="28"/>
  <c r="AB919" i="28" s="1"/>
  <c r="V919" i="28"/>
  <c r="AC919" i="28" s="1"/>
  <c r="Q920" i="28"/>
  <c r="X920" i="28" s="1"/>
  <c r="R920" i="28"/>
  <c r="Y920" i="28" s="1"/>
  <c r="S920" i="28"/>
  <c r="Z920" i="28" s="1"/>
  <c r="T920" i="28"/>
  <c r="AA920" i="28" s="1"/>
  <c r="U920" i="28"/>
  <c r="AB920" i="28" s="1"/>
  <c r="Q921" i="28"/>
  <c r="X921" i="28" s="1"/>
  <c r="R921" i="28"/>
  <c r="Y921" i="28" s="1"/>
  <c r="S921" i="28"/>
  <c r="Z921" i="28" s="1"/>
  <c r="T921" i="28"/>
  <c r="AA921" i="28" s="1"/>
  <c r="U921" i="28"/>
  <c r="AB921" i="28" s="1"/>
  <c r="V921" i="28"/>
  <c r="AC921" i="28" s="1"/>
  <c r="Q922" i="28"/>
  <c r="X922" i="28" s="1"/>
  <c r="R922" i="28"/>
  <c r="Y922" i="28" s="1"/>
  <c r="S922" i="28"/>
  <c r="Z922" i="28" s="1"/>
  <c r="T922" i="28"/>
  <c r="AA922" i="28" s="1"/>
  <c r="U922" i="28"/>
  <c r="AB922" i="28" s="1"/>
  <c r="V922" i="28"/>
  <c r="AC922" i="28" s="1"/>
  <c r="Q923" i="28"/>
  <c r="X923" i="28" s="1"/>
  <c r="R923" i="28"/>
  <c r="Y923" i="28" s="1"/>
  <c r="S923" i="28"/>
  <c r="Z923" i="28" s="1"/>
  <c r="T923" i="28"/>
  <c r="AA923" i="28" s="1"/>
  <c r="U923" i="28"/>
  <c r="AB923" i="28" s="1"/>
  <c r="V923" i="28"/>
  <c r="AC923" i="28" s="1"/>
  <c r="Q924" i="28"/>
  <c r="X924" i="28" s="1"/>
  <c r="R924" i="28"/>
  <c r="Y924" i="28" s="1"/>
  <c r="S924" i="28"/>
  <c r="Z924" i="28" s="1"/>
  <c r="T924" i="28"/>
  <c r="AA924" i="28" s="1"/>
  <c r="U924" i="28"/>
  <c r="AB924" i="28" s="1"/>
  <c r="V924" i="28"/>
  <c r="AC924" i="28" s="1"/>
  <c r="Q925" i="28"/>
  <c r="X925" i="28" s="1"/>
  <c r="R925" i="28"/>
  <c r="Y925" i="28" s="1"/>
  <c r="S925" i="28"/>
  <c r="Z925" i="28" s="1"/>
  <c r="T925" i="28"/>
  <c r="AA925" i="28" s="1"/>
  <c r="U925" i="28"/>
  <c r="AB925" i="28" s="1"/>
  <c r="V925" i="28"/>
  <c r="AC925" i="28" s="1"/>
  <c r="Q926" i="28"/>
  <c r="X926" i="28" s="1"/>
  <c r="R926" i="28"/>
  <c r="Y926" i="28" s="1"/>
  <c r="S926" i="28"/>
  <c r="Z926" i="28" s="1"/>
  <c r="T926" i="28"/>
  <c r="AA926" i="28" s="1"/>
  <c r="U926" i="28"/>
  <c r="AB926" i="28" s="1"/>
  <c r="V926" i="28"/>
  <c r="AC926" i="28" s="1"/>
  <c r="Q927" i="28"/>
  <c r="X927" i="28" s="1"/>
  <c r="R927" i="28"/>
  <c r="Y927" i="28" s="1"/>
  <c r="S927" i="28"/>
  <c r="Z927" i="28" s="1"/>
  <c r="T927" i="28"/>
  <c r="AA927" i="28" s="1"/>
  <c r="U927" i="28"/>
  <c r="AB927" i="28" s="1"/>
  <c r="V927" i="28"/>
  <c r="AC927" i="28" s="1"/>
  <c r="Q928" i="28"/>
  <c r="X928" i="28" s="1"/>
  <c r="R928" i="28"/>
  <c r="Y928" i="28" s="1"/>
  <c r="S928" i="28"/>
  <c r="Z928" i="28" s="1"/>
  <c r="T928" i="28"/>
  <c r="AA928" i="28" s="1"/>
  <c r="U928" i="28"/>
  <c r="AB928" i="28" s="1"/>
  <c r="Q929" i="28"/>
  <c r="X929" i="28" s="1"/>
  <c r="R929" i="28"/>
  <c r="Y929" i="28" s="1"/>
  <c r="S929" i="28"/>
  <c r="Z929" i="28" s="1"/>
  <c r="T929" i="28"/>
  <c r="AA929" i="28" s="1"/>
  <c r="U929" i="28"/>
  <c r="AB929" i="28" s="1"/>
  <c r="V929" i="28"/>
  <c r="AC929" i="28" s="1"/>
  <c r="Q930" i="28"/>
  <c r="X930" i="28" s="1"/>
  <c r="R930" i="28"/>
  <c r="Y930" i="28" s="1"/>
  <c r="S930" i="28"/>
  <c r="Z930" i="28" s="1"/>
  <c r="T930" i="28"/>
  <c r="AA930" i="28" s="1"/>
  <c r="U930" i="28"/>
  <c r="AB930" i="28" s="1"/>
  <c r="V930" i="28"/>
  <c r="AC930" i="28" s="1"/>
  <c r="Q931" i="28"/>
  <c r="X931" i="28" s="1"/>
  <c r="R931" i="28"/>
  <c r="Y931" i="28" s="1"/>
  <c r="S931" i="28"/>
  <c r="Z931" i="28" s="1"/>
  <c r="T931" i="28"/>
  <c r="AA931" i="28" s="1"/>
  <c r="U931" i="28"/>
  <c r="AB931" i="28" s="1"/>
  <c r="V931" i="28"/>
  <c r="AC931" i="28" s="1"/>
  <c r="Q932" i="28"/>
  <c r="X932" i="28" s="1"/>
  <c r="R932" i="28"/>
  <c r="Y932" i="28" s="1"/>
  <c r="S932" i="28"/>
  <c r="Z932" i="28" s="1"/>
  <c r="T932" i="28"/>
  <c r="AA932" i="28" s="1"/>
  <c r="U932" i="28"/>
  <c r="AB932" i="28" s="1"/>
  <c r="V932" i="28"/>
  <c r="AC932" i="28" s="1"/>
  <c r="Q933" i="28"/>
  <c r="X933" i="28" s="1"/>
  <c r="R933" i="28"/>
  <c r="Y933" i="28" s="1"/>
  <c r="S933" i="28"/>
  <c r="Z933" i="28" s="1"/>
  <c r="T933" i="28"/>
  <c r="AA933" i="28" s="1"/>
  <c r="U933" i="28"/>
  <c r="AB933" i="28" s="1"/>
  <c r="V933" i="28"/>
  <c r="AC933" i="28" s="1"/>
  <c r="Q934" i="28"/>
  <c r="X934" i="28" s="1"/>
  <c r="R934" i="28"/>
  <c r="Y934" i="28" s="1"/>
  <c r="S934" i="28"/>
  <c r="Z934" i="28" s="1"/>
  <c r="T934" i="28"/>
  <c r="AA934" i="28" s="1"/>
  <c r="U934" i="28"/>
  <c r="AB934" i="28" s="1"/>
  <c r="V934" i="28"/>
  <c r="AC934" i="28" s="1"/>
  <c r="Q935" i="28"/>
  <c r="X935" i="28" s="1"/>
  <c r="R935" i="28"/>
  <c r="Y935" i="28" s="1"/>
  <c r="S935" i="28"/>
  <c r="Z935" i="28" s="1"/>
  <c r="T935" i="28"/>
  <c r="AA935" i="28" s="1"/>
  <c r="U935" i="28"/>
  <c r="AB935" i="28" s="1"/>
  <c r="V935" i="28"/>
  <c r="AC935" i="28" s="1"/>
  <c r="Q936" i="28"/>
  <c r="X936" i="28" s="1"/>
  <c r="R936" i="28"/>
  <c r="Y936" i="28" s="1"/>
  <c r="S936" i="28"/>
  <c r="Z936" i="28" s="1"/>
  <c r="T936" i="28"/>
  <c r="AA936" i="28" s="1"/>
  <c r="U936" i="28"/>
  <c r="AB936" i="28" s="1"/>
  <c r="Q937" i="28"/>
  <c r="X937" i="28" s="1"/>
  <c r="R937" i="28"/>
  <c r="Y937" i="28" s="1"/>
  <c r="S937" i="28"/>
  <c r="Z937" i="28" s="1"/>
  <c r="T937" i="28"/>
  <c r="AA937" i="28" s="1"/>
  <c r="U937" i="28"/>
  <c r="AB937" i="28" s="1"/>
  <c r="V937" i="28"/>
  <c r="AC937" i="28" s="1"/>
  <c r="Q938" i="28"/>
  <c r="X938" i="28" s="1"/>
  <c r="R938" i="28"/>
  <c r="Y938" i="28" s="1"/>
  <c r="S938" i="28"/>
  <c r="Z938" i="28" s="1"/>
  <c r="T938" i="28"/>
  <c r="AA938" i="28" s="1"/>
  <c r="U938" i="28"/>
  <c r="AB938" i="28" s="1"/>
  <c r="V938" i="28"/>
  <c r="AC938" i="28" s="1"/>
  <c r="Q939" i="28"/>
  <c r="X939" i="28" s="1"/>
  <c r="R939" i="28"/>
  <c r="Y939" i="28" s="1"/>
  <c r="S939" i="28"/>
  <c r="Z939" i="28" s="1"/>
  <c r="T939" i="28"/>
  <c r="AA939" i="28" s="1"/>
  <c r="U939" i="28"/>
  <c r="AB939" i="28" s="1"/>
  <c r="V939" i="28"/>
  <c r="AC939" i="28" s="1"/>
  <c r="Q940" i="28"/>
  <c r="X940" i="28" s="1"/>
  <c r="R940" i="28"/>
  <c r="Y940" i="28" s="1"/>
  <c r="S940" i="28"/>
  <c r="Z940" i="28" s="1"/>
  <c r="T940" i="28"/>
  <c r="AA940" i="28" s="1"/>
  <c r="U940" i="28"/>
  <c r="AB940" i="28" s="1"/>
  <c r="V940" i="28"/>
  <c r="AC940" i="28" s="1"/>
  <c r="Q941" i="28"/>
  <c r="X941" i="28" s="1"/>
  <c r="R941" i="28"/>
  <c r="Y941" i="28" s="1"/>
  <c r="S941" i="28"/>
  <c r="Z941" i="28" s="1"/>
  <c r="T941" i="28"/>
  <c r="AA941" i="28" s="1"/>
  <c r="U941" i="28"/>
  <c r="AB941" i="28" s="1"/>
  <c r="V941" i="28"/>
  <c r="AC941" i="28" s="1"/>
  <c r="Q942" i="28"/>
  <c r="X942" i="28" s="1"/>
  <c r="R942" i="28"/>
  <c r="Y942" i="28" s="1"/>
  <c r="S942" i="28"/>
  <c r="Z942" i="28" s="1"/>
  <c r="T942" i="28"/>
  <c r="AA942" i="28" s="1"/>
  <c r="U942" i="28"/>
  <c r="AB942" i="28" s="1"/>
  <c r="V942" i="28"/>
  <c r="AC942" i="28" s="1"/>
  <c r="Q943" i="28"/>
  <c r="X943" i="28" s="1"/>
  <c r="R943" i="28"/>
  <c r="Y943" i="28" s="1"/>
  <c r="S943" i="28"/>
  <c r="Z943" i="28" s="1"/>
  <c r="T943" i="28"/>
  <c r="AA943" i="28" s="1"/>
  <c r="U943" i="28"/>
  <c r="AB943" i="28" s="1"/>
  <c r="V943" i="28"/>
  <c r="AC943" i="28" s="1"/>
  <c r="Q944" i="28"/>
  <c r="X944" i="28" s="1"/>
  <c r="R944" i="28"/>
  <c r="Y944" i="28" s="1"/>
  <c r="S944" i="28"/>
  <c r="Z944" i="28" s="1"/>
  <c r="T944" i="28"/>
  <c r="AA944" i="28" s="1"/>
  <c r="U944" i="28"/>
  <c r="AB944" i="28" s="1"/>
  <c r="Q945" i="28"/>
  <c r="X945" i="28" s="1"/>
  <c r="R945" i="28"/>
  <c r="Y945" i="28" s="1"/>
  <c r="S945" i="28"/>
  <c r="Z945" i="28" s="1"/>
  <c r="T945" i="28"/>
  <c r="AA945" i="28" s="1"/>
  <c r="U945" i="28"/>
  <c r="AB945" i="28" s="1"/>
  <c r="V945" i="28"/>
  <c r="AC945" i="28" s="1"/>
  <c r="Q946" i="28"/>
  <c r="X946" i="28" s="1"/>
  <c r="R946" i="28"/>
  <c r="Y946" i="28" s="1"/>
  <c r="S946" i="28"/>
  <c r="Z946" i="28" s="1"/>
  <c r="T946" i="28"/>
  <c r="AA946" i="28" s="1"/>
  <c r="U946" i="28"/>
  <c r="AB946" i="28" s="1"/>
  <c r="V946" i="28"/>
  <c r="AC946" i="28" s="1"/>
  <c r="Q947" i="28"/>
  <c r="X947" i="28" s="1"/>
  <c r="R947" i="28"/>
  <c r="Y947" i="28" s="1"/>
  <c r="S947" i="28"/>
  <c r="Z947" i="28" s="1"/>
  <c r="T947" i="28"/>
  <c r="AA947" i="28" s="1"/>
  <c r="U947" i="28"/>
  <c r="AB947" i="28" s="1"/>
  <c r="V947" i="28"/>
  <c r="AC947" i="28" s="1"/>
  <c r="Q948" i="28"/>
  <c r="X948" i="28" s="1"/>
  <c r="R948" i="28"/>
  <c r="Y948" i="28" s="1"/>
  <c r="S948" i="28"/>
  <c r="Z948" i="28" s="1"/>
  <c r="T948" i="28"/>
  <c r="AA948" i="28" s="1"/>
  <c r="U948" i="28"/>
  <c r="AB948" i="28" s="1"/>
  <c r="V948" i="28"/>
  <c r="AC948" i="28" s="1"/>
  <c r="Q949" i="28"/>
  <c r="X949" i="28" s="1"/>
  <c r="R949" i="28"/>
  <c r="Y949" i="28" s="1"/>
  <c r="S949" i="28"/>
  <c r="Z949" i="28" s="1"/>
  <c r="T949" i="28"/>
  <c r="AA949" i="28" s="1"/>
  <c r="U949" i="28"/>
  <c r="AB949" i="28" s="1"/>
  <c r="V949" i="28"/>
  <c r="AC949" i="28" s="1"/>
  <c r="Q950" i="28"/>
  <c r="X950" i="28" s="1"/>
  <c r="R950" i="28"/>
  <c r="Y950" i="28" s="1"/>
  <c r="S950" i="28"/>
  <c r="Z950" i="28" s="1"/>
  <c r="T950" i="28"/>
  <c r="AA950" i="28" s="1"/>
  <c r="U950" i="28"/>
  <c r="AB950" i="28" s="1"/>
  <c r="V950" i="28"/>
  <c r="AC950" i="28" s="1"/>
  <c r="Q951" i="28"/>
  <c r="X951" i="28" s="1"/>
  <c r="R951" i="28"/>
  <c r="Y951" i="28" s="1"/>
  <c r="S951" i="28"/>
  <c r="Z951" i="28" s="1"/>
  <c r="T951" i="28"/>
  <c r="AA951" i="28" s="1"/>
  <c r="U951" i="28"/>
  <c r="AB951" i="28" s="1"/>
  <c r="V951" i="28"/>
  <c r="AC951" i="28" s="1"/>
  <c r="Q952" i="28"/>
  <c r="X952" i="28" s="1"/>
  <c r="R952" i="28"/>
  <c r="Y952" i="28" s="1"/>
  <c r="S952" i="28"/>
  <c r="Z952" i="28" s="1"/>
  <c r="T952" i="28"/>
  <c r="AA952" i="28" s="1"/>
  <c r="U952" i="28"/>
  <c r="AB952" i="28" s="1"/>
  <c r="Q953" i="28"/>
  <c r="X953" i="28" s="1"/>
  <c r="R953" i="28"/>
  <c r="Y953" i="28" s="1"/>
  <c r="S953" i="28"/>
  <c r="Z953" i="28" s="1"/>
  <c r="T953" i="28"/>
  <c r="AA953" i="28" s="1"/>
  <c r="U953" i="28"/>
  <c r="AB953" i="28" s="1"/>
  <c r="V953" i="28"/>
  <c r="AC953" i="28" s="1"/>
  <c r="Q954" i="28"/>
  <c r="X954" i="28" s="1"/>
  <c r="R954" i="28"/>
  <c r="Y954" i="28" s="1"/>
  <c r="S954" i="28"/>
  <c r="Z954" i="28" s="1"/>
  <c r="T954" i="28"/>
  <c r="AA954" i="28" s="1"/>
  <c r="U954" i="28"/>
  <c r="AB954" i="28" s="1"/>
  <c r="V954" i="28"/>
  <c r="AC954" i="28" s="1"/>
  <c r="Q955" i="28"/>
  <c r="X955" i="28" s="1"/>
  <c r="R955" i="28"/>
  <c r="Y955" i="28" s="1"/>
  <c r="S955" i="28"/>
  <c r="Z955" i="28" s="1"/>
  <c r="T955" i="28"/>
  <c r="AA955" i="28" s="1"/>
  <c r="U955" i="28"/>
  <c r="AB955" i="28" s="1"/>
  <c r="V955" i="28"/>
  <c r="AC955" i="28" s="1"/>
  <c r="Q956" i="28"/>
  <c r="X956" i="28" s="1"/>
  <c r="R956" i="28"/>
  <c r="Y956" i="28" s="1"/>
  <c r="S956" i="28"/>
  <c r="Z956" i="28" s="1"/>
  <c r="T956" i="28"/>
  <c r="AA956" i="28" s="1"/>
  <c r="U956" i="28"/>
  <c r="AB956" i="28" s="1"/>
  <c r="V956" i="28"/>
  <c r="AC956" i="28" s="1"/>
  <c r="Q957" i="28"/>
  <c r="X957" i="28" s="1"/>
  <c r="R957" i="28"/>
  <c r="Y957" i="28" s="1"/>
  <c r="S957" i="28"/>
  <c r="Z957" i="28" s="1"/>
  <c r="T957" i="28"/>
  <c r="AA957" i="28" s="1"/>
  <c r="U957" i="28"/>
  <c r="AB957" i="28" s="1"/>
  <c r="V957" i="28"/>
  <c r="AC957" i="28" s="1"/>
  <c r="Q958" i="28"/>
  <c r="X958" i="28" s="1"/>
  <c r="R958" i="28"/>
  <c r="Y958" i="28" s="1"/>
  <c r="S958" i="28"/>
  <c r="Z958" i="28" s="1"/>
  <c r="T958" i="28"/>
  <c r="AA958" i="28" s="1"/>
  <c r="U958" i="28"/>
  <c r="AB958" i="28" s="1"/>
  <c r="V958" i="28"/>
  <c r="AC958" i="28" s="1"/>
  <c r="Q959" i="28"/>
  <c r="X959" i="28" s="1"/>
  <c r="R959" i="28"/>
  <c r="Y959" i="28" s="1"/>
  <c r="S959" i="28"/>
  <c r="Z959" i="28" s="1"/>
  <c r="T959" i="28"/>
  <c r="AA959" i="28" s="1"/>
  <c r="U959" i="28"/>
  <c r="AB959" i="28" s="1"/>
  <c r="V959" i="28"/>
  <c r="AC959" i="28" s="1"/>
  <c r="Q960" i="28"/>
  <c r="X960" i="28" s="1"/>
  <c r="R960" i="28"/>
  <c r="Y960" i="28" s="1"/>
  <c r="S960" i="28"/>
  <c r="Z960" i="28" s="1"/>
  <c r="T960" i="28"/>
  <c r="AA960" i="28" s="1"/>
  <c r="U960" i="28"/>
  <c r="AB960" i="28" s="1"/>
  <c r="Q961" i="28"/>
  <c r="X961" i="28" s="1"/>
  <c r="R961" i="28"/>
  <c r="Y961" i="28" s="1"/>
  <c r="S961" i="28"/>
  <c r="Z961" i="28" s="1"/>
  <c r="T961" i="28"/>
  <c r="AA961" i="28" s="1"/>
  <c r="U961" i="28"/>
  <c r="AB961" i="28" s="1"/>
  <c r="V961" i="28"/>
  <c r="AC961" i="28" s="1"/>
  <c r="Q962" i="28"/>
  <c r="X962" i="28" s="1"/>
  <c r="R962" i="28"/>
  <c r="Y962" i="28" s="1"/>
  <c r="S962" i="28"/>
  <c r="Z962" i="28" s="1"/>
  <c r="T962" i="28"/>
  <c r="AA962" i="28" s="1"/>
  <c r="U962" i="28"/>
  <c r="AB962" i="28" s="1"/>
  <c r="V962" i="28"/>
  <c r="AC962" i="28" s="1"/>
  <c r="Q963" i="28"/>
  <c r="X963" i="28" s="1"/>
  <c r="R963" i="28"/>
  <c r="Y963" i="28" s="1"/>
  <c r="S963" i="28"/>
  <c r="Z963" i="28" s="1"/>
  <c r="T963" i="28"/>
  <c r="AA963" i="28" s="1"/>
  <c r="U963" i="28"/>
  <c r="AB963" i="28" s="1"/>
  <c r="V963" i="28"/>
  <c r="AC963" i="28" s="1"/>
  <c r="Q964" i="28"/>
  <c r="X964" i="28" s="1"/>
  <c r="R964" i="28"/>
  <c r="Y964" i="28" s="1"/>
  <c r="S964" i="28"/>
  <c r="Z964" i="28" s="1"/>
  <c r="T964" i="28"/>
  <c r="AA964" i="28" s="1"/>
  <c r="U964" i="28"/>
  <c r="AB964" i="28" s="1"/>
  <c r="V964" i="28"/>
  <c r="AC964" i="28" s="1"/>
  <c r="Q965" i="28"/>
  <c r="X965" i="28" s="1"/>
  <c r="R965" i="28"/>
  <c r="Y965" i="28" s="1"/>
  <c r="S965" i="28"/>
  <c r="Z965" i="28" s="1"/>
  <c r="T965" i="28"/>
  <c r="AA965" i="28" s="1"/>
  <c r="U965" i="28"/>
  <c r="AB965" i="28" s="1"/>
  <c r="V965" i="28"/>
  <c r="AC965" i="28" s="1"/>
  <c r="Q966" i="28"/>
  <c r="X966" i="28" s="1"/>
  <c r="R966" i="28"/>
  <c r="Y966" i="28" s="1"/>
  <c r="S966" i="28"/>
  <c r="Z966" i="28" s="1"/>
  <c r="T966" i="28"/>
  <c r="AA966" i="28" s="1"/>
  <c r="U966" i="28"/>
  <c r="AB966" i="28" s="1"/>
  <c r="V966" i="28"/>
  <c r="AC966" i="28" s="1"/>
  <c r="Q967" i="28"/>
  <c r="X967" i="28" s="1"/>
  <c r="R967" i="28"/>
  <c r="Y967" i="28" s="1"/>
  <c r="S967" i="28"/>
  <c r="Z967" i="28" s="1"/>
  <c r="T967" i="28"/>
  <c r="AA967" i="28" s="1"/>
  <c r="U967" i="28"/>
  <c r="AB967" i="28" s="1"/>
  <c r="V967" i="28"/>
  <c r="AC967" i="28" s="1"/>
  <c r="Q968" i="28"/>
  <c r="X968" i="28" s="1"/>
  <c r="R968" i="28"/>
  <c r="Y968" i="28" s="1"/>
  <c r="S968" i="28"/>
  <c r="Z968" i="28" s="1"/>
  <c r="T968" i="28"/>
  <c r="AA968" i="28" s="1"/>
  <c r="U968" i="28"/>
  <c r="AB968" i="28" s="1"/>
  <c r="Q969" i="28"/>
  <c r="X969" i="28" s="1"/>
  <c r="R969" i="28"/>
  <c r="Y969" i="28" s="1"/>
  <c r="S969" i="28"/>
  <c r="Z969" i="28" s="1"/>
  <c r="T969" i="28"/>
  <c r="AA969" i="28" s="1"/>
  <c r="U969" i="28"/>
  <c r="AB969" i="28" s="1"/>
  <c r="V969" i="28"/>
  <c r="AC969" i="28" s="1"/>
  <c r="Q970" i="28"/>
  <c r="X970" i="28" s="1"/>
  <c r="R970" i="28"/>
  <c r="Y970" i="28" s="1"/>
  <c r="S970" i="28"/>
  <c r="Z970" i="28" s="1"/>
  <c r="T970" i="28"/>
  <c r="AA970" i="28" s="1"/>
  <c r="U970" i="28"/>
  <c r="AB970" i="28" s="1"/>
  <c r="V970" i="28"/>
  <c r="AC970" i="28" s="1"/>
  <c r="Q971" i="28"/>
  <c r="X971" i="28" s="1"/>
  <c r="R971" i="28"/>
  <c r="Y971" i="28" s="1"/>
  <c r="S971" i="28"/>
  <c r="Z971" i="28" s="1"/>
  <c r="T971" i="28"/>
  <c r="AA971" i="28" s="1"/>
  <c r="U971" i="28"/>
  <c r="AB971" i="28" s="1"/>
  <c r="V971" i="28"/>
  <c r="AC971" i="28" s="1"/>
  <c r="Q972" i="28"/>
  <c r="X972" i="28" s="1"/>
  <c r="R972" i="28"/>
  <c r="Y972" i="28" s="1"/>
  <c r="S972" i="28"/>
  <c r="Z972" i="28" s="1"/>
  <c r="T972" i="28"/>
  <c r="AA972" i="28" s="1"/>
  <c r="U972" i="28"/>
  <c r="AB972" i="28" s="1"/>
  <c r="V972" i="28"/>
  <c r="AC972" i="28" s="1"/>
  <c r="Q973" i="28"/>
  <c r="X973" i="28" s="1"/>
  <c r="R973" i="28"/>
  <c r="Y973" i="28" s="1"/>
  <c r="S973" i="28"/>
  <c r="Z973" i="28" s="1"/>
  <c r="T973" i="28"/>
  <c r="AA973" i="28" s="1"/>
  <c r="U973" i="28"/>
  <c r="AB973" i="28" s="1"/>
  <c r="V973" i="28"/>
  <c r="AC973" i="28" s="1"/>
  <c r="Q974" i="28"/>
  <c r="X974" i="28" s="1"/>
  <c r="R974" i="28"/>
  <c r="Y974" i="28" s="1"/>
  <c r="S974" i="28"/>
  <c r="Z974" i="28" s="1"/>
  <c r="T974" i="28"/>
  <c r="AA974" i="28" s="1"/>
  <c r="U974" i="28"/>
  <c r="AB974" i="28" s="1"/>
  <c r="V974" i="28"/>
  <c r="AC974" i="28" s="1"/>
  <c r="Q975" i="28"/>
  <c r="X975" i="28" s="1"/>
  <c r="R975" i="28"/>
  <c r="Y975" i="28" s="1"/>
  <c r="S975" i="28"/>
  <c r="Z975" i="28" s="1"/>
  <c r="T975" i="28"/>
  <c r="AA975" i="28" s="1"/>
  <c r="U975" i="28"/>
  <c r="AB975" i="28" s="1"/>
  <c r="V975" i="28"/>
  <c r="AC975" i="28" s="1"/>
  <c r="Q976" i="28"/>
  <c r="X976" i="28" s="1"/>
  <c r="R976" i="28"/>
  <c r="Y976" i="28" s="1"/>
  <c r="S976" i="28"/>
  <c r="Z976" i="28" s="1"/>
  <c r="T976" i="28"/>
  <c r="AA976" i="28" s="1"/>
  <c r="U976" i="28"/>
  <c r="AB976" i="28" s="1"/>
  <c r="Q977" i="28"/>
  <c r="X977" i="28" s="1"/>
  <c r="R977" i="28"/>
  <c r="Y977" i="28" s="1"/>
  <c r="S977" i="28"/>
  <c r="Z977" i="28" s="1"/>
  <c r="T977" i="28"/>
  <c r="AA977" i="28" s="1"/>
  <c r="U977" i="28"/>
  <c r="AB977" i="28" s="1"/>
  <c r="V977" i="28"/>
  <c r="AC977" i="28" s="1"/>
  <c r="Q978" i="28"/>
  <c r="X978" i="28" s="1"/>
  <c r="R978" i="28"/>
  <c r="Y978" i="28" s="1"/>
  <c r="S978" i="28"/>
  <c r="Z978" i="28" s="1"/>
  <c r="T978" i="28"/>
  <c r="AA978" i="28" s="1"/>
  <c r="U978" i="28"/>
  <c r="AB978" i="28" s="1"/>
  <c r="V978" i="28"/>
  <c r="AC978" i="28" s="1"/>
  <c r="Q979" i="28"/>
  <c r="X979" i="28" s="1"/>
  <c r="R979" i="28"/>
  <c r="Y979" i="28" s="1"/>
  <c r="S979" i="28"/>
  <c r="Z979" i="28" s="1"/>
  <c r="T979" i="28"/>
  <c r="AA979" i="28" s="1"/>
  <c r="U979" i="28"/>
  <c r="AB979" i="28" s="1"/>
  <c r="V979" i="28"/>
  <c r="AC979" i="28" s="1"/>
  <c r="Q980" i="28"/>
  <c r="X980" i="28" s="1"/>
  <c r="R980" i="28"/>
  <c r="Y980" i="28" s="1"/>
  <c r="S980" i="28"/>
  <c r="Z980" i="28" s="1"/>
  <c r="T980" i="28"/>
  <c r="AA980" i="28" s="1"/>
  <c r="U980" i="28"/>
  <c r="AB980" i="28" s="1"/>
  <c r="V980" i="28"/>
  <c r="AC980" i="28" s="1"/>
  <c r="Q981" i="28"/>
  <c r="X981" i="28" s="1"/>
  <c r="R981" i="28"/>
  <c r="Y981" i="28" s="1"/>
  <c r="S981" i="28"/>
  <c r="Z981" i="28" s="1"/>
  <c r="T981" i="28"/>
  <c r="AA981" i="28" s="1"/>
  <c r="U981" i="28"/>
  <c r="AB981" i="28" s="1"/>
  <c r="V981" i="28"/>
  <c r="AC981" i="28" s="1"/>
  <c r="Q982" i="28"/>
  <c r="X982" i="28" s="1"/>
  <c r="R982" i="28"/>
  <c r="Y982" i="28" s="1"/>
  <c r="S982" i="28"/>
  <c r="Z982" i="28" s="1"/>
  <c r="T982" i="28"/>
  <c r="AA982" i="28" s="1"/>
  <c r="U982" i="28"/>
  <c r="AB982" i="28" s="1"/>
  <c r="V982" i="28"/>
  <c r="AC982" i="28" s="1"/>
  <c r="Q983" i="28"/>
  <c r="X983" i="28" s="1"/>
  <c r="R983" i="28"/>
  <c r="Y983" i="28" s="1"/>
  <c r="S983" i="28"/>
  <c r="Z983" i="28" s="1"/>
  <c r="T983" i="28"/>
  <c r="AA983" i="28" s="1"/>
  <c r="U983" i="28"/>
  <c r="AB983" i="28" s="1"/>
  <c r="V983" i="28"/>
  <c r="AC983" i="28" s="1"/>
  <c r="Q984" i="28"/>
  <c r="X984" i="28" s="1"/>
  <c r="R984" i="28"/>
  <c r="Y984" i="28" s="1"/>
  <c r="S984" i="28"/>
  <c r="Z984" i="28" s="1"/>
  <c r="T984" i="28"/>
  <c r="AA984" i="28" s="1"/>
  <c r="U984" i="28"/>
  <c r="AB984" i="28" s="1"/>
  <c r="Q985" i="28"/>
  <c r="X985" i="28" s="1"/>
  <c r="R985" i="28"/>
  <c r="Y985" i="28" s="1"/>
  <c r="S985" i="28"/>
  <c r="Z985" i="28" s="1"/>
  <c r="T985" i="28"/>
  <c r="AA985" i="28" s="1"/>
  <c r="U985" i="28"/>
  <c r="AB985" i="28" s="1"/>
  <c r="V985" i="28"/>
  <c r="AC985" i="28" s="1"/>
  <c r="Q986" i="28"/>
  <c r="X986" i="28" s="1"/>
  <c r="R986" i="28"/>
  <c r="Y986" i="28" s="1"/>
  <c r="S986" i="28"/>
  <c r="Z986" i="28" s="1"/>
  <c r="T986" i="28"/>
  <c r="AA986" i="28" s="1"/>
  <c r="U986" i="28"/>
  <c r="AB986" i="28" s="1"/>
  <c r="V986" i="28"/>
  <c r="AC986" i="28" s="1"/>
  <c r="Q987" i="28"/>
  <c r="X987" i="28" s="1"/>
  <c r="R987" i="28"/>
  <c r="Y987" i="28" s="1"/>
  <c r="S987" i="28"/>
  <c r="Z987" i="28" s="1"/>
  <c r="T987" i="28"/>
  <c r="AA987" i="28" s="1"/>
  <c r="U987" i="28"/>
  <c r="AB987" i="28" s="1"/>
  <c r="V987" i="28"/>
  <c r="AC987" i="28" s="1"/>
  <c r="Q988" i="28"/>
  <c r="X988" i="28" s="1"/>
  <c r="R988" i="28"/>
  <c r="Y988" i="28" s="1"/>
  <c r="S988" i="28"/>
  <c r="Z988" i="28" s="1"/>
  <c r="T988" i="28"/>
  <c r="AA988" i="28" s="1"/>
  <c r="U988" i="28"/>
  <c r="AB988" i="28" s="1"/>
  <c r="V988" i="28"/>
  <c r="AC988" i="28" s="1"/>
  <c r="Q989" i="28"/>
  <c r="X989" i="28" s="1"/>
  <c r="R989" i="28"/>
  <c r="Y989" i="28" s="1"/>
  <c r="S989" i="28"/>
  <c r="Z989" i="28" s="1"/>
  <c r="T989" i="28"/>
  <c r="AA989" i="28" s="1"/>
  <c r="U989" i="28"/>
  <c r="AB989" i="28" s="1"/>
  <c r="V989" i="28"/>
  <c r="AC989" i="28" s="1"/>
  <c r="Q990" i="28"/>
  <c r="X990" i="28" s="1"/>
  <c r="R990" i="28"/>
  <c r="Y990" i="28" s="1"/>
  <c r="S990" i="28"/>
  <c r="Z990" i="28" s="1"/>
  <c r="T990" i="28"/>
  <c r="AA990" i="28" s="1"/>
  <c r="U990" i="28"/>
  <c r="AB990" i="28" s="1"/>
  <c r="V990" i="28"/>
  <c r="AC990" i="28" s="1"/>
  <c r="Q991" i="28"/>
  <c r="X991" i="28" s="1"/>
  <c r="R991" i="28"/>
  <c r="Y991" i="28" s="1"/>
  <c r="S991" i="28"/>
  <c r="Z991" i="28" s="1"/>
  <c r="T991" i="28"/>
  <c r="AA991" i="28" s="1"/>
  <c r="U991" i="28"/>
  <c r="AB991" i="28" s="1"/>
  <c r="V991" i="28"/>
  <c r="AC991" i="28" s="1"/>
  <c r="Q992" i="28"/>
  <c r="X992" i="28" s="1"/>
  <c r="R992" i="28"/>
  <c r="Y992" i="28" s="1"/>
  <c r="S992" i="28"/>
  <c r="Z992" i="28" s="1"/>
  <c r="T992" i="28"/>
  <c r="AA992" i="28" s="1"/>
  <c r="U992" i="28"/>
  <c r="AB992" i="28" s="1"/>
  <c r="Q993" i="28"/>
  <c r="X993" i="28" s="1"/>
  <c r="R993" i="28"/>
  <c r="Y993" i="28" s="1"/>
  <c r="S993" i="28"/>
  <c r="Z993" i="28" s="1"/>
  <c r="T993" i="28"/>
  <c r="AA993" i="28" s="1"/>
  <c r="U993" i="28"/>
  <c r="AB993" i="28" s="1"/>
  <c r="V993" i="28"/>
  <c r="AC993" i="28" s="1"/>
  <c r="Q994" i="28"/>
  <c r="X994" i="28" s="1"/>
  <c r="R994" i="28"/>
  <c r="Y994" i="28" s="1"/>
  <c r="S994" i="28"/>
  <c r="Z994" i="28" s="1"/>
  <c r="T994" i="28"/>
  <c r="AA994" i="28" s="1"/>
  <c r="U994" i="28"/>
  <c r="AB994" i="28" s="1"/>
  <c r="V994" i="28"/>
  <c r="AC994" i="28" s="1"/>
  <c r="Q995" i="28"/>
  <c r="X995" i="28" s="1"/>
  <c r="R995" i="28"/>
  <c r="Y995" i="28" s="1"/>
  <c r="S995" i="28"/>
  <c r="Z995" i="28" s="1"/>
  <c r="T995" i="28"/>
  <c r="AA995" i="28" s="1"/>
  <c r="U995" i="28"/>
  <c r="AB995" i="28" s="1"/>
  <c r="V995" i="28"/>
  <c r="AC995" i="28" s="1"/>
  <c r="Q996" i="28"/>
  <c r="X996" i="28" s="1"/>
  <c r="R996" i="28"/>
  <c r="Y996" i="28" s="1"/>
  <c r="S996" i="28"/>
  <c r="Z996" i="28" s="1"/>
  <c r="T996" i="28"/>
  <c r="AA996" i="28" s="1"/>
  <c r="U996" i="28"/>
  <c r="AB996" i="28" s="1"/>
  <c r="V996" i="28"/>
  <c r="AC996" i="28" s="1"/>
  <c r="Q997" i="28"/>
  <c r="X997" i="28" s="1"/>
  <c r="R997" i="28"/>
  <c r="Y997" i="28" s="1"/>
  <c r="S997" i="28"/>
  <c r="Z997" i="28" s="1"/>
  <c r="T997" i="28"/>
  <c r="AA997" i="28" s="1"/>
  <c r="U997" i="28"/>
  <c r="AB997" i="28" s="1"/>
  <c r="V997" i="28"/>
  <c r="AC997" i="28" s="1"/>
  <c r="Q998" i="28"/>
  <c r="X998" i="28" s="1"/>
  <c r="R998" i="28"/>
  <c r="Y998" i="28" s="1"/>
  <c r="S998" i="28"/>
  <c r="Z998" i="28" s="1"/>
  <c r="T998" i="28"/>
  <c r="AA998" i="28" s="1"/>
  <c r="U998" i="28"/>
  <c r="AB998" i="28" s="1"/>
  <c r="V998" i="28"/>
  <c r="AC998" i="28" s="1"/>
  <c r="Q999" i="28"/>
  <c r="X999" i="28" s="1"/>
  <c r="R999" i="28"/>
  <c r="Y999" i="28" s="1"/>
  <c r="S999" i="28"/>
  <c r="Z999" i="28" s="1"/>
  <c r="T999" i="28"/>
  <c r="AA999" i="28" s="1"/>
  <c r="U999" i="28"/>
  <c r="AB999" i="28" s="1"/>
  <c r="V999" i="28"/>
  <c r="AC999" i="28" s="1"/>
  <c r="Q1000" i="28"/>
  <c r="X1000" i="28" s="1"/>
  <c r="R1000" i="28"/>
  <c r="Y1000" i="28" s="1"/>
  <c r="S1000" i="28"/>
  <c r="Z1000" i="28" s="1"/>
  <c r="T1000" i="28"/>
  <c r="AA1000" i="28" s="1"/>
  <c r="U1000" i="28"/>
  <c r="AB1000" i="28" s="1"/>
  <c r="Q1001" i="28"/>
  <c r="X1001" i="28" s="1"/>
  <c r="R1001" i="28"/>
  <c r="Y1001" i="28" s="1"/>
  <c r="S1001" i="28"/>
  <c r="Z1001" i="28" s="1"/>
  <c r="T1001" i="28"/>
  <c r="AA1001" i="28" s="1"/>
  <c r="U1001" i="28"/>
  <c r="AB1001" i="28" s="1"/>
  <c r="V1001" i="28"/>
  <c r="AC1001" i="28" s="1"/>
  <c r="Q1002" i="28"/>
  <c r="X1002" i="28" s="1"/>
  <c r="R1002" i="28"/>
  <c r="Y1002" i="28" s="1"/>
  <c r="S1002" i="28"/>
  <c r="Z1002" i="28" s="1"/>
  <c r="T1002" i="28"/>
  <c r="AA1002" i="28" s="1"/>
  <c r="U1002" i="28"/>
  <c r="AB1002" i="28" s="1"/>
  <c r="V1002" i="28"/>
  <c r="AC1002" i="28" s="1"/>
  <c r="Q1003" i="28"/>
  <c r="X1003" i="28" s="1"/>
  <c r="R1003" i="28"/>
  <c r="Y1003" i="28" s="1"/>
  <c r="S1003" i="28"/>
  <c r="Z1003" i="28" s="1"/>
  <c r="T1003" i="28"/>
  <c r="AA1003" i="28" s="1"/>
  <c r="U1003" i="28"/>
  <c r="AB1003" i="28" s="1"/>
  <c r="V1003" i="28"/>
  <c r="AC1003" i="28" s="1"/>
  <c r="Q1004" i="28"/>
  <c r="X1004" i="28" s="1"/>
  <c r="R1004" i="28"/>
  <c r="Y1004" i="28" s="1"/>
  <c r="S1004" i="28"/>
  <c r="Z1004" i="28" s="1"/>
  <c r="T1004" i="28"/>
  <c r="AA1004" i="28" s="1"/>
  <c r="U1004" i="28"/>
  <c r="AB1004" i="28" s="1"/>
  <c r="V1004" i="28"/>
  <c r="AC1004" i="28" s="1"/>
  <c r="Q1005" i="28"/>
  <c r="X1005" i="28" s="1"/>
  <c r="R1005" i="28"/>
  <c r="Y1005" i="28" s="1"/>
  <c r="S1005" i="28"/>
  <c r="Z1005" i="28" s="1"/>
  <c r="T1005" i="28"/>
  <c r="AA1005" i="28" s="1"/>
  <c r="U1005" i="28"/>
  <c r="AB1005" i="28" s="1"/>
  <c r="V1005" i="28"/>
  <c r="AC1005" i="28" s="1"/>
  <c r="Q1006" i="28"/>
  <c r="X1006" i="28" s="1"/>
  <c r="R1006" i="28"/>
  <c r="Y1006" i="28" s="1"/>
  <c r="S1006" i="28"/>
  <c r="Z1006" i="28" s="1"/>
  <c r="T1006" i="28"/>
  <c r="AA1006" i="28" s="1"/>
  <c r="U1006" i="28"/>
  <c r="AB1006" i="28" s="1"/>
  <c r="V1006" i="28"/>
  <c r="AC1006" i="28" s="1"/>
  <c r="Q1007" i="28"/>
  <c r="X1007" i="28" s="1"/>
  <c r="R1007" i="28"/>
  <c r="Y1007" i="28" s="1"/>
  <c r="S1007" i="28"/>
  <c r="Z1007" i="28" s="1"/>
  <c r="T1007" i="28"/>
  <c r="AA1007" i="28" s="1"/>
  <c r="U1007" i="28"/>
  <c r="AB1007" i="28" s="1"/>
  <c r="V1007" i="28"/>
  <c r="AC1007" i="28" s="1"/>
  <c r="Q1008" i="28"/>
  <c r="X1008" i="28" s="1"/>
  <c r="R1008" i="28"/>
  <c r="Y1008" i="28" s="1"/>
  <c r="S1008" i="28"/>
  <c r="Z1008" i="28" s="1"/>
  <c r="T1008" i="28"/>
  <c r="AA1008" i="28" s="1"/>
  <c r="U1008" i="28"/>
  <c r="AB1008" i="28" s="1"/>
  <c r="Q1009" i="28"/>
  <c r="X1009" i="28" s="1"/>
  <c r="R1009" i="28"/>
  <c r="Y1009" i="28" s="1"/>
  <c r="S1009" i="28"/>
  <c r="Z1009" i="28" s="1"/>
  <c r="T1009" i="28"/>
  <c r="AA1009" i="28" s="1"/>
  <c r="U1009" i="28"/>
  <c r="AB1009" i="28" s="1"/>
  <c r="V1009" i="28"/>
  <c r="AC1009" i="28" s="1"/>
  <c r="Q1010" i="28"/>
  <c r="X1010" i="28" s="1"/>
  <c r="R1010" i="28"/>
  <c r="Y1010" i="28" s="1"/>
  <c r="S1010" i="28"/>
  <c r="Z1010" i="28" s="1"/>
  <c r="T1010" i="28"/>
  <c r="AA1010" i="28" s="1"/>
  <c r="U1010" i="28"/>
  <c r="AB1010" i="28" s="1"/>
  <c r="V1010" i="28"/>
  <c r="AC1010" i="28" s="1"/>
  <c r="Q1011" i="28"/>
  <c r="X1011" i="28" s="1"/>
  <c r="R1011" i="28"/>
  <c r="Y1011" i="28" s="1"/>
  <c r="S1011" i="28"/>
  <c r="Z1011" i="28" s="1"/>
  <c r="T1011" i="28"/>
  <c r="AA1011" i="28" s="1"/>
  <c r="U1011" i="28"/>
  <c r="AB1011" i="28" s="1"/>
  <c r="V1011" i="28"/>
  <c r="AC1011" i="28" s="1"/>
  <c r="Q1012" i="28"/>
  <c r="X1012" i="28" s="1"/>
  <c r="R1012" i="28"/>
  <c r="Y1012" i="28" s="1"/>
  <c r="S1012" i="28"/>
  <c r="Z1012" i="28" s="1"/>
  <c r="T1012" i="28"/>
  <c r="AA1012" i="28" s="1"/>
  <c r="U1012" i="28"/>
  <c r="AB1012" i="28" s="1"/>
  <c r="V1012" i="28"/>
  <c r="AC1012" i="28" s="1"/>
  <c r="Q1013" i="28"/>
  <c r="X1013" i="28" s="1"/>
  <c r="R1013" i="28"/>
  <c r="Y1013" i="28" s="1"/>
  <c r="S1013" i="28"/>
  <c r="Z1013" i="28" s="1"/>
  <c r="T1013" i="28"/>
  <c r="AA1013" i="28" s="1"/>
  <c r="U1013" i="28"/>
  <c r="AB1013" i="28" s="1"/>
  <c r="V1013" i="28"/>
  <c r="AC1013" i="28" s="1"/>
  <c r="Q1014" i="28"/>
  <c r="X1014" i="28" s="1"/>
  <c r="R1014" i="28"/>
  <c r="Y1014" i="28" s="1"/>
  <c r="S1014" i="28"/>
  <c r="Z1014" i="28" s="1"/>
  <c r="T1014" i="28"/>
  <c r="AA1014" i="28" s="1"/>
  <c r="U1014" i="28"/>
  <c r="AB1014" i="28" s="1"/>
  <c r="V1014" i="28"/>
  <c r="AC1014" i="28" s="1"/>
  <c r="Q1015" i="28"/>
  <c r="X1015" i="28" s="1"/>
  <c r="R1015" i="28"/>
  <c r="Y1015" i="28" s="1"/>
  <c r="S1015" i="28"/>
  <c r="Z1015" i="28" s="1"/>
  <c r="T1015" i="28"/>
  <c r="AA1015" i="28" s="1"/>
  <c r="U1015" i="28"/>
  <c r="AB1015" i="28" s="1"/>
  <c r="V1015" i="28"/>
  <c r="AC1015" i="28" s="1"/>
  <c r="R16" i="28"/>
  <c r="Y16" i="28" s="1"/>
  <c r="S16" i="28"/>
  <c r="Z16" i="28" s="1"/>
  <c r="T16" i="28"/>
  <c r="AA16" i="28" s="1"/>
  <c r="U16" i="28"/>
  <c r="AB16" i="28" s="1"/>
  <c r="Q16" i="28"/>
  <c r="X16" i="28" s="1"/>
  <c r="Q4" i="28"/>
  <c r="R4" i="28" s="1"/>
  <c r="S4" i="28" s="1"/>
  <c r="T4" i="28" s="1"/>
  <c r="U4" i="28" s="1"/>
  <c r="N7" i="28"/>
  <c r="J4" i="28"/>
  <c r="K4" i="28" s="1"/>
  <c r="L4" i="28" s="1"/>
  <c r="M4" i="28" s="1"/>
  <c r="N4" i="28" s="1"/>
  <c r="G7" i="28"/>
  <c r="H7" i="28"/>
  <c r="C4" i="28"/>
  <c r="D4" i="28" s="1"/>
  <c r="E4" i="28" s="1"/>
  <c r="F4" i="28" s="1"/>
  <c r="G4" i="28" s="1"/>
  <c r="M7" i="28"/>
  <c r="L7" i="28"/>
  <c r="K7" i="28"/>
  <c r="F7" i="28"/>
  <c r="E7" i="28"/>
  <c r="D7" i="28"/>
  <c r="C7" i="28"/>
  <c r="I6" i="7" l="1"/>
  <c r="I7" i="7"/>
  <c r="M7" i="7" s="1"/>
  <c r="G8" i="7"/>
  <c r="N5" i="7"/>
  <c r="G5" i="7" s="1"/>
  <c r="N12" i="7"/>
  <c r="G12" i="7" s="1"/>
  <c r="N11" i="7"/>
  <c r="G11" i="7" s="1"/>
  <c r="N10" i="7"/>
  <c r="G10" i="7" s="1"/>
  <c r="N7" i="7"/>
  <c r="G7" i="7" s="1"/>
  <c r="E7" i="7" s="1"/>
  <c r="N13" i="7"/>
  <c r="G13" i="7" s="1"/>
  <c r="N9" i="7"/>
  <c r="G9" i="7" s="1"/>
  <c r="M6" i="7"/>
  <c r="AX7" i="28"/>
  <c r="AU9" i="28"/>
  <c r="AT9" i="28"/>
  <c r="AT10" i="28"/>
  <c r="AT7" i="28"/>
  <c r="AX10" i="28"/>
  <c r="AW7" i="28"/>
  <c r="AW9" i="28"/>
  <c r="AU7" i="28"/>
  <c r="AV9" i="28"/>
  <c r="AV10" i="28"/>
  <c r="BA16" i="28"/>
  <c r="AY64" i="28"/>
  <c r="BF64" i="28" s="1"/>
  <c r="O7" i="28"/>
  <c r="BF16" i="28"/>
  <c r="AX11" i="28"/>
  <c r="AV11" i="28"/>
  <c r="AV7" i="28"/>
  <c r="F34" i="11" s="1"/>
  <c r="AX9" i="28"/>
  <c r="AT11" i="28"/>
  <c r="AU10" i="28"/>
  <c r="BD16" i="28"/>
  <c r="AW11" i="28" s="1"/>
  <c r="BB45" i="28"/>
  <c r="AU11" i="28" s="1"/>
  <c r="AW10" i="28"/>
  <c r="Q7" i="28"/>
  <c r="V11" i="28"/>
  <c r="U11" i="28"/>
  <c r="T11" i="28"/>
  <c r="R11" i="28"/>
  <c r="Q11" i="28"/>
  <c r="R9" i="28"/>
  <c r="S11" i="28"/>
  <c r="Q9" i="28"/>
  <c r="U9" i="28"/>
  <c r="U10" i="28"/>
  <c r="T9" i="28"/>
  <c r="V7" i="28"/>
  <c r="I25" i="11" s="1"/>
  <c r="S9" i="28"/>
  <c r="T7" i="28"/>
  <c r="G25" i="11" s="1"/>
  <c r="Q10" i="28"/>
  <c r="T10" i="28"/>
  <c r="U7" i="28"/>
  <c r="H25" i="11" s="1"/>
  <c r="V9" i="28"/>
  <c r="V10" i="28"/>
  <c r="R10" i="28"/>
  <c r="S7" i="28"/>
  <c r="F25" i="11" s="1"/>
  <c r="S10" i="28"/>
  <c r="R7" i="28"/>
  <c r="E25" i="11" s="1"/>
  <c r="AU12" i="28" l="1"/>
  <c r="E35" i="11" s="1"/>
  <c r="E34" i="11"/>
  <c r="AX12" i="28"/>
  <c r="H35" i="11" s="1"/>
  <c r="H34" i="11"/>
  <c r="AT12" i="28"/>
  <c r="D35" i="11" s="1"/>
  <c r="D34" i="11"/>
  <c r="AW13" i="28"/>
  <c r="G36" i="11" s="1"/>
  <c r="G34" i="11"/>
  <c r="D25" i="11"/>
  <c r="Q12" i="28"/>
  <c r="D26" i="11" s="1"/>
  <c r="N6" i="7"/>
  <c r="G6" i="7" s="1"/>
  <c r="E6" i="7" s="1"/>
  <c r="R13" i="28"/>
  <c r="E27" i="11" s="1"/>
  <c r="R12" i="28"/>
  <c r="E26" i="11" s="1"/>
  <c r="T12" i="28"/>
  <c r="G26" i="11" s="1"/>
  <c r="T13" i="28"/>
  <c r="G27" i="11" s="1"/>
  <c r="Q13" i="28"/>
  <c r="D27" i="11" s="1"/>
  <c r="S12" i="28"/>
  <c r="F26" i="11" s="1"/>
  <c r="S13" i="28"/>
  <c r="F27" i="11" s="1"/>
  <c r="V13" i="28"/>
  <c r="I27" i="11" s="1"/>
  <c r="V12" i="28"/>
  <c r="I26" i="11" s="1"/>
  <c r="U13" i="28"/>
  <c r="H27" i="11" s="1"/>
  <c r="U12" i="28"/>
  <c r="H26" i="11" s="1"/>
  <c r="AY11" i="28"/>
  <c r="AY7" i="28"/>
  <c r="AY10" i="28"/>
  <c r="AY9" i="28"/>
  <c r="AT13" i="28"/>
  <c r="D36" i="11" s="1"/>
  <c r="AX13" i="28"/>
  <c r="H36" i="11" s="1"/>
  <c r="AU13" i="28"/>
  <c r="E36" i="11" s="1"/>
  <c r="AW12" i="28"/>
  <c r="G35" i="11" s="1"/>
  <c r="AV13" i="28"/>
  <c r="F36" i="11" s="1"/>
  <c r="AV12" i="28"/>
  <c r="F35" i="11" s="1"/>
  <c r="AY12" i="28" l="1"/>
  <c r="I35" i="11" s="1"/>
  <c r="I34" i="11"/>
  <c r="AY13" i="28"/>
  <c r="I36" i="11" s="1"/>
  <c r="H54" i="15"/>
  <c r="C81" i="15" s="1"/>
  <c r="C80" i="15" l="1"/>
  <c r="C63" i="15"/>
  <c r="C69" i="15"/>
  <c r="B14" i="9"/>
  <c r="B8" i="9"/>
  <c r="J8" i="9"/>
  <c r="B11" i="9"/>
  <c r="J10" i="9"/>
  <c r="J11" i="9"/>
  <c r="B17" i="9"/>
  <c r="J13" i="9"/>
  <c r="B10" i="9"/>
  <c r="J14" i="9"/>
  <c r="B13" i="9"/>
  <c r="J16" i="9"/>
  <c r="B16" i="9"/>
  <c r="J17" i="9"/>
  <c r="B19" i="9"/>
  <c r="J19" i="9"/>
  <c r="B5" i="9"/>
  <c r="R6" i="5" l="1"/>
  <c r="AE117" i="15" l="1"/>
  <c r="X117" i="15"/>
  <c r="Q117" i="15"/>
  <c r="AE69" i="15"/>
  <c r="X69" i="15"/>
  <c r="Q69" i="15"/>
  <c r="H102" i="15"/>
  <c r="H106" i="15"/>
  <c r="AF118" i="15" s="1"/>
  <c r="H91" i="15"/>
  <c r="H62" i="15"/>
  <c r="C70" i="15"/>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AX8" i="26"/>
  <c r="AW8" i="26"/>
  <c r="AV8" i="26"/>
  <c r="AU8" i="26"/>
  <c r="AT8" i="26"/>
  <c r="AS8" i="26"/>
  <c r="AR8" i="26"/>
  <c r="AQ8" i="26"/>
  <c r="AP8" i="26"/>
  <c r="AO8" i="26"/>
  <c r="AN8" i="26"/>
  <c r="AM8" i="26"/>
  <c r="AL8" i="26"/>
  <c r="AK8" i="26"/>
  <c r="AF8" i="26"/>
  <c r="AE8" i="26"/>
  <c r="AD8" i="26"/>
  <c r="AC8" i="26"/>
  <c r="AB8" i="26"/>
  <c r="AA8" i="26"/>
  <c r="Z8" i="26"/>
  <c r="Y8" i="26"/>
  <c r="X8" i="26"/>
  <c r="W8" i="26"/>
  <c r="V8" i="26"/>
  <c r="U8" i="26"/>
  <c r="T8" i="26"/>
  <c r="S8" i="26"/>
  <c r="P8" i="26"/>
  <c r="O8" i="26"/>
  <c r="N8" i="26"/>
  <c r="M8" i="26"/>
  <c r="L8" i="26"/>
  <c r="K8" i="26"/>
  <c r="J8" i="26"/>
  <c r="I8" i="26"/>
  <c r="H8" i="26"/>
  <c r="G8" i="26"/>
  <c r="F8" i="26"/>
  <c r="E8" i="26"/>
  <c r="D8" i="26"/>
  <c r="C8" i="26"/>
  <c r="H58" i="15"/>
  <c r="H40" i="15"/>
  <c r="J33" i="4"/>
  <c r="J34" i="4"/>
  <c r="J35" i="4"/>
  <c r="J36" i="4"/>
  <c r="J37" i="4"/>
  <c r="J38" i="4"/>
  <c r="J39" i="4"/>
  <c r="J40" i="4"/>
  <c r="J41" i="4"/>
  <c r="J42" i="4"/>
  <c r="J43" i="4"/>
  <c r="J44" i="4"/>
  <c r="J45" i="4"/>
  <c r="J32" i="4"/>
  <c r="J6" i="20"/>
  <c r="B6" i="20"/>
  <c r="C41" i="7"/>
  <c r="C40" i="7"/>
  <c r="C39" i="7"/>
  <c r="C38" i="7"/>
  <c r="C37" i="7"/>
  <c r="C36" i="7"/>
  <c r="C35" i="7"/>
  <c r="C34" i="7"/>
  <c r="C33" i="7"/>
  <c r="C32" i="7"/>
  <c r="C31" i="7"/>
  <c r="C30" i="7"/>
  <c r="C29" i="7"/>
  <c r="C28" i="7"/>
  <c r="C27" i="7"/>
  <c r="C26" i="7"/>
  <c r="C25" i="7"/>
  <c r="C24" i="7"/>
  <c r="C23" i="7"/>
  <c r="C22" i="7"/>
  <c r="C21" i="7"/>
  <c r="C19" i="7"/>
  <c r="C18" i="7"/>
  <c r="H18" i="21" s="1"/>
  <c r="C17" i="7"/>
  <c r="C16" i="7"/>
  <c r="C15" i="7"/>
  <c r="C14" i="7"/>
  <c r="C55" i="7"/>
  <c r="C54" i="7"/>
  <c r="C53" i="7"/>
  <c r="C52" i="7"/>
  <c r="C51" i="7"/>
  <c r="C50" i="7"/>
  <c r="C49" i="7"/>
  <c r="C48" i="7"/>
  <c r="C47" i="7"/>
  <c r="C46" i="7"/>
  <c r="C45" i="7"/>
  <c r="C44" i="7"/>
  <c r="C43" i="7"/>
  <c r="C42" i="7"/>
  <c r="AL127" i="15"/>
  <c r="AE127" i="15"/>
  <c r="X127" i="15"/>
  <c r="Q127" i="15"/>
  <c r="H127" i="15"/>
  <c r="C127" i="15"/>
  <c r="AL126" i="15"/>
  <c r="AE126" i="15"/>
  <c r="X126" i="15"/>
  <c r="Q126" i="15"/>
  <c r="H126" i="15"/>
  <c r="C126" i="15"/>
  <c r="AL125" i="15"/>
  <c r="AE125" i="15"/>
  <c r="X125" i="15"/>
  <c r="Q125" i="15"/>
  <c r="H125" i="15"/>
  <c r="C125" i="15"/>
  <c r="AL124" i="15"/>
  <c r="AE124" i="15"/>
  <c r="X124" i="15"/>
  <c r="Q124" i="15"/>
  <c r="H124" i="15"/>
  <c r="C124" i="15"/>
  <c r="AL123" i="15"/>
  <c r="AE123" i="15"/>
  <c r="X123" i="15"/>
  <c r="Q123" i="15"/>
  <c r="H123" i="15"/>
  <c r="C123" i="15"/>
  <c r="AL122" i="15"/>
  <c r="AE122" i="15"/>
  <c r="X122" i="15"/>
  <c r="Q122" i="15"/>
  <c r="H122" i="15"/>
  <c r="C122" i="15"/>
  <c r="AL121" i="15"/>
  <c r="AE121" i="15"/>
  <c r="X121" i="15"/>
  <c r="Q121" i="15"/>
  <c r="H121" i="15"/>
  <c r="C121" i="15"/>
  <c r="AL120" i="15"/>
  <c r="AE120" i="15"/>
  <c r="X120" i="15"/>
  <c r="Q120" i="15"/>
  <c r="H120" i="15"/>
  <c r="C120" i="15"/>
  <c r="AL119" i="15"/>
  <c r="AE119" i="15"/>
  <c r="X119" i="15"/>
  <c r="Q119" i="15"/>
  <c r="H119" i="15"/>
  <c r="C119" i="15"/>
  <c r="AL118" i="15"/>
  <c r="AE118" i="15"/>
  <c r="X118" i="15"/>
  <c r="Q118" i="15"/>
  <c r="H118" i="15"/>
  <c r="C118" i="15"/>
  <c r="AL116" i="15"/>
  <c r="AE116" i="15"/>
  <c r="X116" i="15"/>
  <c r="Q116" i="15"/>
  <c r="H116" i="15"/>
  <c r="C116" i="15"/>
  <c r="AL115" i="15"/>
  <c r="AE115" i="15"/>
  <c r="X115" i="15"/>
  <c r="Q115" i="15"/>
  <c r="H115" i="15"/>
  <c r="C115" i="15"/>
  <c r="AL114" i="15"/>
  <c r="AE114" i="15"/>
  <c r="X114" i="15"/>
  <c r="Q114" i="15"/>
  <c r="H114" i="15"/>
  <c r="C114" i="15"/>
  <c r="AL113" i="15"/>
  <c r="AE113" i="15"/>
  <c r="X113" i="15"/>
  <c r="Q113" i="15"/>
  <c r="H113" i="15"/>
  <c r="C113" i="15"/>
  <c r="AL79" i="15"/>
  <c r="AE79" i="15"/>
  <c r="X79" i="15"/>
  <c r="Q79" i="15"/>
  <c r="H79" i="15"/>
  <c r="C79" i="15"/>
  <c r="AL78" i="15"/>
  <c r="AE78" i="15"/>
  <c r="X78" i="15"/>
  <c r="Q78" i="15"/>
  <c r="H78" i="15"/>
  <c r="C78" i="15"/>
  <c r="AL77" i="15"/>
  <c r="AE77" i="15"/>
  <c r="X77" i="15"/>
  <c r="Q77" i="15"/>
  <c r="H77" i="15"/>
  <c r="C77" i="15"/>
  <c r="AL76" i="15"/>
  <c r="AE76" i="15"/>
  <c r="X76" i="15"/>
  <c r="Q76" i="15"/>
  <c r="H76" i="15"/>
  <c r="C76" i="15"/>
  <c r="AL75" i="15"/>
  <c r="AE75" i="15"/>
  <c r="X75" i="15"/>
  <c r="Q75" i="15"/>
  <c r="H75" i="15"/>
  <c r="C75" i="15"/>
  <c r="AL74" i="15"/>
  <c r="AE74" i="15"/>
  <c r="X74" i="15"/>
  <c r="Q74" i="15"/>
  <c r="H74" i="15"/>
  <c r="C74" i="15"/>
  <c r="AL73" i="15"/>
  <c r="AE73" i="15"/>
  <c r="X73" i="15"/>
  <c r="Q73" i="15"/>
  <c r="H73" i="15"/>
  <c r="C73" i="15"/>
  <c r="AL72" i="15"/>
  <c r="AE72" i="15"/>
  <c r="X72" i="15"/>
  <c r="Q72" i="15"/>
  <c r="H72" i="15"/>
  <c r="C72" i="15"/>
  <c r="AL71" i="15"/>
  <c r="AE71" i="15"/>
  <c r="X71" i="15"/>
  <c r="Q71" i="15"/>
  <c r="H71" i="15"/>
  <c r="C71" i="15"/>
  <c r="AL70" i="15"/>
  <c r="AE70" i="15"/>
  <c r="X70" i="15"/>
  <c r="Q70" i="15"/>
  <c r="H70" i="15"/>
  <c r="AL68" i="15"/>
  <c r="AE68" i="15"/>
  <c r="X68" i="15"/>
  <c r="Q68" i="15"/>
  <c r="H68" i="15"/>
  <c r="C68" i="15"/>
  <c r="AL67" i="15"/>
  <c r="AE67" i="15"/>
  <c r="X67" i="15"/>
  <c r="Q67" i="15"/>
  <c r="H67" i="15"/>
  <c r="C67" i="15"/>
  <c r="AL66" i="15"/>
  <c r="AE66" i="15"/>
  <c r="X66" i="15"/>
  <c r="Q66" i="15"/>
  <c r="H66" i="15"/>
  <c r="C66" i="15"/>
  <c r="AL65" i="15"/>
  <c r="AE65" i="15"/>
  <c r="X65" i="15"/>
  <c r="Q65" i="15"/>
  <c r="H65" i="15"/>
  <c r="C65" i="15"/>
  <c r="C28" i="15"/>
  <c r="C27" i="15"/>
  <c r="C26" i="15"/>
  <c r="C25" i="15"/>
  <c r="C24" i="15"/>
  <c r="C23" i="15"/>
  <c r="C22" i="15"/>
  <c r="C21" i="15"/>
  <c r="C20" i="15"/>
  <c r="C19" i="15"/>
  <c r="C15" i="15"/>
  <c r="C13" i="15"/>
  <c r="C12" i="15"/>
  <c r="C14" i="15"/>
  <c r="C84" i="11"/>
  <c r="D72" i="11"/>
  <c r="D81" i="11"/>
  <c r="C59" i="11"/>
  <c r="C33" i="11"/>
  <c r="B68" i="11"/>
  <c r="C74" i="11" s="1"/>
  <c r="C83" i="11" s="1"/>
  <c r="B43" i="11"/>
  <c r="C49" i="11" s="1"/>
  <c r="C58" i="11" s="1"/>
  <c r="C22" i="11"/>
  <c r="C31" i="11" s="1"/>
  <c r="B41" i="27"/>
  <c r="B17" i="11"/>
  <c r="C23" i="11" s="1"/>
  <c r="C32" i="11" s="1"/>
  <c r="P14" i="24"/>
  <c r="B8" i="27"/>
  <c r="C45" i="4"/>
  <c r="C44" i="4"/>
  <c r="C43" i="4"/>
  <c r="C42" i="4"/>
  <c r="C41" i="4"/>
  <c r="C40" i="4"/>
  <c r="C39" i="4"/>
  <c r="C38" i="4"/>
  <c r="C37" i="4"/>
  <c r="C36" i="4"/>
  <c r="C34" i="4"/>
  <c r="C33" i="4"/>
  <c r="C32" i="4"/>
  <c r="C35" i="4"/>
  <c r="C215" i="4"/>
  <c r="C214" i="4"/>
  <c r="C213" i="4"/>
  <c r="C212" i="4"/>
  <c r="C211" i="4"/>
  <c r="C210" i="4"/>
  <c r="C209" i="4"/>
  <c r="C208" i="4"/>
  <c r="C207" i="4"/>
  <c r="C206" i="4"/>
  <c r="C205" i="4"/>
  <c r="C204" i="4"/>
  <c r="C203" i="4"/>
  <c r="C202" i="4"/>
  <c r="J80" i="24"/>
  <c r="F84" i="24"/>
  <c r="G84" i="24" s="1"/>
  <c r="E85" i="24"/>
  <c r="F85" i="24" s="1"/>
  <c r="G85" i="24" s="1"/>
  <c r="H85" i="24" s="1"/>
  <c r="I85" i="24" s="1"/>
  <c r="E86" i="24"/>
  <c r="F86" i="24" s="1"/>
  <c r="G86" i="24" s="1"/>
  <c r="H86" i="24" s="1"/>
  <c r="I86" i="24" s="1"/>
  <c r="E87" i="24"/>
  <c r="F87" i="24" s="1"/>
  <c r="G87" i="24" s="1"/>
  <c r="H87" i="24" s="1"/>
  <c r="I87" i="24" s="1"/>
  <c r="E88" i="24"/>
  <c r="F88" i="24" s="1"/>
  <c r="G88" i="24" s="1"/>
  <c r="H88" i="24" s="1"/>
  <c r="I88" i="24" s="1"/>
  <c r="E10" i="24"/>
  <c r="C67" i="24"/>
  <c r="C26" i="24"/>
  <c r="C56" i="3"/>
  <c r="C57" i="3" s="1"/>
  <c r="D56" i="3"/>
  <c r="D57" i="3" s="1"/>
  <c r="E56" i="3"/>
  <c r="E57" i="3" s="1"/>
  <c r="F56" i="3"/>
  <c r="F57" i="3" s="1"/>
  <c r="G56" i="3"/>
  <c r="G57" i="3" s="1"/>
  <c r="B26" i="3"/>
  <c r="P26" i="3" s="1"/>
  <c r="P96" i="3"/>
  <c r="B95" i="3"/>
  <c r="P95" i="3" s="1"/>
  <c r="B94" i="3"/>
  <c r="P94" i="3" s="1"/>
  <c r="B93" i="3"/>
  <c r="P93" i="3" s="1"/>
  <c r="B92" i="3"/>
  <c r="P92" i="3" s="1"/>
  <c r="B91" i="3"/>
  <c r="P91" i="3" s="1"/>
  <c r="B90" i="3"/>
  <c r="P90" i="3" s="1"/>
  <c r="B89" i="3"/>
  <c r="P89" i="3" s="1"/>
  <c r="B88" i="3"/>
  <c r="P88" i="3" s="1"/>
  <c r="B87" i="3"/>
  <c r="P87" i="3" s="1"/>
  <c r="B86" i="3"/>
  <c r="P86" i="3" s="1"/>
  <c r="B85" i="3"/>
  <c r="P85" i="3" s="1"/>
  <c r="B84" i="3"/>
  <c r="P84" i="3" s="1"/>
  <c r="B83" i="3"/>
  <c r="P83" i="3" s="1"/>
  <c r="B82" i="3"/>
  <c r="P82" i="3" s="1"/>
  <c r="P81" i="3"/>
  <c r="P80" i="3"/>
  <c r="P79" i="3"/>
  <c r="P78" i="3"/>
  <c r="P76" i="3"/>
  <c r="B75" i="3"/>
  <c r="P75" i="3" s="1"/>
  <c r="B74" i="3"/>
  <c r="P74" i="3" s="1"/>
  <c r="B73" i="3"/>
  <c r="P73" i="3" s="1"/>
  <c r="B72" i="3"/>
  <c r="P72" i="3" s="1"/>
  <c r="B71" i="3"/>
  <c r="P71" i="3" s="1"/>
  <c r="B70" i="3"/>
  <c r="P70" i="3" s="1"/>
  <c r="B69" i="3"/>
  <c r="P69" i="3" s="1"/>
  <c r="B68" i="3"/>
  <c r="P68" i="3" s="1"/>
  <c r="B67" i="3"/>
  <c r="P67" i="3" s="1"/>
  <c r="B66" i="3"/>
  <c r="P66" i="3" s="1"/>
  <c r="B65" i="3"/>
  <c r="P65" i="3" s="1"/>
  <c r="B64" i="3"/>
  <c r="P64" i="3" s="1"/>
  <c r="B63" i="3"/>
  <c r="P63" i="3" s="1"/>
  <c r="B62" i="3"/>
  <c r="P62" i="3" s="1"/>
  <c r="P61" i="3"/>
  <c r="P60" i="3"/>
  <c r="P59" i="3"/>
  <c r="P57" i="3"/>
  <c r="P56" i="3"/>
  <c r="B55" i="3"/>
  <c r="P55" i="3" s="1"/>
  <c r="B54" i="3"/>
  <c r="P54" i="3" s="1"/>
  <c r="B53" i="3"/>
  <c r="P53" i="3" s="1"/>
  <c r="B52" i="3"/>
  <c r="P52" i="3" s="1"/>
  <c r="B51" i="3"/>
  <c r="P51" i="3" s="1"/>
  <c r="B50" i="3"/>
  <c r="P50" i="3" s="1"/>
  <c r="B49" i="3"/>
  <c r="P49" i="3" s="1"/>
  <c r="B48" i="3"/>
  <c r="P48" i="3" s="1"/>
  <c r="B47" i="3"/>
  <c r="P47" i="3" s="1"/>
  <c r="B46" i="3"/>
  <c r="P46" i="3" s="1"/>
  <c r="B45" i="3"/>
  <c r="P45" i="3" s="1"/>
  <c r="B44" i="3"/>
  <c r="P44" i="3" s="1"/>
  <c r="B43" i="3"/>
  <c r="P43" i="3" s="1"/>
  <c r="B42" i="3"/>
  <c r="P42" i="3" s="1"/>
  <c r="P41" i="3"/>
  <c r="P40" i="3"/>
  <c r="P39" i="3"/>
  <c r="P37" i="3"/>
  <c r="P36" i="3"/>
  <c r="B35" i="3"/>
  <c r="P35" i="3" s="1"/>
  <c r="B34" i="3"/>
  <c r="P34" i="3" s="1"/>
  <c r="B33" i="3"/>
  <c r="P33" i="3" s="1"/>
  <c r="B32" i="3"/>
  <c r="P32" i="3" s="1"/>
  <c r="B31" i="3"/>
  <c r="P31" i="3" s="1"/>
  <c r="B30" i="3"/>
  <c r="P30" i="3" s="1"/>
  <c r="B29" i="3"/>
  <c r="P29" i="3" s="1"/>
  <c r="B28" i="3"/>
  <c r="P28" i="3" s="1"/>
  <c r="B27" i="3"/>
  <c r="P27" i="3" s="1"/>
  <c r="B25" i="3"/>
  <c r="P25" i="3" s="1"/>
  <c r="B24" i="3"/>
  <c r="P24" i="3" s="1"/>
  <c r="B23" i="3"/>
  <c r="P23" i="3" s="1"/>
  <c r="B22" i="3"/>
  <c r="P22" i="3" s="1"/>
  <c r="T67" i="15" l="1"/>
  <c r="R67" i="15"/>
  <c r="S68" i="15"/>
  <c r="R68" i="15"/>
  <c r="S67" i="15"/>
  <c r="U67" i="15"/>
  <c r="S19" i="9" s="1"/>
  <c r="U68" i="15"/>
  <c r="AA19" i="9" s="1"/>
  <c r="T68" i="15"/>
  <c r="AI66" i="15"/>
  <c r="AI65" i="15"/>
  <c r="AF65" i="15"/>
  <c r="AO65" i="15"/>
  <c r="AN65" i="15"/>
  <c r="AM65" i="15"/>
  <c r="AG65" i="15"/>
  <c r="AH65" i="15"/>
  <c r="AP65" i="15"/>
  <c r="H84" i="24"/>
  <c r="I84" i="24" s="1"/>
  <c r="F32" i="4"/>
  <c r="F42" i="7" s="1"/>
  <c r="W42" i="7" s="1"/>
  <c r="F33" i="4"/>
  <c r="F43" i="7" s="1"/>
  <c r="W43" i="7" s="1"/>
  <c r="D43" i="4"/>
  <c r="F25" i="7" s="1"/>
  <c r="W25" i="7" s="1"/>
  <c r="F43" i="4"/>
  <c r="F53" i="7" s="1"/>
  <c r="W53" i="7" s="1"/>
  <c r="F44" i="4"/>
  <c r="F54" i="7" s="1"/>
  <c r="W54" i="7" s="1"/>
  <c r="D44" i="4"/>
  <c r="F26" i="7" s="1"/>
  <c r="W26" i="7" s="1"/>
  <c r="F39" i="4"/>
  <c r="F49" i="7" s="1"/>
  <c r="W49" i="7" s="1"/>
  <c r="D39" i="4"/>
  <c r="F21" i="7" s="1"/>
  <c r="W21" i="7" s="1"/>
  <c r="D40" i="4"/>
  <c r="F22" i="7" s="1"/>
  <c r="W22" i="7" s="1"/>
  <c r="F40" i="4"/>
  <c r="F50" i="7" s="1"/>
  <c r="W50" i="7" s="1"/>
  <c r="F45" i="4"/>
  <c r="F55" i="7" s="1"/>
  <c r="W55" i="7" s="1"/>
  <c r="E45" i="4"/>
  <c r="F41" i="7" s="1"/>
  <c r="W41" i="7" s="1"/>
  <c r="D45" i="4"/>
  <c r="F27" i="7" s="1"/>
  <c r="W27" i="7" s="1"/>
  <c r="D38" i="4"/>
  <c r="F20" i="7" s="1"/>
  <c r="W20" i="7" s="1"/>
  <c r="F38" i="4"/>
  <c r="F48" i="7" s="1"/>
  <c r="W48" i="7" s="1"/>
  <c r="F41" i="4"/>
  <c r="F51" i="7" s="1"/>
  <c r="W51" i="7" s="1"/>
  <c r="D41" i="4"/>
  <c r="F23" i="7" s="1"/>
  <c r="W23" i="7" s="1"/>
  <c r="D37" i="4"/>
  <c r="F19" i="7" s="1"/>
  <c r="W19" i="7" s="1"/>
  <c r="F37" i="4"/>
  <c r="F47" i="7" s="1"/>
  <c r="W47" i="7" s="1"/>
  <c r="F42" i="4"/>
  <c r="F52" i="7" s="1"/>
  <c r="W52" i="7" s="1"/>
  <c r="D42" i="4"/>
  <c r="F24" i="7" s="1"/>
  <c r="W24" i="7" s="1"/>
  <c r="F36" i="4"/>
  <c r="F46" i="7" s="1"/>
  <c r="W46" i="7" s="1"/>
  <c r="F34" i="4"/>
  <c r="F44" i="7" s="1"/>
  <c r="W44" i="7" s="1"/>
  <c r="D34" i="4"/>
  <c r="F16" i="7" s="1"/>
  <c r="F35" i="4"/>
  <c r="F45" i="7" s="1"/>
  <c r="W45" i="7" s="1"/>
  <c r="D35" i="4"/>
  <c r="F17" i="7" s="1"/>
  <c r="W17" i="7" s="1"/>
  <c r="H111" i="15"/>
  <c r="H117" i="15" s="1"/>
  <c r="C111" i="15"/>
  <c r="H63" i="15"/>
  <c r="H69" i="15" s="1"/>
  <c r="C117" i="15"/>
  <c r="C73" i="11"/>
  <c r="C82" i="11" s="1"/>
  <c r="J86" i="24"/>
  <c r="J88" i="24"/>
  <c r="J87" i="24"/>
  <c r="J85" i="24"/>
  <c r="C48" i="11"/>
  <c r="C57" i="11" s="1"/>
  <c r="R5" i="5"/>
  <c r="E8" i="5" s="1"/>
  <c r="W16" i="7" l="1"/>
  <c r="V16" i="7"/>
  <c r="E26" i="7"/>
  <c r="V26" i="7"/>
  <c r="V54" i="7"/>
  <c r="E54" i="7" s="1"/>
  <c r="V20" i="7"/>
  <c r="E20" i="7" s="1"/>
  <c r="E52" i="7"/>
  <c r="V52" i="7"/>
  <c r="V47" i="7"/>
  <c r="E47" i="7" s="1"/>
  <c r="V55" i="7"/>
  <c r="E55" i="7" s="1"/>
  <c r="V25" i="7"/>
  <c r="E25" i="7" s="1"/>
  <c r="V27" i="7"/>
  <c r="E27" i="7" s="1"/>
  <c r="V50" i="7"/>
  <c r="E50" i="7" s="1"/>
  <c r="V43" i="7"/>
  <c r="E43" i="7" s="1"/>
  <c r="E53" i="7"/>
  <c r="V53" i="7"/>
  <c r="E45" i="7"/>
  <c r="V45" i="7"/>
  <c r="V23" i="7"/>
  <c r="E23" i="7" s="1"/>
  <c r="V22" i="7"/>
  <c r="E22" i="7" s="1"/>
  <c r="E42" i="7"/>
  <c r="V42" i="7"/>
  <c r="E41" i="7"/>
  <c r="V41" i="7"/>
  <c r="V17" i="7"/>
  <c r="I17" i="7" s="1"/>
  <c r="E16" i="7"/>
  <c r="E51" i="7"/>
  <c r="V51" i="7"/>
  <c r="V21" i="7"/>
  <c r="E21" i="7" s="1"/>
  <c r="E46" i="7"/>
  <c r="V46" i="7"/>
  <c r="V24" i="7"/>
  <c r="E24" i="7" s="1"/>
  <c r="E19" i="7"/>
  <c r="V19" i="7"/>
  <c r="V44" i="7"/>
  <c r="E44" i="7" s="1"/>
  <c r="V48" i="7"/>
  <c r="E48" i="7" s="1"/>
  <c r="E49" i="7"/>
  <c r="V49" i="7"/>
  <c r="J84" i="24"/>
  <c r="AA16" i="9"/>
  <c r="AB16" i="9"/>
  <c r="AB10" i="9"/>
  <c r="AA10" i="9"/>
  <c r="AD10" i="9"/>
  <c r="AC10" i="9"/>
  <c r="AA13" i="9"/>
  <c r="AB13" i="9"/>
  <c r="AC13" i="9"/>
  <c r="U10" i="9"/>
  <c r="S10" i="9"/>
  <c r="T10" i="9"/>
  <c r="V10" i="9"/>
  <c r="U13" i="9"/>
  <c r="S13" i="9"/>
  <c r="T13" i="9"/>
  <c r="S16" i="9"/>
  <c r="T16" i="9"/>
  <c r="E119" i="21"/>
  <c r="E118" i="21"/>
  <c r="E122" i="21"/>
  <c r="E121" i="21"/>
  <c r="E71" i="21"/>
  <c r="E72" i="21"/>
  <c r="E73" i="21"/>
  <c r="E74" i="21"/>
  <c r="E104" i="21"/>
  <c r="E75" i="21"/>
  <c r="E76" i="21"/>
  <c r="E123" i="21"/>
  <c r="E103" i="21"/>
  <c r="E77" i="21"/>
  <c r="E78" i="21"/>
  <c r="E79" i="21"/>
  <c r="E120" i="21"/>
  <c r="E80" i="21"/>
  <c r="E81" i="21"/>
  <c r="E82" i="21"/>
  <c r="E83" i="21"/>
  <c r="E84" i="21"/>
  <c r="E111" i="21"/>
  <c r="E87" i="21"/>
  <c r="E89" i="21"/>
  <c r="E91" i="21"/>
  <c r="E112" i="21"/>
  <c r="E93" i="21"/>
  <c r="E88" i="21"/>
  <c r="E95" i="21"/>
  <c r="E90" i="21"/>
  <c r="E98" i="21"/>
  <c r="E92" i="21"/>
  <c r="E99" i="21"/>
  <c r="E94" i="21"/>
  <c r="E102" i="21"/>
  <c r="E96" i="21"/>
  <c r="E85" i="21"/>
  <c r="E97" i="21"/>
  <c r="E86" i="21"/>
  <c r="E100" i="21"/>
  <c r="E115" i="21"/>
  <c r="E101" i="21"/>
  <c r="E117" i="21"/>
  <c r="E114" i="21"/>
  <c r="E116" i="21"/>
  <c r="E107" i="21"/>
  <c r="E109" i="21"/>
  <c r="E113" i="21"/>
  <c r="E110" i="21"/>
  <c r="E106" i="21"/>
  <c r="E108" i="21"/>
  <c r="E105" i="21"/>
  <c r="E124" i="21"/>
  <c r="E125" i="21"/>
  <c r="E126" i="21"/>
  <c r="E127" i="21"/>
  <c r="E128" i="21"/>
  <c r="E129" i="21"/>
  <c r="K119" i="21"/>
  <c r="K118" i="21"/>
  <c r="K122" i="21"/>
  <c r="K121" i="21"/>
  <c r="K71" i="21"/>
  <c r="K72" i="21"/>
  <c r="K73" i="21"/>
  <c r="K74" i="21"/>
  <c r="K104" i="21"/>
  <c r="K116" i="21"/>
  <c r="K113" i="21"/>
  <c r="K105" i="21"/>
  <c r="K112" i="21"/>
  <c r="K90" i="21"/>
  <c r="K93" i="21"/>
  <c r="K94" i="21"/>
  <c r="K96" i="21"/>
  <c r="K100" i="21"/>
  <c r="K75" i="21"/>
  <c r="K76" i="21"/>
  <c r="K123" i="21"/>
  <c r="K103" i="21"/>
  <c r="K77" i="21"/>
  <c r="K114" i="21"/>
  <c r="K78" i="21"/>
  <c r="K109" i="21"/>
  <c r="K107" i="21"/>
  <c r="K79" i="21"/>
  <c r="K106" i="21"/>
  <c r="K110" i="21"/>
  <c r="K120" i="21"/>
  <c r="K111" i="21"/>
  <c r="K108" i="21"/>
  <c r="K80" i="21"/>
  <c r="K89" i="21"/>
  <c r="K87" i="21"/>
  <c r="K81" i="21"/>
  <c r="K92" i="21"/>
  <c r="K88" i="21"/>
  <c r="K82" i="21"/>
  <c r="K95" i="21"/>
  <c r="K91" i="21"/>
  <c r="K83" i="21"/>
  <c r="K98" i="21"/>
  <c r="K97" i="21"/>
  <c r="K84" i="21"/>
  <c r="K102" i="21"/>
  <c r="K99" i="21"/>
  <c r="K85" i="21"/>
  <c r="K86" i="21"/>
  <c r="K115" i="21"/>
  <c r="K117" i="21"/>
  <c r="K101" i="21"/>
  <c r="K124" i="21"/>
  <c r="K125" i="21"/>
  <c r="K126" i="21"/>
  <c r="K127" i="21"/>
  <c r="K128" i="21"/>
  <c r="K129" i="21"/>
  <c r="E17" i="7" l="1"/>
  <c r="I21" i="7"/>
  <c r="I23" i="7"/>
  <c r="I48" i="7"/>
  <c r="I54" i="7"/>
  <c r="I44" i="7"/>
  <c r="I27" i="7"/>
  <c r="I20" i="7"/>
  <c r="I52" i="7"/>
  <c r="I50" i="7"/>
  <c r="I25" i="7"/>
  <c r="I51" i="7"/>
  <c r="I49" i="7"/>
  <c r="I53" i="7"/>
  <c r="I45" i="7"/>
  <c r="I16" i="7"/>
  <c r="I46" i="7"/>
  <c r="I19" i="7"/>
  <c r="I47" i="7"/>
  <c r="I41" i="7"/>
  <c r="I43" i="7"/>
  <c r="I55" i="7"/>
  <c r="I26" i="7"/>
  <c r="I42" i="7"/>
  <c r="I22" i="7"/>
  <c r="I24" i="7"/>
  <c r="AX109" i="26"/>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X120" i="26"/>
  <c r="AW130" i="26"/>
  <c r="AX134" i="26"/>
  <c r="AW136" i="26"/>
  <c r="AX136" i="26"/>
  <c r="AX138" i="26"/>
  <c r="AX141" i="26"/>
  <c r="AX142" i="26"/>
  <c r="AX143" i="26"/>
  <c r="AW144" i="26"/>
  <c r="AX144" i="26"/>
  <c r="AX148" i="26"/>
  <c r="AX149" i="26"/>
  <c r="AX150" i="26"/>
  <c r="AX151" i="26"/>
  <c r="AX156" i="26"/>
  <c r="AX157" i="26"/>
  <c r="AK109" i="26"/>
  <c r="AK121" i="26" s="1"/>
  <c r="AX110" i="26"/>
  <c r="N21" i="7" l="1"/>
  <c r="M21" i="7"/>
  <c r="N53" i="7"/>
  <c r="M53" i="7"/>
  <c r="N17" i="7"/>
  <c r="M17" i="7"/>
  <c r="N16" i="7"/>
  <c r="M16" i="7"/>
  <c r="N44" i="7"/>
  <c r="M44" i="7"/>
  <c r="N45" i="7"/>
  <c r="M45" i="7"/>
  <c r="N50" i="7"/>
  <c r="M50" i="7"/>
  <c r="N19" i="7"/>
  <c r="M19" i="7"/>
  <c r="N22" i="7"/>
  <c r="M22" i="7"/>
  <c r="N43" i="7"/>
  <c r="M43" i="7"/>
  <c r="N20" i="7"/>
  <c r="M20" i="7"/>
  <c r="N55" i="7"/>
  <c r="M55" i="7"/>
  <c r="N54" i="7"/>
  <c r="M54" i="7"/>
  <c r="N48" i="7"/>
  <c r="M48" i="7"/>
  <c r="N41" i="7"/>
  <c r="M41" i="7"/>
  <c r="N51" i="7"/>
  <c r="M51" i="7"/>
  <c r="N25" i="7"/>
  <c r="M25" i="7"/>
  <c r="N26" i="7"/>
  <c r="M26" i="7"/>
  <c r="N42" i="7"/>
  <c r="M42" i="7"/>
  <c r="N27" i="7"/>
  <c r="M27" i="7"/>
  <c r="N52" i="7"/>
  <c r="M52" i="7"/>
  <c r="N46" i="7"/>
  <c r="M46" i="7"/>
  <c r="N49" i="7"/>
  <c r="M49" i="7"/>
  <c r="N47" i="7"/>
  <c r="M47" i="7"/>
  <c r="N24" i="7"/>
  <c r="M24" i="7"/>
  <c r="N23" i="7"/>
  <c r="M23" i="7"/>
  <c r="AW110" i="26"/>
  <c r="AW137" i="26"/>
  <c r="AW112" i="26"/>
  <c r="AW125" i="26"/>
  <c r="AW150" i="26"/>
  <c r="AW117" i="26"/>
  <c r="AW126" i="26"/>
  <c r="AX155" i="26"/>
  <c r="AX147" i="26"/>
  <c r="AW141" i="26"/>
  <c r="AX132" i="26"/>
  <c r="AX116" i="26"/>
  <c r="AW155" i="26"/>
  <c r="AW147" i="26"/>
  <c r="AX140" i="26"/>
  <c r="AW132" i="26"/>
  <c r="AW116" i="26"/>
  <c r="AX154" i="26"/>
  <c r="AX146" i="26"/>
  <c r="AW140" i="26"/>
  <c r="AX130" i="26"/>
  <c r="AX114" i="26"/>
  <c r="AR153" i="26"/>
  <c r="AR140" i="26"/>
  <c r="AU127" i="26"/>
  <c r="AS110" i="26"/>
  <c r="AU143" i="26"/>
  <c r="AV130" i="26"/>
  <c r="AW156" i="26"/>
  <c r="AW142" i="26"/>
  <c r="AX158" i="26"/>
  <c r="AV156" i="26"/>
  <c r="AX152" i="26"/>
  <c r="AW149" i="26"/>
  <c r="AV146" i="26"/>
  <c r="AP142" i="26"/>
  <c r="AX139" i="26"/>
  <c r="AW134" i="26"/>
  <c r="AV128" i="26"/>
  <c r="AW120" i="26"/>
  <c r="AW113" i="26"/>
  <c r="AV148" i="26"/>
  <c r="AV151" i="26"/>
  <c r="AT117" i="26"/>
  <c r="AU157" i="26"/>
  <c r="AV124" i="26"/>
  <c r="AW153" i="26"/>
  <c r="AV150" i="26"/>
  <c r="AW129" i="26"/>
  <c r="AW158" i="26"/>
  <c r="AW152" i="26"/>
  <c r="AW145" i="26"/>
  <c r="AW139" i="26"/>
  <c r="AW127" i="26"/>
  <c r="AW119" i="26"/>
  <c r="AX112" i="26"/>
  <c r="AV158" i="26"/>
  <c r="AV155" i="26"/>
  <c r="AV157" i="26"/>
  <c r="AS154" i="26"/>
  <c r="AV147" i="26"/>
  <c r="AV140" i="26"/>
  <c r="AT140" i="26"/>
  <c r="AW135" i="26"/>
  <c r="AW123" i="26"/>
  <c r="AW146" i="26"/>
  <c r="AW128" i="26"/>
  <c r="AW114" i="26"/>
  <c r="AQ147" i="26"/>
  <c r="AR157" i="26"/>
  <c r="AV136" i="26"/>
  <c r="AV131" i="26"/>
  <c r="AV123" i="26"/>
  <c r="AV117" i="26"/>
  <c r="AQ128" i="26"/>
  <c r="AV154" i="26"/>
  <c r="AV152" i="26"/>
  <c r="AV149" i="26"/>
  <c r="AV143" i="26"/>
  <c r="AV139" i="26"/>
  <c r="AR136" i="26"/>
  <c r="AV127" i="26"/>
  <c r="AV121" i="26"/>
  <c r="AQ121" i="26"/>
  <c r="AU158" i="26"/>
  <c r="AQ156" i="26"/>
  <c r="AV153" i="26"/>
  <c r="AV145" i="26"/>
  <c r="AU140" i="26"/>
  <c r="AV137" i="26"/>
  <c r="AV110" i="26"/>
  <c r="AU153" i="26"/>
  <c r="AU145" i="26"/>
  <c r="AV142" i="26"/>
  <c r="AU137" i="26"/>
  <c r="AV134" i="26"/>
  <c r="AV125" i="26"/>
  <c r="AV120" i="26"/>
  <c r="AQ113" i="26"/>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S137" i="26"/>
  <c r="AS114" i="26"/>
  <c r="AW111" i="26"/>
  <c r="AV113" i="26"/>
  <c r="AV144" i="26"/>
  <c r="AV141" i="26"/>
  <c r="AV135" i="26"/>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X145" i="26"/>
  <c r="AX122" i="26"/>
  <c r="AX118" i="26"/>
  <c r="AW148" i="26"/>
  <c r="AW133" i="26"/>
  <c r="AW124" i="26"/>
  <c r="AW138" i="26"/>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X131" i="26"/>
  <c r="AP129" i="26"/>
  <c r="AX127" i="26"/>
  <c r="AP125" i="26"/>
  <c r="AX123" i="26"/>
  <c r="AP121" i="26"/>
  <c r="AX119" i="26"/>
  <c r="AP117" i="26"/>
  <c r="AX115" i="26"/>
  <c r="AP113" i="26"/>
  <c r="AX111" i="26"/>
  <c r="AO117" i="26"/>
  <c r="AW115" i="26"/>
  <c r="AV115" i="26"/>
  <c r="AV111" i="26"/>
  <c r="AU115" i="26"/>
  <c r="AV116" i="26"/>
  <c r="AX137" i="26"/>
  <c r="AX133" i="26"/>
  <c r="AP131" i="26"/>
  <c r="AX129" i="26"/>
  <c r="AP127" i="26"/>
  <c r="AX125" i="26"/>
  <c r="AP123" i="26"/>
  <c r="AX121" i="26"/>
  <c r="AP119" i="26"/>
  <c r="AX117" i="26"/>
  <c r="AP115" i="26"/>
  <c r="I79" i="4"/>
  <c r="E39" i="4" s="1"/>
  <c r="F35" i="7" s="1"/>
  <c r="W35" i="7" s="1"/>
  <c r="V35" i="7" l="1"/>
  <c r="E35" i="7" s="1"/>
  <c r="G49" i="7"/>
  <c r="G42" i="7"/>
  <c r="G41" i="7"/>
  <c r="G20" i="7"/>
  <c r="G50" i="7"/>
  <c r="G17" i="7"/>
  <c r="G24" i="7"/>
  <c r="G52" i="7"/>
  <c r="G25" i="7"/>
  <c r="G54" i="7"/>
  <c r="G22" i="7"/>
  <c r="G44" i="7"/>
  <c r="G21" i="7"/>
  <c r="G47" i="7"/>
  <c r="G27" i="7"/>
  <c r="G51" i="7"/>
  <c r="G55" i="7"/>
  <c r="G19" i="7"/>
  <c r="G23" i="7"/>
  <c r="G46" i="7"/>
  <c r="G26" i="7"/>
  <c r="G48" i="7"/>
  <c r="G43" i="7"/>
  <c r="G45" i="7"/>
  <c r="G53" i="7"/>
  <c r="G16" i="7"/>
  <c r="AB127" i="15"/>
  <c r="AB125" i="15"/>
  <c r="AA126" i="15"/>
  <c r="AA127" i="15"/>
  <c r="Y126" i="15"/>
  <c r="AB126" i="15"/>
  <c r="AB122" i="15"/>
  <c r="Y125" i="15"/>
  <c r="AA125" i="15"/>
  <c r="AA121" i="15"/>
  <c r="Y122" i="15"/>
  <c r="AA113" i="15"/>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D96" i="3"/>
  <c r="D97" i="3" s="1"/>
  <c r="E96" i="3"/>
  <c r="E97" i="3" s="1"/>
  <c r="F96" i="3"/>
  <c r="F97" i="3" s="1"/>
  <c r="G96" i="3"/>
  <c r="G97" i="3" s="1"/>
  <c r="C96" i="3"/>
  <c r="C97" i="3" s="1"/>
  <c r="D76" i="3"/>
  <c r="D77" i="3" s="1"/>
  <c r="E76" i="3"/>
  <c r="E77" i="3" s="1"/>
  <c r="F76" i="3"/>
  <c r="F77" i="3" s="1"/>
  <c r="G76" i="3"/>
  <c r="G77" i="3" s="1"/>
  <c r="C76" i="3"/>
  <c r="C77" i="3" s="1"/>
  <c r="D36" i="3"/>
  <c r="D37" i="3" s="1"/>
  <c r="E36" i="3"/>
  <c r="E37" i="3" s="1"/>
  <c r="F36" i="3"/>
  <c r="F37" i="3" s="1"/>
  <c r="G36" i="3"/>
  <c r="G37" i="3" s="1"/>
  <c r="C36" i="3"/>
  <c r="C37" i="3" s="1"/>
  <c r="I35" i="7" l="1"/>
  <c r="AI120" i="15"/>
  <c r="AH122" i="15"/>
  <c r="AG124" i="15"/>
  <c r="AI116" i="15"/>
  <c r="AG116" i="15"/>
  <c r="AF123" i="15"/>
  <c r="R123" i="15" s="1"/>
  <c r="AF113" i="15"/>
  <c r="R113" i="15" s="1"/>
  <c r="AH126" i="15"/>
  <c r="AF119" i="15"/>
  <c r="AG127" i="15"/>
  <c r="AI127" i="15"/>
  <c r="AI119" i="15"/>
  <c r="AH121" i="15"/>
  <c r="AG123" i="15"/>
  <c r="AI114" i="15"/>
  <c r="AG115" i="15"/>
  <c r="AF122" i="15"/>
  <c r="AI118" i="15"/>
  <c r="AG122" i="15"/>
  <c r="AI115" i="15"/>
  <c r="AF121" i="15"/>
  <c r="AG120" i="15"/>
  <c r="S120" i="15" s="1"/>
  <c r="AH125" i="15"/>
  <c r="AI126" i="15"/>
  <c r="AH120" i="15"/>
  <c r="AG114" i="15"/>
  <c r="AF127" i="15"/>
  <c r="AG119" i="15"/>
  <c r="AI125" i="15"/>
  <c r="AH127" i="15"/>
  <c r="AH119" i="15"/>
  <c r="AG121" i="15"/>
  <c r="AI113" i="15"/>
  <c r="AG113" i="15"/>
  <c r="AF120" i="15"/>
  <c r="AH118" i="15"/>
  <c r="AH115" i="15"/>
  <c r="AI122" i="15"/>
  <c r="U122" i="15" s="1"/>
  <c r="BO18" i="9" s="1"/>
  <c r="AH124" i="15"/>
  <c r="AG126" i="15"/>
  <c r="AG118" i="15"/>
  <c r="AH114" i="15"/>
  <c r="AF125" i="15"/>
  <c r="AF115" i="15"/>
  <c r="AH123" i="15"/>
  <c r="T123" i="15" s="1"/>
  <c r="AF124" i="15"/>
  <c r="AH116" i="15"/>
  <c r="AI123" i="15"/>
  <c r="AF126" i="15"/>
  <c r="AF116" i="15"/>
  <c r="AI121" i="15"/>
  <c r="AG125" i="15"/>
  <c r="AH113" i="15"/>
  <c r="T113" i="15" s="1"/>
  <c r="AF114" i="15"/>
  <c r="R114" i="15" s="1"/>
  <c r="AI124" i="15"/>
  <c r="U124" i="15" s="1"/>
  <c r="CE18" i="9" s="1"/>
  <c r="AO127" i="15"/>
  <c r="AO123" i="15"/>
  <c r="AO119" i="15"/>
  <c r="AO114" i="15"/>
  <c r="AN127" i="15"/>
  <c r="AN123" i="15"/>
  <c r="AN119" i="15"/>
  <c r="S119" i="15" s="1"/>
  <c r="AN114" i="15"/>
  <c r="AM127" i="15"/>
  <c r="AM123" i="15"/>
  <c r="AM119" i="15"/>
  <c r="R119" i="15" s="1"/>
  <c r="AM114" i="15"/>
  <c r="AP126" i="15"/>
  <c r="AP122" i="15"/>
  <c r="AP118" i="15"/>
  <c r="U118" i="15" s="1"/>
  <c r="AI18" i="9" s="1"/>
  <c r="AP113" i="15"/>
  <c r="AO126" i="15"/>
  <c r="AO122" i="15"/>
  <c r="AO118" i="15"/>
  <c r="AO113" i="15"/>
  <c r="AN126" i="15"/>
  <c r="AN122" i="15"/>
  <c r="S122" i="15" s="1"/>
  <c r="AN118" i="15"/>
  <c r="S118" i="15" s="1"/>
  <c r="AN113" i="15"/>
  <c r="AM126" i="15"/>
  <c r="R126" i="15" s="1"/>
  <c r="AM122" i="15"/>
  <c r="R122" i="15" s="1"/>
  <c r="AM118" i="15"/>
  <c r="R118" i="15" s="1"/>
  <c r="AM113" i="15"/>
  <c r="AP125" i="15"/>
  <c r="AP121" i="15"/>
  <c r="AP116" i="15"/>
  <c r="U116" i="15" s="1"/>
  <c r="AA18" i="9" s="1"/>
  <c r="AO125" i="15"/>
  <c r="AO121" i="15"/>
  <c r="AO116" i="15"/>
  <c r="T116" i="15" s="1"/>
  <c r="AN125" i="15"/>
  <c r="AN121" i="15"/>
  <c r="AN116" i="15"/>
  <c r="S116" i="15" s="1"/>
  <c r="AP119" i="15"/>
  <c r="AM125" i="15"/>
  <c r="R125" i="15" s="1"/>
  <c r="AM121" i="15"/>
  <c r="R121" i="15" s="1"/>
  <c r="AM116" i="15"/>
  <c r="R116" i="15" s="1"/>
  <c r="AP124" i="15"/>
  <c r="AP120" i="15"/>
  <c r="U120" i="15" s="1"/>
  <c r="AY18" i="9" s="1"/>
  <c r="AP115" i="15"/>
  <c r="U115" i="15" s="1"/>
  <c r="S18" i="9" s="1"/>
  <c r="S127" i="15"/>
  <c r="AO124" i="15"/>
  <c r="AO120" i="15"/>
  <c r="T120" i="15" s="1"/>
  <c r="AO115" i="15"/>
  <c r="T115" i="15" s="1"/>
  <c r="AP123" i="15"/>
  <c r="AN124" i="15"/>
  <c r="AN120" i="15"/>
  <c r="AN115" i="15"/>
  <c r="S115" i="15" s="1"/>
  <c r="AP127" i="15"/>
  <c r="AM124" i="15"/>
  <c r="AM120" i="15"/>
  <c r="R120" i="15" s="1"/>
  <c r="AM115" i="15"/>
  <c r="R115" i="15" s="1"/>
  <c r="AP114" i="15"/>
  <c r="N35" i="7" l="1"/>
  <c r="M35" i="7"/>
  <c r="T15" i="9"/>
  <c r="S15" i="9"/>
  <c r="AC12" i="9"/>
  <c r="AB12" i="9"/>
  <c r="AA12" i="9"/>
  <c r="U9" i="9"/>
  <c r="S9" i="9"/>
  <c r="V9" i="9"/>
  <c r="T9" i="9"/>
  <c r="U114" i="15"/>
  <c r="T114" i="15"/>
  <c r="S113" i="15"/>
  <c r="S114" i="15"/>
  <c r="S12" i="9"/>
  <c r="U12" i="9"/>
  <c r="T12" i="9"/>
  <c r="AB15" i="9"/>
  <c r="AA15" i="9"/>
  <c r="U113" i="15"/>
  <c r="AC9" i="9"/>
  <c r="AB9" i="9"/>
  <c r="AA9" i="9"/>
  <c r="AD9" i="9"/>
  <c r="AZ12" i="9"/>
  <c r="AY12" i="9"/>
  <c r="BA12" i="9"/>
  <c r="BQ12" i="9"/>
  <c r="BP12" i="9"/>
  <c r="BO12" i="9"/>
  <c r="DE12" i="9"/>
  <c r="DD12" i="9"/>
  <c r="DC12" i="9"/>
  <c r="CV9" i="9"/>
  <c r="CU9" i="9"/>
  <c r="CX9" i="9"/>
  <c r="CW9" i="9"/>
  <c r="BI9" i="9"/>
  <c r="BH9" i="9"/>
  <c r="BG9" i="9"/>
  <c r="BJ9" i="9"/>
  <c r="AY9" i="9"/>
  <c r="BB9" i="9"/>
  <c r="BA9" i="9"/>
  <c r="AZ9" i="9"/>
  <c r="BY9" i="9"/>
  <c r="BX9" i="9"/>
  <c r="BW9" i="9"/>
  <c r="BZ9" i="9"/>
  <c r="BX15" i="9"/>
  <c r="BW15" i="9"/>
  <c r="AZ15" i="9"/>
  <c r="AY15" i="9"/>
  <c r="CO9" i="9"/>
  <c r="CN9" i="9"/>
  <c r="CM9" i="9"/>
  <c r="CP9" i="9"/>
  <c r="BO9" i="9"/>
  <c r="BQ9" i="9"/>
  <c r="BP9" i="9"/>
  <c r="BR9" i="9"/>
  <c r="AS12" i="9"/>
  <c r="AR12" i="9"/>
  <c r="AQ12" i="9"/>
  <c r="AI9" i="9"/>
  <c r="AI12" i="9"/>
  <c r="AS9" i="9"/>
  <c r="AR9" i="9"/>
  <c r="AQ9" i="9"/>
  <c r="AT9" i="9"/>
  <c r="K9" i="9"/>
  <c r="S126" i="15"/>
  <c r="S121" i="15"/>
  <c r="U126" i="15"/>
  <c r="CU18" i="9" s="1"/>
  <c r="S123" i="15"/>
  <c r="T124" i="15"/>
  <c r="U123" i="15"/>
  <c r="BW18" i="9" s="1"/>
  <c r="T121" i="15"/>
  <c r="S124" i="15"/>
  <c r="S125" i="15"/>
  <c r="T125" i="15"/>
  <c r="T127" i="15"/>
  <c r="U125" i="15"/>
  <c r="CM18" i="9" s="1"/>
  <c r="U121" i="15"/>
  <c r="BG18" i="9" s="1"/>
  <c r="U127" i="15"/>
  <c r="DC18" i="9" s="1"/>
  <c r="T122" i="15"/>
  <c r="T126" i="15"/>
  <c r="R127" i="15"/>
  <c r="R124" i="15"/>
  <c r="U119" i="15"/>
  <c r="AQ18" i="9" s="1"/>
  <c r="T118" i="15"/>
  <c r="T119" i="15"/>
  <c r="C9" i="9"/>
  <c r="D66" i="24"/>
  <c r="E66" i="24" s="1"/>
  <c r="F66" i="24" s="1"/>
  <c r="G66" i="24" s="1"/>
  <c r="H66" i="24" s="1"/>
  <c r="G35" i="7" l="1"/>
  <c r="DE9" i="9"/>
  <c r="DF9" i="9"/>
  <c r="DD9" i="9"/>
  <c r="DC9" i="9"/>
  <c r="CW12" i="9"/>
  <c r="CU12" i="9"/>
  <c r="CV12" i="9"/>
  <c r="CG12" i="9"/>
  <c r="CF12" i="9"/>
  <c r="CE12" i="9"/>
  <c r="CU15" i="9"/>
  <c r="CV15" i="9"/>
  <c r="BO15" i="9"/>
  <c r="BP15" i="9"/>
  <c r="BH15" i="9"/>
  <c r="BG15" i="9"/>
  <c r="BY12" i="9"/>
  <c r="BX12" i="9"/>
  <c r="BW12" i="9"/>
  <c r="DC15" i="9"/>
  <c r="DD15" i="9"/>
  <c r="CO12" i="9"/>
  <c r="CN12" i="9"/>
  <c r="CM12" i="9"/>
  <c r="CE15" i="9"/>
  <c r="CF15" i="9"/>
  <c r="CF9" i="9"/>
  <c r="CE9" i="9"/>
  <c r="CG9" i="9"/>
  <c r="CH9" i="9"/>
  <c r="CM15" i="9"/>
  <c r="CN15" i="9"/>
  <c r="BG12" i="9"/>
  <c r="BH12" i="9"/>
  <c r="BI12" i="9"/>
  <c r="AQ15" i="9"/>
  <c r="AR15" i="9"/>
  <c r="AI15" i="9"/>
  <c r="D62" i="24"/>
  <c r="E62" i="24" s="1"/>
  <c r="F62" i="24" s="1"/>
  <c r="G62" i="24" s="1"/>
  <c r="H62" i="24" s="1"/>
  <c r="D59" i="24"/>
  <c r="S5" i="5"/>
  <c r="S6" i="5"/>
  <c r="S7" i="5"/>
  <c r="S8" i="5"/>
  <c r="S9" i="5"/>
  <c r="S10" i="5"/>
  <c r="C11" i="15"/>
  <c r="C18" i="15"/>
  <c r="I52" i="27"/>
  <c r="I51" i="27"/>
  <c r="I22" i="27"/>
  <c r="I21" i="27"/>
  <c r="K70" i="21"/>
  <c r="E70" i="21"/>
  <c r="C41" i="27" l="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DB149" i="9" l="1"/>
  <c r="CT149" i="9"/>
  <c r="DB88" i="9"/>
  <c r="CT88" i="9"/>
  <c r="C58" i="7" l="1"/>
  <c r="C57" i="7"/>
  <c r="C56" i="7"/>
  <c r="I203" i="4"/>
  <c r="I204" i="4" s="1"/>
  <c r="I205" i="4" s="1"/>
  <c r="I206" i="4" s="1"/>
  <c r="I159" i="4"/>
  <c r="I158" i="4"/>
  <c r="I157" i="4"/>
  <c r="I156" i="4"/>
  <c r="I155" i="4"/>
  <c r="I154" i="4"/>
  <c r="I153" i="4"/>
  <c r="I152" i="4"/>
  <c r="I151" i="4"/>
  <c r="I150" i="4"/>
  <c r="C7" i="7"/>
  <c r="C8" i="7"/>
  <c r="C9" i="7"/>
  <c r="C10" i="7"/>
  <c r="C11" i="7"/>
  <c r="C12" i="7"/>
  <c r="C13" i="7"/>
  <c r="G32" i="4" l="1"/>
  <c r="F56" i="7" s="1"/>
  <c r="I207" i="4"/>
  <c r="I208" i="4" s="1"/>
  <c r="I209" i="4" s="1"/>
  <c r="I210" i="4" s="1"/>
  <c r="I211" i="4" s="1"/>
  <c r="I212" i="4" s="1"/>
  <c r="I213" i="4" s="1"/>
  <c r="I214" i="4" s="1"/>
  <c r="I215" i="4" s="1"/>
  <c r="B58" i="2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W56" i="7" l="1"/>
  <c r="V56" i="7"/>
  <c r="E56" i="7"/>
  <c r="G35" i="4"/>
  <c r="G44" i="4"/>
  <c r="G41" i="4"/>
  <c r="G38" i="4"/>
  <c r="G34" i="4"/>
  <c r="G42" i="4"/>
  <c r="G40" i="4"/>
  <c r="G39" i="4"/>
  <c r="G43" i="4"/>
  <c r="G45" i="4"/>
  <c r="G36" i="4"/>
  <c r="G37" i="4"/>
  <c r="G33" i="4"/>
  <c r="B22" i="21"/>
  <c r="H22" i="21"/>
  <c r="B23" i="21"/>
  <c r="H23" i="21"/>
  <c r="B24" i="21"/>
  <c r="H24" i="21"/>
  <c r="B25" i="21"/>
  <c r="H25" i="21"/>
  <c r="B19" i="21"/>
  <c r="H19" i="21"/>
  <c r="B20" i="21"/>
  <c r="H20" i="21"/>
  <c r="B21" i="21"/>
  <c r="H21" i="21"/>
  <c r="B15" i="21"/>
  <c r="H15" i="21"/>
  <c r="B16" i="21"/>
  <c r="H16" i="21"/>
  <c r="B17" i="21"/>
  <c r="H17" i="21"/>
  <c r="B18" i="21"/>
  <c r="B14" i="21"/>
  <c r="H14"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I56" i="7" l="1"/>
  <c r="DE27" i="9"/>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N56" i="7" l="1"/>
  <c r="M56" i="7"/>
  <c r="G56" i="7" s="1"/>
  <c r="AI72" i="15"/>
  <c r="AH74" i="15"/>
  <c r="AG76" i="15"/>
  <c r="AF78" i="15"/>
  <c r="AF71" i="15"/>
  <c r="AF76" i="15"/>
  <c r="AH78" i="15"/>
  <c r="AF74" i="15"/>
  <c r="AI75" i="15"/>
  <c r="AF73" i="15"/>
  <c r="AI79" i="15"/>
  <c r="AI71" i="15"/>
  <c r="AH73" i="15"/>
  <c r="AG74" i="15"/>
  <c r="AF77" i="15"/>
  <c r="AI68" i="15"/>
  <c r="AG68" i="15"/>
  <c r="AI78" i="15"/>
  <c r="AH72" i="15"/>
  <c r="AG75" i="15"/>
  <c r="AG67" i="15"/>
  <c r="AH79" i="15"/>
  <c r="AF75" i="15"/>
  <c r="AG79" i="15"/>
  <c r="AI70" i="15"/>
  <c r="AI67" i="15"/>
  <c r="AG73" i="15"/>
  <c r="AI77" i="15"/>
  <c r="AH71" i="15"/>
  <c r="AI76" i="15"/>
  <c r="AH70" i="15"/>
  <c r="AH68" i="15"/>
  <c r="AI74" i="15"/>
  <c r="AH76" i="15"/>
  <c r="AG78" i="15"/>
  <c r="AG70" i="15"/>
  <c r="AF72" i="15"/>
  <c r="AH67" i="15"/>
  <c r="AF67" i="15"/>
  <c r="AI73" i="15"/>
  <c r="AH75" i="15"/>
  <c r="AF79" i="15"/>
  <c r="AF66" i="15"/>
  <c r="AN66" i="15" s="1"/>
  <c r="AH77" i="15"/>
  <c r="AG71" i="15"/>
  <c r="AF68" i="15"/>
  <c r="AG77" i="15"/>
  <c r="AF70" i="15"/>
  <c r="AG72" i="15"/>
  <c r="AO76" i="15"/>
  <c r="T76" i="15" s="1"/>
  <c r="AO72" i="15"/>
  <c r="AM71" i="15"/>
  <c r="AN78" i="15"/>
  <c r="AP77" i="15"/>
  <c r="AM77" i="15"/>
  <c r="R77" i="15" s="1"/>
  <c r="AN76" i="15"/>
  <c r="S76" i="15" s="1"/>
  <c r="AN72" i="15"/>
  <c r="S72" i="15" s="1"/>
  <c r="AO70" i="15"/>
  <c r="AM74" i="15"/>
  <c r="AN68" i="15"/>
  <c r="AM76" i="15"/>
  <c r="AM72" i="15"/>
  <c r="AN71" i="15"/>
  <c r="AO74" i="15"/>
  <c r="AM70" i="15"/>
  <c r="AN73" i="15"/>
  <c r="S73" i="15" s="1"/>
  <c r="AP79" i="15"/>
  <c r="AP75" i="15"/>
  <c r="AP71" i="15"/>
  <c r="AM75" i="15"/>
  <c r="R75" i="15" s="1"/>
  <c r="AN74" i="15"/>
  <c r="AP73" i="15"/>
  <c r="U73" i="15" s="1"/>
  <c r="BG19" i="9" s="1"/>
  <c r="AM73" i="15"/>
  <c r="AO79" i="15"/>
  <c r="AO75" i="15"/>
  <c r="AO71" i="15"/>
  <c r="AN75" i="15"/>
  <c r="AP74" i="15"/>
  <c r="AP68" i="15"/>
  <c r="AN77" i="15"/>
  <c r="S77" i="15" s="1"/>
  <c r="AN79" i="15"/>
  <c r="AM78" i="15"/>
  <c r="R78" i="15" s="1"/>
  <c r="AP72" i="15"/>
  <c r="AM79" i="15"/>
  <c r="R79" i="15" s="1"/>
  <c r="AM68" i="15"/>
  <c r="AP78" i="15"/>
  <c r="U78" i="15" s="1"/>
  <c r="CU19" i="9" s="1"/>
  <c r="AP70" i="15"/>
  <c r="AN70" i="15"/>
  <c r="AO77" i="15"/>
  <c r="T77" i="15" s="1"/>
  <c r="AO78" i="15"/>
  <c r="AO73" i="15"/>
  <c r="AP76" i="15"/>
  <c r="AO68" i="15"/>
  <c r="AP67" i="15"/>
  <c r="AO67" i="15"/>
  <c r="AN67" i="15"/>
  <c r="AM67" i="15"/>
  <c r="AM66"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CM13" i="9" l="1"/>
  <c r="CO13" i="9"/>
  <c r="CN13" i="9"/>
  <c r="CN10" i="9"/>
  <c r="CP10" i="9"/>
  <c r="CO10" i="9"/>
  <c r="CM10" i="9"/>
  <c r="BW10" i="9"/>
  <c r="BY10" i="9"/>
  <c r="BX10" i="9"/>
  <c r="BZ10" i="9"/>
  <c r="DC10" i="9"/>
  <c r="DE10" i="9"/>
  <c r="DF10" i="9"/>
  <c r="DD10" i="9"/>
  <c r="CX10" i="9"/>
  <c r="CV10" i="9"/>
  <c r="CW10" i="9"/>
  <c r="CU10" i="9"/>
  <c r="CE16" i="9"/>
  <c r="CF16" i="9"/>
  <c r="CG13" i="9"/>
  <c r="CF13" i="9"/>
  <c r="CE13" i="9"/>
  <c r="CN16" i="9"/>
  <c r="CM16" i="9"/>
  <c r="BG13" i="9"/>
  <c r="BI13" i="9"/>
  <c r="BH13" i="9"/>
  <c r="AZ13" i="9"/>
  <c r="AY13" i="9"/>
  <c r="BA13" i="9"/>
  <c r="S74" i="15"/>
  <c r="U76" i="15"/>
  <c r="CE19" i="9" s="1"/>
  <c r="V68" i="15"/>
  <c r="T78" i="15"/>
  <c r="T79" i="15"/>
  <c r="R72" i="15"/>
  <c r="T71" i="15"/>
  <c r="U75" i="15"/>
  <c r="BW19" i="9" s="1"/>
  <c r="U72" i="15"/>
  <c r="AY19" i="9" s="1"/>
  <c r="AG66" i="15"/>
  <c r="S71" i="15"/>
  <c r="R71" i="15"/>
  <c r="R73" i="15"/>
  <c r="T74" i="15"/>
  <c r="S75" i="15"/>
  <c r="U71" i="15"/>
  <c r="AQ19" i="9" s="1"/>
  <c r="R76" i="15"/>
  <c r="S78" i="15"/>
  <c r="U74" i="15"/>
  <c r="BO19" i="9" s="1"/>
  <c r="U77" i="15"/>
  <c r="T73" i="15"/>
  <c r="T75" i="15"/>
  <c r="U79" i="15"/>
  <c r="DC19" i="9" s="1"/>
  <c r="R74" i="15"/>
  <c r="T72" i="15"/>
  <c r="S79" i="15"/>
  <c r="CI42" i="9"/>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BG16" i="9" l="1"/>
  <c r="BH16" i="9"/>
  <c r="DD16" i="9"/>
  <c r="DC16" i="9"/>
  <c r="V77" i="15"/>
  <c r="CM19" i="9"/>
  <c r="CV16" i="9"/>
  <c r="CU16" i="9"/>
  <c r="V79" i="15"/>
  <c r="DE13" i="9"/>
  <c r="DD13" i="9"/>
  <c r="DC13" i="9"/>
  <c r="V78" i="15"/>
  <c r="CW13" i="9"/>
  <c r="CV13" i="9"/>
  <c r="CU13" i="9"/>
  <c r="BR10" i="9"/>
  <c r="BQ10" i="9"/>
  <c r="BP10" i="9"/>
  <c r="BO10" i="9"/>
  <c r="V75" i="15"/>
  <c r="BY13" i="9"/>
  <c r="BX13" i="9"/>
  <c r="BW13" i="9"/>
  <c r="BX16" i="9"/>
  <c r="BW16" i="9"/>
  <c r="BP16" i="9"/>
  <c r="BO16" i="9"/>
  <c r="CG10" i="9"/>
  <c r="CF10" i="9"/>
  <c r="CE10" i="9"/>
  <c r="CH10" i="9"/>
  <c r="BQ13" i="9"/>
  <c r="BP13" i="9"/>
  <c r="BO13" i="9"/>
  <c r="AZ16" i="9"/>
  <c r="AY16" i="9"/>
  <c r="AR16" i="9"/>
  <c r="AQ16" i="9"/>
  <c r="AY10" i="9"/>
  <c r="BB10" i="9"/>
  <c r="BA10" i="9"/>
  <c r="AZ10" i="9"/>
  <c r="V73" i="15"/>
  <c r="BJ10" i="9"/>
  <c r="BI10" i="9"/>
  <c r="BH10" i="9"/>
  <c r="BG10" i="9"/>
  <c r="V71" i="15"/>
  <c r="AT10" i="9"/>
  <c r="AS10" i="9"/>
  <c r="AR10" i="9"/>
  <c r="AQ10" i="9"/>
  <c r="AS13" i="9"/>
  <c r="AR13" i="9"/>
  <c r="AQ13" i="9"/>
  <c r="V74" i="15"/>
  <c r="V72" i="15"/>
  <c r="V76" i="15"/>
  <c r="V67" i="15"/>
  <c r="AO66" i="15"/>
  <c r="AH66" i="15"/>
  <c r="I32" i="4"/>
  <c r="F58" i="7" s="1"/>
  <c r="G42" i="9"/>
  <c r="G106" i="9" s="1"/>
  <c r="G167" i="9" s="1"/>
  <c r="G72" i="9"/>
  <c r="G134" i="9" s="1"/>
  <c r="G195" i="9" s="1"/>
  <c r="F134" i="9"/>
  <c r="F195" i="9" s="1"/>
  <c r="G57" i="9"/>
  <c r="G120" i="9" s="1"/>
  <c r="G181" i="9" s="1"/>
  <c r="F120" i="9"/>
  <c r="F181" i="9" s="1"/>
  <c r="G27" i="9"/>
  <c r="G92" i="9" s="1"/>
  <c r="G153" i="9" s="1"/>
  <c r="F92" i="9"/>
  <c r="F153" i="9" s="1"/>
  <c r="W58" i="7" l="1"/>
  <c r="V58" i="7"/>
  <c r="E58" i="7"/>
  <c r="AP66" i="15"/>
  <c r="I38" i="4"/>
  <c r="I41" i="4"/>
  <c r="I39" i="4"/>
  <c r="I40" i="4"/>
  <c r="I42" i="4"/>
  <c r="I34" i="4"/>
  <c r="I45" i="4"/>
  <c r="I35" i="4"/>
  <c r="I44" i="4"/>
  <c r="I43" i="4"/>
  <c r="I37" i="4"/>
  <c r="I36" i="4"/>
  <c r="I33" i="4"/>
  <c r="I174" i="4"/>
  <c r="I173" i="4"/>
  <c r="I172" i="4"/>
  <c r="I171" i="4"/>
  <c r="I170" i="4"/>
  <c r="I169" i="4"/>
  <c r="I168" i="4"/>
  <c r="I167" i="4"/>
  <c r="I166" i="4"/>
  <c r="I165" i="4"/>
  <c r="I121" i="4"/>
  <c r="I120" i="4"/>
  <c r="I119" i="4"/>
  <c r="I118" i="4"/>
  <c r="I140" i="4"/>
  <c r="I139" i="4"/>
  <c r="I105" i="4"/>
  <c r="I104" i="4"/>
  <c r="I103" i="4"/>
  <c r="I102" i="4"/>
  <c r="I101" i="4"/>
  <c r="I100" i="4"/>
  <c r="I99" i="4"/>
  <c r="I57" i="4"/>
  <c r="I56" i="4"/>
  <c r="D36" i="4" s="1"/>
  <c r="F18" i="7" s="1"/>
  <c r="W18" i="7" s="1"/>
  <c r="I58" i="4"/>
  <c r="I59" i="4"/>
  <c r="I60" i="4"/>
  <c r="I61" i="4"/>
  <c r="I62" i="4"/>
  <c r="I63" i="4"/>
  <c r="I64" i="4"/>
  <c r="I65" i="4"/>
  <c r="I66" i="4"/>
  <c r="I67" i="4"/>
  <c r="I68" i="4"/>
  <c r="I55" i="4"/>
  <c r="S18" i="5"/>
  <c r="S17" i="5"/>
  <c r="S16" i="5"/>
  <c r="S15" i="5"/>
  <c r="S14" i="5"/>
  <c r="S13" i="5"/>
  <c r="S12" i="5"/>
  <c r="S11" i="5"/>
  <c r="I58" i="7" l="1"/>
  <c r="V18" i="7"/>
  <c r="D33" i="4"/>
  <c r="F15" i="7" s="1"/>
  <c r="W15" i="7" s="1"/>
  <c r="D32" i="4"/>
  <c r="F14" i="7" s="1"/>
  <c r="W14" i="7" s="1"/>
  <c r="H32" i="4"/>
  <c r="F57" i="7" s="1"/>
  <c r="W57" i="7" l="1"/>
  <c r="E57" i="7"/>
  <c r="V57" i="7"/>
  <c r="N58" i="7"/>
  <c r="M58" i="7"/>
  <c r="G58" i="7" s="1"/>
  <c r="V14" i="7"/>
  <c r="E15" i="7"/>
  <c r="V15" i="7"/>
  <c r="I15" i="7" s="1"/>
  <c r="I18" i="7"/>
  <c r="H34" i="4"/>
  <c r="H44" i="4"/>
  <c r="H43" i="4"/>
  <c r="H45" i="4"/>
  <c r="H38" i="4"/>
  <c r="H35" i="4"/>
  <c r="H39" i="4"/>
  <c r="H41" i="4"/>
  <c r="H40" i="4"/>
  <c r="H42" i="4"/>
  <c r="H37" i="4"/>
  <c r="H36" i="4"/>
  <c r="H33" i="4"/>
  <c r="E45" i="24"/>
  <c r="E53" i="24" s="1"/>
  <c r="I57" i="7" l="1"/>
  <c r="I14" i="7"/>
  <c r="N18" i="7"/>
  <c r="M18" i="7"/>
  <c r="K45" i="24"/>
  <c r="K53" i="24" s="1"/>
  <c r="L45" i="24"/>
  <c r="L53" i="24" s="1"/>
  <c r="J45" i="24"/>
  <c r="J53" i="24" s="1"/>
  <c r="I45" i="24"/>
  <c r="I53" i="24" s="1"/>
  <c r="H45" i="24"/>
  <c r="H53" i="24" s="1"/>
  <c r="G45" i="24"/>
  <c r="G53" i="24" s="1"/>
  <c r="F45" i="24"/>
  <c r="F53" i="24" s="1"/>
  <c r="D45" i="24"/>
  <c r="N57" i="7" l="1"/>
  <c r="M57" i="7"/>
  <c r="G57" i="7" s="1"/>
  <c r="G18" i="7"/>
  <c r="E18" i="7" s="1"/>
  <c r="N14" i="7"/>
  <c r="M14" i="7"/>
  <c r="N15" i="7"/>
  <c r="M15" i="7"/>
  <c r="D53" i="24"/>
  <c r="G14" i="7" l="1"/>
  <c r="E14" i="7" s="1"/>
  <c r="G15" i="7"/>
  <c r="D60" i="24" a="1"/>
  <c r="D60" i="24" s="1"/>
  <c r="D63" i="24"/>
  <c r="D64" i="24" s="1"/>
  <c r="E64" i="24" s="1"/>
  <c r="F64" i="24" s="1"/>
  <c r="G64" i="24" s="1"/>
  <c r="H64" i="24" s="1"/>
  <c r="E63" i="24"/>
  <c r="F63" i="24"/>
  <c r="G63" i="24"/>
  <c r="H63" i="24"/>
  <c r="D67" i="24" l="1"/>
  <c r="B8" i="20" l="1"/>
  <c r="I142" i="4"/>
  <c r="I141" i="4"/>
  <c r="I138" i="4"/>
  <c r="I137" i="4"/>
  <c r="I136" i="4"/>
  <c r="I135" i="4"/>
  <c r="I134" i="4"/>
  <c r="I133" i="4"/>
  <c r="I132" i="4"/>
  <c r="I131" i="4"/>
  <c r="I130" i="4"/>
  <c r="I129" i="4"/>
  <c r="I128" i="4"/>
  <c r="I127" i="4"/>
  <c r="I126" i="4"/>
  <c r="I125" i="4"/>
  <c r="I124" i="4"/>
  <c r="I123" i="4"/>
  <c r="I122" i="4"/>
  <c r="I117" i="4"/>
  <c r="I116" i="4"/>
  <c r="I115" i="4"/>
  <c r="I114" i="4"/>
  <c r="I113" i="4"/>
  <c r="I82" i="4"/>
  <c r="E42" i="4" s="1"/>
  <c r="F38" i="7" s="1"/>
  <c r="W38" i="7" s="1"/>
  <c r="I83" i="4"/>
  <c r="E43" i="4" s="1"/>
  <c r="F39" i="7" s="1"/>
  <c r="W39" i="7" s="1"/>
  <c r="I84" i="4"/>
  <c r="E44" i="4" s="1"/>
  <c r="F40" i="7" s="1"/>
  <c r="W40" i="7" s="1"/>
  <c r="I85" i="4"/>
  <c r="I86" i="4"/>
  <c r="I87" i="4"/>
  <c r="E34" i="4" s="1"/>
  <c r="F30" i="7" s="1"/>
  <c r="W30" i="7" s="1"/>
  <c r="I88" i="4"/>
  <c r="E35" i="4" s="1"/>
  <c r="F31" i="7" s="1"/>
  <c r="W31" i="7" s="1"/>
  <c r="I94" i="4"/>
  <c r="I95" i="4"/>
  <c r="I96" i="4"/>
  <c r="I97" i="4"/>
  <c r="I98" i="4"/>
  <c r="I89" i="4"/>
  <c r="I90" i="4"/>
  <c r="I91" i="4"/>
  <c r="I92" i="4"/>
  <c r="I93" i="4"/>
  <c r="I77" i="4"/>
  <c r="E37" i="4" s="1"/>
  <c r="F33" i="7" s="1"/>
  <c r="W33" i="7" s="1"/>
  <c r="I78" i="4"/>
  <c r="E38" i="4" s="1"/>
  <c r="F34" i="7" s="1"/>
  <c r="W34" i="7" s="1"/>
  <c r="I80" i="4"/>
  <c r="E40" i="4" s="1"/>
  <c r="F36" i="7" s="1"/>
  <c r="W36" i="7" s="1"/>
  <c r="I81" i="4"/>
  <c r="E41" i="4" s="1"/>
  <c r="F37" i="7" s="1"/>
  <c r="W37" i="7" s="1"/>
  <c r="I76" i="4"/>
  <c r="V30" i="7" l="1"/>
  <c r="E30" i="7" s="1"/>
  <c r="V33" i="7"/>
  <c r="E33" i="7" s="1"/>
  <c r="V39" i="7"/>
  <c r="I39" i="7" s="1"/>
  <c r="E38" i="7"/>
  <c r="V38" i="7"/>
  <c r="E31" i="7"/>
  <c r="V31" i="7"/>
  <c r="V37" i="7"/>
  <c r="E37" i="7" s="1"/>
  <c r="E36" i="7"/>
  <c r="V36" i="7"/>
  <c r="V34" i="7"/>
  <c r="E34" i="7" s="1"/>
  <c r="V40" i="7"/>
  <c r="E40" i="7" s="1"/>
  <c r="E32" i="4"/>
  <c r="F28" i="7" s="1"/>
  <c r="W28" i="7" s="1"/>
  <c r="E36" i="4"/>
  <c r="F32" i="7" s="1"/>
  <c r="W32" i="7" s="1"/>
  <c r="E33" i="4"/>
  <c r="F29" i="7" s="1"/>
  <c r="W29" i="7" s="1"/>
  <c r="E69" i="11"/>
  <c r="C69" i="11"/>
  <c r="C68" i="11"/>
  <c r="D47" i="11"/>
  <c r="E47" i="11" s="1"/>
  <c r="F47" i="11" s="1"/>
  <c r="G47" i="11" s="1"/>
  <c r="H47" i="11" s="1"/>
  <c r="E44" i="11"/>
  <c r="C44" i="11"/>
  <c r="C43" i="11"/>
  <c r="E81" i="11"/>
  <c r="F81" i="11" s="1"/>
  <c r="G81" i="11" s="1"/>
  <c r="H81" i="11" s="1"/>
  <c r="E72" i="11"/>
  <c r="F72" i="11" s="1"/>
  <c r="G72" i="11" s="1"/>
  <c r="H72" i="11" s="1"/>
  <c r="D56" i="11"/>
  <c r="E56" i="11" s="1"/>
  <c r="F56" i="11" s="1"/>
  <c r="G56" i="11" s="1"/>
  <c r="H56" i="11" s="1"/>
  <c r="D30" i="11"/>
  <c r="E30" i="11" s="1"/>
  <c r="F30" i="11" s="1"/>
  <c r="G30" i="11" s="1"/>
  <c r="H30" i="11" s="1"/>
  <c r="D21" i="11"/>
  <c r="C17" i="11"/>
  <c r="H8" i="11"/>
  <c r="G8" i="11"/>
  <c r="F8" i="11"/>
  <c r="E8" i="11"/>
  <c r="D8" i="11"/>
  <c r="E59" i="24"/>
  <c r="E60" i="24" s="1" a="1"/>
  <c r="E60" i="24" s="1"/>
  <c r="E67" i="24" s="1"/>
  <c r="E79" i="24"/>
  <c r="E39" i="7" l="1"/>
  <c r="I34" i="7"/>
  <c r="E29" i="7"/>
  <c r="V29" i="7"/>
  <c r="E28" i="7"/>
  <c r="V28" i="7"/>
  <c r="E32" i="7"/>
  <c r="V32" i="7"/>
  <c r="I32" i="7" s="1"/>
  <c r="I36" i="7"/>
  <c r="I37" i="7"/>
  <c r="I38" i="7"/>
  <c r="I30" i="7"/>
  <c r="I33" i="7"/>
  <c r="I40" i="7"/>
  <c r="I31" i="7"/>
  <c r="E21" i="11"/>
  <c r="F21" i="11" s="1"/>
  <c r="G21" i="11" s="1"/>
  <c r="H21" i="11" s="1"/>
  <c r="F79" i="24"/>
  <c r="F59" i="24"/>
  <c r="F60" i="24" s="1" a="1"/>
  <c r="F60" i="24" s="1"/>
  <c r="F67" i="24" s="1"/>
  <c r="I28" i="7" l="1"/>
  <c r="I29" i="7"/>
  <c r="N37" i="7"/>
  <c r="M37" i="7"/>
  <c r="N31" i="7"/>
  <c r="M31" i="7"/>
  <c r="N30" i="7"/>
  <c r="M30" i="7"/>
  <c r="N34" i="7"/>
  <c r="M34" i="7"/>
  <c r="N39" i="7"/>
  <c r="M39" i="7"/>
  <c r="N40" i="7"/>
  <c r="M40" i="7"/>
  <c r="N36" i="7"/>
  <c r="M36" i="7"/>
  <c r="N38" i="7"/>
  <c r="M38" i="7"/>
  <c r="N33" i="7"/>
  <c r="M33" i="7"/>
  <c r="G79" i="24"/>
  <c r="G59" i="24"/>
  <c r="G60" i="24" s="1" a="1"/>
  <c r="G60" i="24" s="1"/>
  <c r="G67" i="24" s="1"/>
  <c r="H26" i="24"/>
  <c r="G26" i="24"/>
  <c r="F26" i="24"/>
  <c r="E26" i="24"/>
  <c r="D26" i="24"/>
  <c r="J79" i="3"/>
  <c r="J59" i="3"/>
  <c r="J39" i="3"/>
  <c r="J19" i="3"/>
  <c r="E52" i="1"/>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G36" i="7" l="1"/>
  <c r="G30" i="7"/>
  <c r="G33" i="7"/>
  <c r="G39" i="7"/>
  <c r="G37" i="7"/>
  <c r="G38" i="7"/>
  <c r="G34" i="7"/>
  <c r="G40" i="7"/>
  <c r="G31" i="7"/>
  <c r="N32" i="7"/>
  <c r="M32" i="7"/>
  <c r="N29" i="7"/>
  <c r="M29" i="7"/>
  <c r="N28" i="7"/>
  <c r="M28" i="7"/>
  <c r="H79" i="24"/>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H59" i="24"/>
  <c r="H60" i="24" s="1" a="1"/>
  <c r="H60" i="24" s="1"/>
  <c r="H67" i="24" s="1"/>
  <c r="G32" i="7" l="1"/>
  <c r="G28" i="7"/>
  <c r="G29" i="7"/>
  <c r="I79" i="24"/>
  <c r="B1" i="1"/>
  <c r="B1" i="28" s="1"/>
  <c r="B1" i="3"/>
  <c r="B1" i="21" l="1"/>
  <c r="B1" i="27"/>
  <c r="B1" i="26"/>
  <c r="B1" i="20"/>
  <c r="B1" i="11"/>
  <c r="B1" i="15"/>
  <c r="B1" i="4"/>
  <c r="B1" i="24"/>
  <c r="B1" i="5"/>
  <c r="B1" i="7"/>
  <c r="E18" i="11" l="1"/>
  <c r="C18" i="11"/>
  <c r="B5" i="21" l="1"/>
  <c r="B103" i="9" l="1"/>
  <c r="B117" i="9" s="1"/>
  <c r="B131" i="9" s="1"/>
  <c r="B145" i="9" s="1"/>
  <c r="B164" i="9" s="1"/>
  <c r="B206" i="9" l="1"/>
  <c r="B178" i="9"/>
  <c r="B192" i="9"/>
  <c r="CX128" i="9" l="1"/>
  <c r="AZ110" i="9"/>
  <c r="BX124" i="9"/>
  <c r="BP96" i="9"/>
  <c r="AS126" i="9"/>
  <c r="AY108" i="9"/>
  <c r="CM94" i="9"/>
  <c r="CE122" i="9"/>
  <c r="BW136" i="9"/>
  <c r="BJ128" i="9"/>
  <c r="AI136" i="9"/>
  <c r="CP142" i="9"/>
  <c r="CH128" i="9"/>
  <c r="AS140" i="9"/>
  <c r="AT142" i="9"/>
  <c r="CW140" i="9"/>
  <c r="AL100" i="9"/>
  <c r="CO98" i="9"/>
  <c r="CG98" i="9"/>
  <c r="DF128" i="9"/>
  <c r="AD142" i="9"/>
  <c r="K94" i="9"/>
  <c r="S122" i="9"/>
  <c r="AD100" i="9"/>
  <c r="AB138" i="9"/>
  <c r="AA122" i="9"/>
  <c r="E140" i="9"/>
  <c r="F114" i="9"/>
  <c r="BA98" i="9"/>
  <c r="BI126" i="9"/>
  <c r="AK140" i="9"/>
  <c r="DF100" i="9"/>
  <c r="D138" i="9"/>
  <c r="K136" i="9"/>
  <c r="U98" i="9"/>
  <c r="AB110" i="9"/>
  <c r="T110" i="9"/>
  <c r="AB96" i="9"/>
  <c r="DC136" i="9"/>
  <c r="T138" i="9"/>
  <c r="T96" i="9"/>
  <c r="AC112" i="9"/>
  <c r="U112" i="9"/>
  <c r="M98" i="9"/>
  <c r="L124" i="9"/>
  <c r="K122" i="9"/>
  <c r="CX100" i="9"/>
  <c r="AZ96" i="9"/>
  <c r="BX110" i="9"/>
  <c r="AJ138" i="9"/>
  <c r="AK98" i="9"/>
  <c r="BI98" i="9"/>
  <c r="BG136" i="9"/>
  <c r="CE108" i="9"/>
  <c r="BW122" i="9"/>
  <c r="CU108" i="9"/>
  <c r="AI122" i="9"/>
  <c r="CP128" i="9"/>
  <c r="CH114" i="9"/>
  <c r="BH96" i="9"/>
  <c r="AT128" i="9"/>
  <c r="CW112" i="9"/>
  <c r="U140" i="9"/>
  <c r="AB124" i="9"/>
  <c r="D110" i="9"/>
  <c r="N100" i="9"/>
  <c r="N114" i="9"/>
  <c r="D124" i="9"/>
  <c r="U126" i="9"/>
  <c r="C108" i="9"/>
  <c r="CF138" i="9"/>
  <c r="BJ142" i="9"/>
  <c r="BX96" i="9"/>
  <c r="AJ124" i="9"/>
  <c r="CW126" i="9"/>
  <c r="CU136" i="9"/>
  <c r="AY122" i="9"/>
  <c r="CE94" i="9"/>
  <c r="BW108" i="9"/>
  <c r="CU122" i="9"/>
  <c r="AI108" i="9"/>
  <c r="CP114" i="9"/>
  <c r="CH100" i="9"/>
  <c r="DE140" i="9"/>
  <c r="AT114" i="9"/>
  <c r="BR142" i="9"/>
  <c r="BQ140" i="9"/>
  <c r="BQ126" i="9"/>
  <c r="CN138" i="9"/>
  <c r="N128" i="9"/>
  <c r="V100" i="9"/>
  <c r="K108" i="9"/>
  <c r="AA108" i="9"/>
  <c r="F128" i="9"/>
  <c r="E112" i="9"/>
  <c r="CF124" i="9"/>
  <c r="AS98" i="9"/>
  <c r="AR138" i="9"/>
  <c r="AJ96" i="9"/>
  <c r="CW98" i="9"/>
  <c r="DD124" i="9"/>
  <c r="BA140" i="9"/>
  <c r="AY136" i="9"/>
  <c r="BW94" i="9"/>
  <c r="CU94" i="9"/>
  <c r="AI94" i="9"/>
  <c r="CP100" i="9"/>
  <c r="BB142" i="9"/>
  <c r="DE112" i="9"/>
  <c r="AT100" i="9"/>
  <c r="BR128" i="9"/>
  <c r="DD138" i="9"/>
  <c r="CV138" i="9"/>
  <c r="DC108" i="9"/>
  <c r="CN124" i="9"/>
  <c r="AD128" i="9"/>
  <c r="M112" i="9"/>
  <c r="S94" i="9"/>
  <c r="L138" i="9"/>
  <c r="CF110" i="9"/>
  <c r="AK112" i="9"/>
  <c r="AR124" i="9"/>
  <c r="BG122" i="9"/>
  <c r="BP138" i="9"/>
  <c r="DD96" i="9"/>
  <c r="BH124" i="9"/>
  <c r="BA112" i="9"/>
  <c r="AQ136" i="9"/>
  <c r="BO136" i="9"/>
  <c r="BA126" i="9"/>
  <c r="BJ100" i="9"/>
  <c r="BB128" i="9"/>
  <c r="BZ142" i="9"/>
  <c r="AL114" i="9"/>
  <c r="BR114" i="9"/>
  <c r="DD110" i="9"/>
  <c r="CV110" i="9"/>
  <c r="BY140" i="9"/>
  <c r="CN110" i="9"/>
  <c r="N142" i="9"/>
  <c r="CF96" i="9"/>
  <c r="DE126" i="9"/>
  <c r="AR110" i="9"/>
  <c r="BG94" i="9"/>
  <c r="BP110" i="9"/>
  <c r="CM136" i="9"/>
  <c r="CV124" i="9"/>
  <c r="BQ98" i="9"/>
  <c r="AQ122" i="9"/>
  <c r="BO122" i="9"/>
  <c r="BQ112" i="9"/>
  <c r="CX142" i="9"/>
  <c r="BB114" i="9"/>
  <c r="BZ128" i="9"/>
  <c r="BI112" i="9"/>
  <c r="BR100" i="9"/>
  <c r="CO140" i="9"/>
  <c r="CG140" i="9"/>
  <c r="BY126" i="9"/>
  <c r="CN96" i="9"/>
  <c r="T124" i="9"/>
  <c r="V142" i="9"/>
  <c r="C94" i="9"/>
  <c r="E126" i="9"/>
  <c r="AC140" i="9"/>
  <c r="AZ138" i="9"/>
  <c r="DE98" i="9"/>
  <c r="AR96" i="9"/>
  <c r="AY94" i="9"/>
  <c r="AJ110" i="9"/>
  <c r="CM122" i="9"/>
  <c r="CV96" i="9"/>
  <c r="DC122" i="9"/>
  <c r="AQ108" i="9"/>
  <c r="BO108" i="9"/>
  <c r="DF142" i="9"/>
  <c r="CX114" i="9"/>
  <c r="BB100" i="9"/>
  <c r="BZ114" i="9"/>
  <c r="AS112" i="9"/>
  <c r="AL142" i="9"/>
  <c r="CO126" i="9"/>
  <c r="CG126" i="9"/>
  <c r="BY112" i="9"/>
  <c r="BH138" i="9"/>
  <c r="AC98" i="9"/>
  <c r="S136" i="9"/>
  <c r="V114" i="9"/>
  <c r="F100" i="9"/>
  <c r="AA136" i="9"/>
  <c r="C122" i="9"/>
  <c r="L110" i="9"/>
  <c r="M140" i="9"/>
  <c r="M126" i="9"/>
  <c r="AZ124" i="9"/>
  <c r="BX138" i="9"/>
  <c r="BP124" i="9"/>
  <c r="BJ114" i="9"/>
  <c r="BG108" i="9"/>
  <c r="CM108" i="9"/>
  <c r="CE136" i="9"/>
  <c r="DC94" i="9"/>
  <c r="AQ94" i="9"/>
  <c r="BO94" i="9"/>
  <c r="DF114" i="9"/>
  <c r="CH142" i="9"/>
  <c r="BI140" i="9"/>
  <c r="BZ100" i="9"/>
  <c r="AK126" i="9"/>
  <c r="AL128" i="9"/>
  <c r="CO112" i="9"/>
  <c r="CG112" i="9"/>
  <c r="BY98" i="9"/>
  <c r="BH110" i="9"/>
  <c r="AA94" i="9"/>
  <c r="V128" i="9"/>
  <c r="S108" i="9"/>
  <c r="E98" i="9"/>
  <c r="AC126" i="9"/>
  <c r="D96" i="9"/>
  <c r="F142" i="9"/>
  <c r="C136" i="9"/>
  <c r="L96" i="9"/>
  <c r="AD114" i="9"/>
  <c r="E81" i="24"/>
  <c r="F81" i="24" l="1"/>
  <c r="G81" i="24" s="1"/>
  <c r="E82" i="24"/>
  <c r="H81" i="24" l="1"/>
  <c r="I81" i="24" s="1"/>
  <c r="F82" i="24"/>
  <c r="G82" i="24" s="1"/>
  <c r="E83" i="24"/>
  <c r="E89" i="24" s="1"/>
  <c r="D9" i="11" s="1"/>
  <c r="H82" i="24" l="1"/>
  <c r="I82" i="24" s="1"/>
  <c r="CM7" i="29"/>
  <c r="AA7" i="29"/>
  <c r="AY7" i="29"/>
  <c r="C7" i="29"/>
  <c r="BW7" i="29"/>
  <c r="K7" i="29"/>
  <c r="CE7" i="29"/>
  <c r="CU7" i="29"/>
  <c r="AI7" i="29"/>
  <c r="S7" i="29"/>
  <c r="BG7" i="29"/>
  <c r="DC7" i="29"/>
  <c r="AQ7" i="29"/>
  <c r="BO7" i="29"/>
  <c r="CM7" i="9"/>
  <c r="AA7" i="9"/>
  <c r="DC7" i="9"/>
  <c r="AQ7" i="9"/>
  <c r="AQ8" i="9" s="1"/>
  <c r="AQ11" i="9" s="1"/>
  <c r="AQ14" i="9" s="1"/>
  <c r="AQ17" i="9" s="1"/>
  <c r="AQ20" i="9" s="1"/>
  <c r="BO7" i="9"/>
  <c r="AY7" i="9"/>
  <c r="BG7" i="9"/>
  <c r="BW7" i="9"/>
  <c r="S7" i="9"/>
  <c r="CE7" i="9"/>
  <c r="CU7" i="9"/>
  <c r="AI7" i="9"/>
  <c r="K7" i="9"/>
  <c r="J81" i="24"/>
  <c r="F83" i="24"/>
  <c r="G83" i="24" s="1"/>
  <c r="H83" i="24" s="1"/>
  <c r="I83" i="24" s="1"/>
  <c r="J82" i="24" l="1"/>
  <c r="CE15" i="29"/>
  <c r="CE19" i="29"/>
  <c r="CE27" i="29"/>
  <c r="CE23" i="29"/>
  <c r="K15" i="29"/>
  <c r="K23" i="29"/>
  <c r="K19" i="29"/>
  <c r="K27" i="29"/>
  <c r="BW15" i="29"/>
  <c r="BW27" i="29"/>
  <c r="BW19" i="29"/>
  <c r="BW23" i="29"/>
  <c r="CU15" i="29"/>
  <c r="CU23" i="29"/>
  <c r="CU27" i="29"/>
  <c r="CU19" i="29"/>
  <c r="DC15" i="29"/>
  <c r="DC23" i="29"/>
  <c r="DC19" i="29"/>
  <c r="DC27" i="29"/>
  <c r="C19" i="29"/>
  <c r="C23" i="29"/>
  <c r="C15" i="29"/>
  <c r="C27" i="29"/>
  <c r="AQ15" i="29"/>
  <c r="AQ23" i="29"/>
  <c r="AQ19" i="29"/>
  <c r="AQ27" i="29"/>
  <c r="BG15" i="29"/>
  <c r="BG19" i="29"/>
  <c r="BG23" i="29"/>
  <c r="BG27" i="29"/>
  <c r="AY15" i="29"/>
  <c r="AY23" i="29"/>
  <c r="AY19" i="29"/>
  <c r="AY27" i="29"/>
  <c r="S15" i="29"/>
  <c r="S23" i="29"/>
  <c r="S19" i="29"/>
  <c r="S27" i="29"/>
  <c r="AA15" i="29"/>
  <c r="AA27" i="29"/>
  <c r="AA23" i="29"/>
  <c r="AA19" i="29"/>
  <c r="BO15" i="29"/>
  <c r="BO27" i="29"/>
  <c r="BO19" i="29"/>
  <c r="BO23" i="29"/>
  <c r="AI15" i="29"/>
  <c r="AI19" i="29"/>
  <c r="AI23" i="29"/>
  <c r="AI27" i="29"/>
  <c r="CM15" i="29"/>
  <c r="CM19" i="29"/>
  <c r="CM23" i="29"/>
  <c r="CM27" i="29"/>
  <c r="BO8" i="9"/>
  <c r="BO11" i="9" s="1"/>
  <c r="BO14" i="9" s="1"/>
  <c r="BO17" i="9" s="1"/>
  <c r="BW8" i="9"/>
  <c r="BW11" i="9" s="1"/>
  <c r="BW14" i="9" s="1"/>
  <c r="BW17" i="9" s="1"/>
  <c r="BG8" i="9"/>
  <c r="BG11" i="9" s="1"/>
  <c r="BG14" i="9" s="1"/>
  <c r="BG17" i="9" s="1"/>
  <c r="AY8" i="9"/>
  <c r="AY11" i="9" s="1"/>
  <c r="AY14" i="9" s="1"/>
  <c r="AY17" i="9" s="1"/>
  <c r="K18" i="9"/>
  <c r="K12" i="9"/>
  <c r="K15" i="9"/>
  <c r="CU8" i="9"/>
  <c r="CU11" i="9" s="1"/>
  <c r="CU14" i="9" s="1"/>
  <c r="CU17" i="9" s="1"/>
  <c r="DC8" i="9"/>
  <c r="DC11" i="9" s="1"/>
  <c r="DC14" i="9" s="1"/>
  <c r="DC17" i="9" s="1"/>
  <c r="S8" i="9"/>
  <c r="S11" i="9" s="1"/>
  <c r="S14" i="9" s="1"/>
  <c r="S17" i="9" s="1"/>
  <c r="CE8" i="9"/>
  <c r="CE11" i="9" s="1"/>
  <c r="CE14" i="9" s="1"/>
  <c r="CE17" i="9" s="1"/>
  <c r="AA8" i="9"/>
  <c r="AA11" i="9" s="1"/>
  <c r="AA14" i="9" s="1"/>
  <c r="AA17" i="9" s="1"/>
  <c r="CM8" i="9"/>
  <c r="CM11" i="9" s="1"/>
  <c r="CM14" i="9" s="1"/>
  <c r="CM17" i="9" s="1"/>
  <c r="G89" i="24"/>
  <c r="J83" i="24"/>
  <c r="F89" i="24"/>
  <c r="E9" i="11" s="1"/>
  <c r="CM69" i="29" l="1"/>
  <c r="CM48" i="29"/>
  <c r="BO44" i="29"/>
  <c r="BO65" i="29"/>
  <c r="S69" i="29"/>
  <c r="S48" i="29"/>
  <c r="BG69" i="29"/>
  <c r="BG48" i="29"/>
  <c r="CU61" i="29"/>
  <c r="CU40" i="29"/>
  <c r="K48" i="29"/>
  <c r="K69" i="29"/>
  <c r="CM65" i="29"/>
  <c r="CM44" i="29"/>
  <c r="BO40" i="29"/>
  <c r="BO61" i="29"/>
  <c r="S40" i="29"/>
  <c r="S61" i="29"/>
  <c r="BG44" i="29"/>
  <c r="BG65" i="29"/>
  <c r="C36" i="29"/>
  <c r="C57" i="29"/>
  <c r="CU69" i="29"/>
  <c r="CU48" i="29"/>
  <c r="K61" i="29"/>
  <c r="K40" i="29"/>
  <c r="C48" i="29"/>
  <c r="C69" i="29"/>
  <c r="CM40" i="29"/>
  <c r="CM61" i="29"/>
  <c r="BO69" i="29"/>
  <c r="BO48" i="29"/>
  <c r="S65" i="29"/>
  <c r="S44" i="29"/>
  <c r="BG40" i="29"/>
  <c r="BG61" i="29"/>
  <c r="C44" i="29"/>
  <c r="C65" i="29"/>
  <c r="CU44" i="29"/>
  <c r="CU65" i="29"/>
  <c r="K44" i="29"/>
  <c r="K65" i="29"/>
  <c r="CM57" i="29"/>
  <c r="CM36" i="29"/>
  <c r="BO36" i="29"/>
  <c r="BO57" i="29"/>
  <c r="S57" i="29"/>
  <c r="S36" i="29"/>
  <c r="BG57" i="29"/>
  <c r="BG36" i="29"/>
  <c r="C61" i="29"/>
  <c r="C40" i="29"/>
  <c r="CU36" i="29"/>
  <c r="CU57" i="29"/>
  <c r="K36" i="29"/>
  <c r="K57" i="29"/>
  <c r="AI69" i="29"/>
  <c r="AI48" i="29"/>
  <c r="AA40" i="29"/>
  <c r="AA61" i="29"/>
  <c r="AY69" i="29"/>
  <c r="AY48" i="29"/>
  <c r="AQ48" i="29"/>
  <c r="AQ69" i="29"/>
  <c r="DC69" i="29"/>
  <c r="DC48" i="29"/>
  <c r="BW65" i="29"/>
  <c r="BW44" i="29"/>
  <c r="CE44" i="29"/>
  <c r="CE65" i="29"/>
  <c r="AI65" i="29"/>
  <c r="AI44" i="29"/>
  <c r="AA65" i="29"/>
  <c r="AA44" i="29"/>
  <c r="AY40" i="29"/>
  <c r="AY61" i="29"/>
  <c r="AQ40" i="29"/>
  <c r="AQ61" i="29"/>
  <c r="DC40" i="29"/>
  <c r="DC61" i="29"/>
  <c r="BW61" i="29"/>
  <c r="BW40" i="29"/>
  <c r="CE69" i="29"/>
  <c r="CE48" i="29"/>
  <c r="AI61" i="29"/>
  <c r="AI40" i="29"/>
  <c r="AA69" i="29"/>
  <c r="AA48" i="29"/>
  <c r="AY44" i="29"/>
  <c r="AY65" i="29"/>
  <c r="AQ65" i="29"/>
  <c r="AQ44" i="29"/>
  <c r="DC65" i="29"/>
  <c r="DC44" i="29"/>
  <c r="BW48" i="29"/>
  <c r="BW69" i="29"/>
  <c r="CE61" i="29"/>
  <c r="CE40" i="29"/>
  <c r="AI57" i="29"/>
  <c r="AI36" i="29"/>
  <c r="AA36" i="29"/>
  <c r="AA57" i="29"/>
  <c r="AY36" i="29"/>
  <c r="AY57" i="29"/>
  <c r="AQ36" i="29"/>
  <c r="AQ57" i="29"/>
  <c r="DC57" i="29"/>
  <c r="DC36" i="29"/>
  <c r="BW36" i="29"/>
  <c r="BW57" i="29"/>
  <c r="CE36" i="29"/>
  <c r="CE57" i="29"/>
  <c r="BH7" i="29"/>
  <c r="AZ7" i="29"/>
  <c r="CF7" i="29"/>
  <c r="T7" i="29"/>
  <c r="D7" i="29"/>
  <c r="DD7" i="29"/>
  <c r="AR7" i="29"/>
  <c r="BP7" i="29"/>
  <c r="CN7" i="29"/>
  <c r="AB7" i="29"/>
  <c r="BX7" i="29"/>
  <c r="L7" i="29"/>
  <c r="CV7" i="29"/>
  <c r="AJ7" i="29"/>
  <c r="AY20" i="9"/>
  <c r="BG20" i="9"/>
  <c r="DC20" i="9"/>
  <c r="CM20" i="9"/>
  <c r="BW20" i="9"/>
  <c r="CU20" i="9"/>
  <c r="AA20" i="9"/>
  <c r="S20" i="9"/>
  <c r="AZ7" i="9"/>
  <c r="AZ8" i="9" s="1"/>
  <c r="AZ11" i="9" s="1"/>
  <c r="AZ14" i="9" s="1"/>
  <c r="AZ20" i="9" s="1"/>
  <c r="CN7" i="9"/>
  <c r="AB7" i="9"/>
  <c r="BX7" i="9"/>
  <c r="T7" i="9"/>
  <c r="AR7" i="9"/>
  <c r="CV7" i="9"/>
  <c r="BH7" i="9"/>
  <c r="CF7" i="9"/>
  <c r="DD7" i="9"/>
  <c r="BP7" i="9"/>
  <c r="CE20" i="9"/>
  <c r="BO20" i="9"/>
  <c r="K46" i="3"/>
  <c r="K49" i="3"/>
  <c r="K68" i="3"/>
  <c r="K66" i="3"/>
  <c r="K87" i="3"/>
  <c r="K86" i="3"/>
  <c r="K67" i="3"/>
  <c r="K47" i="3"/>
  <c r="K48" i="3"/>
  <c r="K88" i="3"/>
  <c r="BP27" i="29" l="1"/>
  <c r="BP23" i="29"/>
  <c r="BP15" i="29"/>
  <c r="BP19" i="29"/>
  <c r="AR15" i="29"/>
  <c r="AR19" i="29"/>
  <c r="AR23" i="29"/>
  <c r="AR27" i="29"/>
  <c r="AJ15" i="29"/>
  <c r="AJ27" i="29"/>
  <c r="AJ23" i="29"/>
  <c r="AJ19" i="29"/>
  <c r="DD23" i="29"/>
  <c r="DD15" i="29"/>
  <c r="DD19" i="29"/>
  <c r="DD27" i="29"/>
  <c r="CV15" i="29"/>
  <c r="CV27" i="29"/>
  <c r="CV19" i="29"/>
  <c r="CV23" i="29"/>
  <c r="D15" i="29"/>
  <c r="D27" i="29"/>
  <c r="D23" i="29"/>
  <c r="D19" i="29"/>
  <c r="L15" i="29"/>
  <c r="L19" i="29"/>
  <c r="L23" i="29"/>
  <c r="L27" i="29"/>
  <c r="T15" i="29"/>
  <c r="T23" i="29"/>
  <c r="T27" i="29"/>
  <c r="T19" i="29"/>
  <c r="BX15" i="29"/>
  <c r="BX27" i="29"/>
  <c r="BX23" i="29"/>
  <c r="BX19" i="29"/>
  <c r="CF15" i="29"/>
  <c r="CF27" i="29"/>
  <c r="CF19" i="29"/>
  <c r="CF23" i="29"/>
  <c r="AB23" i="29"/>
  <c r="AB15" i="29"/>
  <c r="AB27" i="29"/>
  <c r="AB19" i="29"/>
  <c r="AZ15" i="29"/>
  <c r="AZ23" i="29"/>
  <c r="AZ19" i="29"/>
  <c r="AZ27" i="29"/>
  <c r="CN15" i="29"/>
  <c r="CN27" i="29"/>
  <c r="CN23" i="29"/>
  <c r="CN19" i="29"/>
  <c r="BH27" i="29"/>
  <c r="BH19" i="29"/>
  <c r="BH23" i="29"/>
  <c r="BH15" i="29"/>
  <c r="AJ9" i="9"/>
  <c r="AJ12" i="9"/>
  <c r="AJ15" i="9"/>
  <c r="BP8" i="9"/>
  <c r="BP11" i="9" s="1"/>
  <c r="BP14" i="9" s="1"/>
  <c r="AR8" i="9"/>
  <c r="AR11" i="9" s="1"/>
  <c r="AR14" i="9" s="1"/>
  <c r="BX8" i="9"/>
  <c r="BX11" i="9" s="1"/>
  <c r="BX14" i="9" s="1"/>
  <c r="CF8" i="9"/>
  <c r="CF11" i="9" s="1"/>
  <c r="CF14" i="9" s="1"/>
  <c r="CN8" i="9"/>
  <c r="CN11" i="9" s="1"/>
  <c r="CN14" i="9" s="1"/>
  <c r="T8" i="9"/>
  <c r="T11" i="9" s="1"/>
  <c r="T14" i="9" s="1"/>
  <c r="AB8" i="9"/>
  <c r="AB11" i="9" s="1"/>
  <c r="AB14" i="9" s="1"/>
  <c r="BH8" i="9"/>
  <c r="BH11" i="9" s="1"/>
  <c r="BH14" i="9" s="1"/>
  <c r="L15" i="9"/>
  <c r="L12" i="9"/>
  <c r="DD8" i="9"/>
  <c r="DD11" i="9" s="1"/>
  <c r="DD14" i="9" s="1"/>
  <c r="CV8" i="9"/>
  <c r="CV11" i="9" s="1"/>
  <c r="CV14" i="9" s="1"/>
  <c r="H89" i="24"/>
  <c r="G9" i="11" s="1"/>
  <c r="CV48" i="29" l="1"/>
  <c r="CV69" i="29"/>
  <c r="CN36" i="29"/>
  <c r="CN57" i="29"/>
  <c r="AB65" i="29"/>
  <c r="AB44" i="29"/>
  <c r="BX36" i="29"/>
  <c r="BX57" i="29"/>
  <c r="L57" i="29"/>
  <c r="L36" i="29"/>
  <c r="CV36" i="29"/>
  <c r="CV57" i="29"/>
  <c r="AJ36" i="29"/>
  <c r="AJ57" i="29"/>
  <c r="BP48" i="29"/>
  <c r="BP69" i="29"/>
  <c r="AJ69" i="29"/>
  <c r="AJ48" i="29"/>
  <c r="BH36" i="29"/>
  <c r="BH57" i="29"/>
  <c r="AZ48" i="29"/>
  <c r="AZ69" i="29"/>
  <c r="CF44" i="29"/>
  <c r="CF65" i="29"/>
  <c r="T61" i="29"/>
  <c r="T40" i="29"/>
  <c r="D61" i="29"/>
  <c r="D40" i="29"/>
  <c r="DD48" i="29"/>
  <c r="DD69" i="29"/>
  <c r="AR48" i="29"/>
  <c r="AR69" i="29"/>
  <c r="CN48" i="29"/>
  <c r="CN69" i="29"/>
  <c r="BP65" i="29"/>
  <c r="BP44" i="29"/>
  <c r="BH65" i="29"/>
  <c r="BH44" i="29"/>
  <c r="AZ61" i="29"/>
  <c r="AZ40" i="29"/>
  <c r="CF61" i="29"/>
  <c r="CF40" i="29"/>
  <c r="T48" i="29"/>
  <c r="T69" i="29"/>
  <c r="D65" i="29"/>
  <c r="D44" i="29"/>
  <c r="DD40" i="29"/>
  <c r="DD61" i="29"/>
  <c r="AR65" i="29"/>
  <c r="AR44" i="29"/>
  <c r="L61" i="29"/>
  <c r="L40" i="29"/>
  <c r="BH40" i="29"/>
  <c r="BH61" i="29"/>
  <c r="AZ65" i="29"/>
  <c r="AZ44" i="29"/>
  <c r="CF48" i="29"/>
  <c r="CF69" i="29"/>
  <c r="T44" i="29"/>
  <c r="T65" i="29"/>
  <c r="D48" i="29"/>
  <c r="D69" i="29"/>
  <c r="DD57" i="29"/>
  <c r="DD36" i="29"/>
  <c r="AR61" i="29"/>
  <c r="AR40" i="29"/>
  <c r="AB36" i="29"/>
  <c r="AB57" i="29"/>
  <c r="BH69" i="29"/>
  <c r="BH48" i="29"/>
  <c r="AZ57" i="29"/>
  <c r="AZ36" i="29"/>
  <c r="CF36" i="29"/>
  <c r="CF57" i="29"/>
  <c r="T57" i="29"/>
  <c r="T36" i="29"/>
  <c r="D36" i="29"/>
  <c r="D57" i="29"/>
  <c r="DD65" i="29"/>
  <c r="DD44" i="29"/>
  <c r="AR57" i="29"/>
  <c r="AR36" i="29"/>
  <c r="CN61" i="29"/>
  <c r="CN40" i="29"/>
  <c r="AB61" i="29"/>
  <c r="AB40" i="29"/>
  <c r="BX61" i="29"/>
  <c r="BX40" i="29"/>
  <c r="L69" i="29"/>
  <c r="L48" i="29"/>
  <c r="CV44" i="29"/>
  <c r="CV65" i="29"/>
  <c r="AJ61" i="29"/>
  <c r="AJ40" i="29"/>
  <c r="BP61" i="29"/>
  <c r="BP40" i="29"/>
  <c r="BX69" i="29"/>
  <c r="BX48" i="29"/>
  <c r="CN65" i="29"/>
  <c r="CN44" i="29"/>
  <c r="AB69" i="29"/>
  <c r="AB48" i="29"/>
  <c r="BX65" i="29"/>
  <c r="BX44" i="29"/>
  <c r="L65" i="29"/>
  <c r="L44" i="29"/>
  <c r="CV61" i="29"/>
  <c r="CV40" i="29"/>
  <c r="AJ44" i="29"/>
  <c r="AJ65" i="29"/>
  <c r="BP36" i="29"/>
  <c r="BP57" i="29"/>
  <c r="BZ7" i="29"/>
  <c r="N7" i="29"/>
  <c r="CX7" i="29"/>
  <c r="AL7" i="29"/>
  <c r="BR7" i="29"/>
  <c r="BJ7" i="29"/>
  <c r="CH7" i="29"/>
  <c r="V7" i="29"/>
  <c r="F7" i="29"/>
  <c r="DF7" i="29"/>
  <c r="AT7" i="29"/>
  <c r="CP7" i="29"/>
  <c r="AD7" i="29"/>
  <c r="BB7" i="29"/>
  <c r="CF20" i="9"/>
  <c r="AB20" i="9"/>
  <c r="BX20" i="9"/>
  <c r="T20" i="9"/>
  <c r="CV20" i="9"/>
  <c r="BH20" i="9"/>
  <c r="AR20" i="9"/>
  <c r="DD20" i="9"/>
  <c r="CN20" i="9"/>
  <c r="BP20" i="9"/>
  <c r="J87" i="3"/>
  <c r="J68" i="3"/>
  <c r="C7" i="9"/>
  <c r="J46" i="3"/>
  <c r="J47" i="3"/>
  <c r="J48" i="3"/>
  <c r="J88" i="3"/>
  <c r="J67" i="3"/>
  <c r="J66" i="3"/>
  <c r="J86" i="3"/>
  <c r="J49" i="3"/>
  <c r="M87" i="3"/>
  <c r="M66" i="3"/>
  <c r="M48" i="3"/>
  <c r="M67" i="3"/>
  <c r="M88" i="3"/>
  <c r="M86" i="3"/>
  <c r="M46" i="3"/>
  <c r="M49" i="3"/>
  <c r="M68" i="3"/>
  <c r="M47" i="3"/>
  <c r="V23" i="29" l="1"/>
  <c r="V19" i="29"/>
  <c r="V15" i="29"/>
  <c r="V27" i="29"/>
  <c r="DF27" i="29"/>
  <c r="DF23" i="29"/>
  <c r="DF15" i="29"/>
  <c r="DF19" i="29"/>
  <c r="N15" i="29"/>
  <c r="N23" i="29"/>
  <c r="N19" i="29"/>
  <c r="N27" i="29"/>
  <c r="F23" i="29"/>
  <c r="F27" i="29"/>
  <c r="F19" i="29"/>
  <c r="F15" i="29"/>
  <c r="BZ15" i="29"/>
  <c r="BZ27" i="29"/>
  <c r="BZ23" i="29"/>
  <c r="BZ19" i="29"/>
  <c r="CH15" i="29"/>
  <c r="CH27" i="29"/>
  <c r="CH23" i="29"/>
  <c r="CH19" i="29"/>
  <c r="BB15" i="29"/>
  <c r="BB19" i="29"/>
  <c r="BB23" i="29"/>
  <c r="BB27" i="29"/>
  <c r="BJ19" i="29"/>
  <c r="BJ23" i="29"/>
  <c r="BJ27" i="29"/>
  <c r="BJ15" i="29"/>
  <c r="AD15" i="29"/>
  <c r="AD27" i="29"/>
  <c r="AD19" i="29"/>
  <c r="AD23" i="29"/>
  <c r="BR15" i="29"/>
  <c r="BR27" i="29"/>
  <c r="BR19" i="29"/>
  <c r="BR23" i="29"/>
  <c r="CP15" i="29"/>
  <c r="CP23" i="29"/>
  <c r="CP27" i="29"/>
  <c r="CP19" i="29"/>
  <c r="AL23" i="29"/>
  <c r="AL27" i="29"/>
  <c r="AL15" i="29"/>
  <c r="AL19" i="29"/>
  <c r="AT27" i="29"/>
  <c r="AT19" i="29"/>
  <c r="AT15" i="29"/>
  <c r="AT23" i="29"/>
  <c r="CX15" i="29"/>
  <c r="CX27" i="29"/>
  <c r="CX19" i="29"/>
  <c r="CX23" i="29"/>
  <c r="BO58" i="9"/>
  <c r="BO68" i="9" s="1"/>
  <c r="BO73" i="9"/>
  <c r="BO83" i="9" s="1"/>
  <c r="BO43" i="9"/>
  <c r="BO53" i="9" s="1"/>
  <c r="BO28" i="9"/>
  <c r="BO38" i="9" s="1"/>
  <c r="CE73" i="9"/>
  <c r="CE83" i="9" s="1"/>
  <c r="CE28" i="9"/>
  <c r="CE38" i="9" s="1"/>
  <c r="CE43" i="9"/>
  <c r="CE53" i="9" s="1"/>
  <c r="CE58" i="9"/>
  <c r="CE68" i="9" s="1"/>
  <c r="K58" i="9"/>
  <c r="K68" i="9" s="1"/>
  <c r="K28" i="9"/>
  <c r="K38" i="9" s="1"/>
  <c r="K43" i="9"/>
  <c r="K53" i="9" s="1"/>
  <c r="K73" i="9"/>
  <c r="K83" i="9" s="1"/>
  <c r="AY28" i="9"/>
  <c r="AY38" i="9" s="1"/>
  <c r="AY58" i="9"/>
  <c r="AY68" i="9" s="1"/>
  <c r="AY73" i="9"/>
  <c r="AY83" i="9" s="1"/>
  <c r="AY43" i="9"/>
  <c r="AY53" i="9" s="1"/>
  <c r="BG43" i="9"/>
  <c r="BG53" i="9" s="1"/>
  <c r="BG58" i="9"/>
  <c r="BG68" i="9" s="1"/>
  <c r="BG73" i="9"/>
  <c r="BG83" i="9" s="1"/>
  <c r="BG28" i="9"/>
  <c r="BG38" i="9" s="1"/>
  <c r="AA28" i="9"/>
  <c r="AA38" i="9" s="1"/>
  <c r="AA43" i="9"/>
  <c r="AA53" i="9" s="1"/>
  <c r="AA73" i="9"/>
  <c r="AA83" i="9" s="1"/>
  <c r="AA58" i="9"/>
  <c r="AA68" i="9" s="1"/>
  <c r="DC43" i="9"/>
  <c r="DC53" i="9" s="1"/>
  <c r="DC73" i="9"/>
  <c r="DC83" i="9" s="1"/>
  <c r="DC58" i="9"/>
  <c r="DC68" i="9" s="1"/>
  <c r="DC28" i="9"/>
  <c r="DC38" i="9" s="1"/>
  <c r="CU73" i="9"/>
  <c r="CU83" i="9" s="1"/>
  <c r="CU28" i="9"/>
  <c r="CU38" i="9" s="1"/>
  <c r="CU43" i="9"/>
  <c r="CU53" i="9" s="1"/>
  <c r="CU58" i="9"/>
  <c r="CU68" i="9" s="1"/>
  <c r="S28" i="9"/>
  <c r="S38" i="9" s="1"/>
  <c r="S58" i="9"/>
  <c r="S68" i="9" s="1"/>
  <c r="S73" i="9"/>
  <c r="S83" i="9" s="1"/>
  <c r="S43" i="9"/>
  <c r="S53" i="9" s="1"/>
  <c r="BW28" i="9"/>
  <c r="BW38" i="9" s="1"/>
  <c r="BW43" i="9"/>
  <c r="BW53" i="9" s="1"/>
  <c r="BW58" i="9"/>
  <c r="BW68" i="9" s="1"/>
  <c r="BW73" i="9"/>
  <c r="BW83" i="9" s="1"/>
  <c r="AQ58" i="9"/>
  <c r="AQ68" i="9" s="1"/>
  <c r="AQ43" i="9"/>
  <c r="AQ53" i="9" s="1"/>
  <c r="AQ73" i="9"/>
  <c r="AQ83" i="9" s="1"/>
  <c r="AQ28" i="9"/>
  <c r="AQ38" i="9" s="1"/>
  <c r="AI28" i="9"/>
  <c r="AI38" i="9" s="1"/>
  <c r="AI73" i="9"/>
  <c r="AI83" i="9" s="1"/>
  <c r="AI43" i="9"/>
  <c r="AI53" i="9" s="1"/>
  <c r="AI58" i="9"/>
  <c r="AI68" i="9" s="1"/>
  <c r="CM73" i="9"/>
  <c r="CM83" i="9" s="1"/>
  <c r="CM28" i="9"/>
  <c r="CM38" i="9" s="1"/>
  <c r="CM58" i="9"/>
  <c r="CM68" i="9" s="1"/>
  <c r="CM43" i="9"/>
  <c r="CM53" i="9" s="1"/>
  <c r="F9" i="11"/>
  <c r="M82" i="3"/>
  <c r="CW7" i="29" l="1"/>
  <c r="AK7" i="29"/>
  <c r="BI7" i="29"/>
  <c r="CG7" i="29"/>
  <c r="U7" i="29"/>
  <c r="E7" i="29"/>
  <c r="DE7" i="29"/>
  <c r="AS7" i="29"/>
  <c r="CO7" i="29"/>
  <c r="BQ7" i="29"/>
  <c r="AC7" i="29"/>
  <c r="BA7" i="29"/>
  <c r="BY7" i="29"/>
  <c r="M7" i="29"/>
  <c r="BY7" i="9"/>
  <c r="U7" i="9"/>
  <c r="CO7" i="9"/>
  <c r="CW7" i="9"/>
  <c r="DE7" i="9"/>
  <c r="BI7" i="9"/>
  <c r="BQ7" i="9"/>
  <c r="CG7" i="9"/>
  <c r="AS7" i="9"/>
  <c r="AS8" i="9" s="1"/>
  <c r="AC7" i="9"/>
  <c r="BA7" i="9"/>
  <c r="BA8" i="9" s="1"/>
  <c r="L66" i="3"/>
  <c r="L86" i="3"/>
  <c r="L48" i="3"/>
  <c r="L67" i="3"/>
  <c r="L46" i="3"/>
  <c r="L88" i="3"/>
  <c r="L49" i="3"/>
  <c r="L68" i="3"/>
  <c r="L87" i="3"/>
  <c r="L47" i="3"/>
  <c r="AI84" i="9"/>
  <c r="AI196" i="9"/>
  <c r="AI135" i="9"/>
  <c r="AI145" i="9" s="1"/>
  <c r="C72" i="20" s="1"/>
  <c r="BW54" i="9"/>
  <c r="BW107" i="9"/>
  <c r="BW117" i="9" s="1"/>
  <c r="C39" i="20" s="1"/>
  <c r="BW168" i="9"/>
  <c r="CU54" i="9"/>
  <c r="CU168" i="9"/>
  <c r="CU107" i="9"/>
  <c r="CU117" i="9" s="1"/>
  <c r="C42" i="20" s="1"/>
  <c r="AA69" i="9"/>
  <c r="AA182" i="9"/>
  <c r="AA121" i="9"/>
  <c r="AY54" i="9"/>
  <c r="AY168" i="9"/>
  <c r="AY107" i="9"/>
  <c r="AY117" i="9" s="1"/>
  <c r="C36" i="20" s="1"/>
  <c r="CE69" i="9"/>
  <c r="CE182" i="9"/>
  <c r="CE121" i="9"/>
  <c r="CE131" i="9" s="1"/>
  <c r="C59" i="20" s="1"/>
  <c r="AI39" i="9"/>
  <c r="AI154" i="9"/>
  <c r="AI93" i="9"/>
  <c r="AI103" i="9" s="1"/>
  <c r="C15" i="20" s="1"/>
  <c r="CU39" i="9"/>
  <c r="CU154" i="9"/>
  <c r="CU93" i="9"/>
  <c r="CU103" i="9" s="1"/>
  <c r="C23" i="20" s="1"/>
  <c r="AY84" i="9"/>
  <c r="AY196" i="9"/>
  <c r="AY135" i="9"/>
  <c r="AY145" i="9" s="1"/>
  <c r="C74" i="20" s="1"/>
  <c r="CM69" i="9"/>
  <c r="CM182" i="9"/>
  <c r="CM121" i="9"/>
  <c r="CM131" i="9" s="1"/>
  <c r="C60" i="20" s="1"/>
  <c r="CU84" i="9"/>
  <c r="CU135" i="9"/>
  <c r="CU145" i="9" s="1"/>
  <c r="C80" i="20" s="1"/>
  <c r="CU196" i="9"/>
  <c r="CE39" i="9"/>
  <c r="CE154" i="9"/>
  <c r="CE93" i="9"/>
  <c r="CE103" i="9" s="1"/>
  <c r="C21" i="20" s="1"/>
  <c r="AQ84" i="9"/>
  <c r="AQ135" i="9"/>
  <c r="AQ145" i="9" s="1"/>
  <c r="C73" i="20" s="1"/>
  <c r="AQ196" i="9"/>
  <c r="DC39" i="9"/>
  <c r="DC154" i="9"/>
  <c r="DC93" i="9"/>
  <c r="DC103" i="9" s="1"/>
  <c r="C24" i="20" s="1"/>
  <c r="AY39" i="9"/>
  <c r="AY154" i="9"/>
  <c r="AY93" i="9"/>
  <c r="AY103" i="9" s="1"/>
  <c r="C17" i="20" s="1"/>
  <c r="CM84" i="9"/>
  <c r="CM196" i="9"/>
  <c r="CM135" i="9"/>
  <c r="CM145" i="9" s="1"/>
  <c r="C79" i="20" s="1"/>
  <c r="AQ54" i="9"/>
  <c r="AQ107" i="9"/>
  <c r="AQ117" i="9" s="1"/>
  <c r="C35" i="20" s="1"/>
  <c r="AQ168" i="9"/>
  <c r="S84" i="9"/>
  <c r="S135" i="9"/>
  <c r="S196" i="9"/>
  <c r="BG39" i="9"/>
  <c r="BG93" i="9"/>
  <c r="BG103" i="9" s="1"/>
  <c r="C18" i="20" s="1"/>
  <c r="BG154" i="9"/>
  <c r="K84" i="9"/>
  <c r="K135" i="9"/>
  <c r="K196" i="9"/>
  <c r="BO39" i="9"/>
  <c r="BO154" i="9"/>
  <c r="BO93" i="9"/>
  <c r="BO103" i="9" s="1"/>
  <c r="C19" i="20" s="1"/>
  <c r="S69" i="9"/>
  <c r="S182" i="9"/>
  <c r="S121" i="9"/>
  <c r="BG84" i="9"/>
  <c r="BG135" i="9"/>
  <c r="BG145" i="9" s="1"/>
  <c r="C75" i="20" s="1"/>
  <c r="BG196" i="9"/>
  <c r="K54" i="9"/>
  <c r="K168" i="9"/>
  <c r="K107" i="9"/>
  <c r="BO54" i="9"/>
  <c r="BO168" i="9"/>
  <c r="BO107" i="9"/>
  <c r="BO117" i="9" s="1"/>
  <c r="C38" i="20" s="1"/>
  <c r="BW39" i="9"/>
  <c r="BW93" i="9"/>
  <c r="BW103" i="9" s="1"/>
  <c r="C20" i="20" s="1"/>
  <c r="BW154" i="9"/>
  <c r="AA84" i="9"/>
  <c r="AA135" i="9"/>
  <c r="AA196" i="9"/>
  <c r="CE54" i="9"/>
  <c r="CE107" i="9"/>
  <c r="CE117" i="9" s="1"/>
  <c r="C40" i="20" s="1"/>
  <c r="CE168" i="9"/>
  <c r="AQ39" i="9"/>
  <c r="AQ93" i="9"/>
  <c r="AQ103" i="9" s="1"/>
  <c r="C16" i="20" s="1"/>
  <c r="AQ154" i="9"/>
  <c r="AA54" i="9"/>
  <c r="AA107" i="9"/>
  <c r="AA168" i="9"/>
  <c r="CE84" i="9"/>
  <c r="CE196" i="9"/>
  <c r="CE135" i="9"/>
  <c r="CE145" i="9" s="1"/>
  <c r="C78" i="20" s="1"/>
  <c r="AQ69" i="9"/>
  <c r="AQ182" i="9"/>
  <c r="AQ121" i="9"/>
  <c r="AQ131" i="9" s="1"/>
  <c r="C54" i="20" s="1"/>
  <c r="DC84" i="9"/>
  <c r="DC135" i="9"/>
  <c r="DC145" i="9" s="1"/>
  <c r="C81" i="20" s="1"/>
  <c r="DC196" i="9"/>
  <c r="AI69" i="9"/>
  <c r="AI182" i="9"/>
  <c r="AI121" i="9"/>
  <c r="AI131" i="9" s="1"/>
  <c r="C53" i="20" s="1"/>
  <c r="BW84" i="9"/>
  <c r="BW135" i="9"/>
  <c r="BW145" i="9" s="1"/>
  <c r="C77" i="20" s="1"/>
  <c r="BW196" i="9"/>
  <c r="S39" i="9"/>
  <c r="S93" i="9"/>
  <c r="S154" i="9"/>
  <c r="DC54" i="9"/>
  <c r="DC107" i="9"/>
  <c r="DC117" i="9" s="1"/>
  <c r="C43" i="20" s="1"/>
  <c r="DC168" i="9"/>
  <c r="BG69" i="9"/>
  <c r="BG121" i="9"/>
  <c r="BG131" i="9" s="1"/>
  <c r="C56" i="20" s="1"/>
  <c r="BG182" i="9"/>
  <c r="K39" i="9"/>
  <c r="K154" i="9"/>
  <c r="K93" i="9"/>
  <c r="BO84" i="9"/>
  <c r="BO135" i="9"/>
  <c r="BO145" i="9" s="1"/>
  <c r="C76" i="20" s="1"/>
  <c r="BO196" i="9"/>
  <c r="CM54" i="9"/>
  <c r="CM168" i="9"/>
  <c r="CM107" i="9"/>
  <c r="CM117" i="9" s="1"/>
  <c r="C41" i="20" s="1"/>
  <c r="AY69" i="9"/>
  <c r="AY121" i="9"/>
  <c r="AY131" i="9" s="1"/>
  <c r="C55" i="20" s="1"/>
  <c r="AY182" i="9"/>
  <c r="CM39" i="9"/>
  <c r="CM154" i="9"/>
  <c r="CM93" i="9"/>
  <c r="CM103" i="9" s="1"/>
  <c r="C22" i="20" s="1"/>
  <c r="S54" i="9"/>
  <c r="S107" i="9"/>
  <c r="S168" i="9"/>
  <c r="AA39" i="9"/>
  <c r="AA93" i="9"/>
  <c r="AA154" i="9"/>
  <c r="DC69" i="9"/>
  <c r="DC121" i="9"/>
  <c r="DC131" i="9" s="1"/>
  <c r="C62" i="20" s="1"/>
  <c r="DC182" i="9"/>
  <c r="AI54" i="9"/>
  <c r="AI107" i="9"/>
  <c r="AI117" i="9" s="1"/>
  <c r="C34" i="20" s="1"/>
  <c r="AI168" i="9"/>
  <c r="BW69" i="9"/>
  <c r="BW182" i="9"/>
  <c r="BW121" i="9"/>
  <c r="BW131" i="9" s="1"/>
  <c r="C58" i="20" s="1"/>
  <c r="CU69" i="9"/>
  <c r="CU121" i="9"/>
  <c r="CU131" i="9" s="1"/>
  <c r="C61" i="20" s="1"/>
  <c r="CU182" i="9"/>
  <c r="BG54" i="9"/>
  <c r="BG107" i="9"/>
  <c r="BG117" i="9" s="1"/>
  <c r="C37" i="20" s="1"/>
  <c r="BG168" i="9"/>
  <c r="K69" i="9"/>
  <c r="K182" i="9"/>
  <c r="K121" i="9"/>
  <c r="BO69" i="9"/>
  <c r="BO182" i="9"/>
  <c r="BO121" i="9"/>
  <c r="BO131" i="9" s="1"/>
  <c r="C57" i="20" s="1"/>
  <c r="K51" i="3"/>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AC27" i="29" l="1"/>
  <c r="AC23" i="29"/>
  <c r="AC19" i="29"/>
  <c r="AC15" i="29"/>
  <c r="BI15" i="29"/>
  <c r="BI19" i="29"/>
  <c r="BI27" i="29"/>
  <c r="BI23" i="29"/>
  <c r="BA15" i="29"/>
  <c r="BA27" i="29"/>
  <c r="BA23" i="29"/>
  <c r="BA19" i="29"/>
  <c r="BQ15" i="29"/>
  <c r="BQ19" i="29"/>
  <c r="BQ27" i="29"/>
  <c r="BQ23" i="29"/>
  <c r="AK27" i="29"/>
  <c r="AK19" i="29"/>
  <c r="AK15" i="29"/>
  <c r="AK23" i="29"/>
  <c r="CO15" i="29"/>
  <c r="CO27" i="29"/>
  <c r="CO23" i="29"/>
  <c r="CO19" i="29"/>
  <c r="CW15" i="29"/>
  <c r="CW27" i="29"/>
  <c r="CW19" i="29"/>
  <c r="CW23" i="29"/>
  <c r="CG15" i="29"/>
  <c r="CG19" i="29"/>
  <c r="CG23" i="29"/>
  <c r="CG27" i="29"/>
  <c r="AS23" i="29"/>
  <c r="AS19" i="29"/>
  <c r="AS27" i="29"/>
  <c r="AS15" i="29"/>
  <c r="DE15" i="29"/>
  <c r="DE23" i="29"/>
  <c r="DE19" i="29"/>
  <c r="DE27" i="29"/>
  <c r="M15" i="29"/>
  <c r="M23" i="29"/>
  <c r="M27" i="29"/>
  <c r="M19" i="29"/>
  <c r="E27" i="29"/>
  <c r="E19" i="29"/>
  <c r="E23" i="29"/>
  <c r="E15" i="29"/>
  <c r="BY15" i="29"/>
  <c r="BY23" i="29"/>
  <c r="BY19" i="29"/>
  <c r="BY27" i="29"/>
  <c r="U15" i="29"/>
  <c r="U27" i="29"/>
  <c r="U19" i="29"/>
  <c r="U23" i="29"/>
  <c r="BA11" i="9"/>
  <c r="BA20" i="9" s="1"/>
  <c r="BB7" i="9"/>
  <c r="BB8" i="9" s="1"/>
  <c r="BB20" i="9" s="1"/>
  <c r="AS11" i="9"/>
  <c r="AS20" i="9" s="1"/>
  <c r="AT7" i="9"/>
  <c r="AT8" i="9" s="1"/>
  <c r="AT20" i="9" s="1"/>
  <c r="AK9" i="9"/>
  <c r="AK12" i="9"/>
  <c r="BQ8" i="9"/>
  <c r="CW8" i="9"/>
  <c r="BI8" i="9"/>
  <c r="DE8" i="9"/>
  <c r="M12" i="9"/>
  <c r="AC8" i="9"/>
  <c r="CO8" i="9"/>
  <c r="U8" i="9"/>
  <c r="CG8" i="9"/>
  <c r="BY8" i="9"/>
  <c r="BO192" i="9"/>
  <c r="K57" i="20" s="1"/>
  <c r="DC206" i="9"/>
  <c r="K81" i="20" s="1"/>
  <c r="AQ178" i="9"/>
  <c r="K35" i="20" s="1"/>
  <c r="DC192" i="9"/>
  <c r="K62" i="20" s="1"/>
  <c r="BG178" i="9"/>
  <c r="K37" i="20" s="1"/>
  <c r="AA103" i="9"/>
  <c r="C14" i="20" s="1"/>
  <c r="AY192" i="9"/>
  <c r="K55" i="20" s="1"/>
  <c r="BW164" i="9"/>
  <c r="K20" i="20" s="1"/>
  <c r="BO164" i="9"/>
  <c r="K19" i="20" s="1"/>
  <c r="S206" i="9"/>
  <c r="K70" i="20" s="1"/>
  <c r="AY178" i="9"/>
  <c r="K36" i="20" s="1"/>
  <c r="BW178" i="9"/>
  <c r="K39" i="20" s="1"/>
  <c r="AI178" i="9"/>
  <c r="K34" i="20" s="1"/>
  <c r="K103" i="9"/>
  <c r="C12" i="20" s="1"/>
  <c r="AI192" i="9"/>
  <c r="K53" i="20" s="1"/>
  <c r="BG206" i="9"/>
  <c r="K75" i="20" s="1"/>
  <c r="S145" i="9"/>
  <c r="C70" i="20" s="1"/>
  <c r="CM192" i="9"/>
  <c r="K60" i="20" s="1"/>
  <c r="S178" i="9"/>
  <c r="K32" i="20" s="1"/>
  <c r="K164" i="9"/>
  <c r="K12" i="20" s="1"/>
  <c r="S164" i="9"/>
  <c r="K13" i="20" s="1"/>
  <c r="CE206" i="9"/>
  <c r="K78" i="20" s="1"/>
  <c r="CE178" i="9"/>
  <c r="K40" i="20" s="1"/>
  <c r="K206" i="9"/>
  <c r="K69" i="20" s="1"/>
  <c r="AY164" i="9"/>
  <c r="K17" i="20" s="1"/>
  <c r="AI164" i="9"/>
  <c r="K15" i="20" s="1"/>
  <c r="AA131" i="9"/>
  <c r="C52" i="20" s="1"/>
  <c r="CE164" i="9"/>
  <c r="K21" i="20" s="1"/>
  <c r="AA192" i="9"/>
  <c r="K52" i="20" s="1"/>
  <c r="AI206" i="9"/>
  <c r="K72" i="20" s="1"/>
  <c r="CU192" i="9"/>
  <c r="K61" i="20" s="1"/>
  <c r="S117" i="9"/>
  <c r="C32" i="20" s="1"/>
  <c r="S103" i="9"/>
  <c r="C13" i="20" s="1"/>
  <c r="K145" i="9"/>
  <c r="C69" i="20" s="1"/>
  <c r="CM178" i="9"/>
  <c r="K41" i="20" s="1"/>
  <c r="BG192" i="9"/>
  <c r="K56" i="20" s="1"/>
  <c r="AA178" i="9"/>
  <c r="K33" i="20" s="1"/>
  <c r="BO178" i="9"/>
  <c r="K38" i="20" s="1"/>
  <c r="S131" i="9"/>
  <c r="C51" i="20" s="1"/>
  <c r="AY206" i="9"/>
  <c r="K74" i="20" s="1"/>
  <c r="K131" i="9"/>
  <c r="C50" i="20" s="1"/>
  <c r="BW206" i="9"/>
  <c r="K77" i="20" s="1"/>
  <c r="AA117" i="9"/>
  <c r="C33" i="20" s="1"/>
  <c r="AA206" i="9"/>
  <c r="K71" i="20" s="1"/>
  <c r="S192" i="9"/>
  <c r="K51" i="20" s="1"/>
  <c r="BG164" i="9"/>
  <c r="K18" i="20" s="1"/>
  <c r="DC164" i="9"/>
  <c r="K24" i="20" s="1"/>
  <c r="CU206" i="9"/>
  <c r="K80" i="20" s="1"/>
  <c r="CE192" i="9"/>
  <c r="K59" i="20" s="1"/>
  <c r="K192" i="9"/>
  <c r="K50" i="20" s="1"/>
  <c r="CM164" i="9"/>
  <c r="K22" i="20" s="1"/>
  <c r="BO206" i="9"/>
  <c r="K76" i="20" s="1"/>
  <c r="AA145" i="9"/>
  <c r="C71" i="20" s="1"/>
  <c r="K117" i="9"/>
  <c r="C31" i="20" s="1"/>
  <c r="CU178" i="9"/>
  <c r="K42" i="20" s="1"/>
  <c r="BW192" i="9"/>
  <c r="K58" i="20" s="1"/>
  <c r="AA164" i="9"/>
  <c r="K14" i="20" s="1"/>
  <c r="DC178" i="9"/>
  <c r="K43" i="20" s="1"/>
  <c r="AQ192" i="9"/>
  <c r="K54" i="20" s="1"/>
  <c r="AQ164" i="9"/>
  <c r="K16" i="20" s="1"/>
  <c r="K178" i="9"/>
  <c r="K31" i="20" s="1"/>
  <c r="CM206" i="9"/>
  <c r="K79" i="20" s="1"/>
  <c r="AQ206" i="9"/>
  <c r="K73" i="20" s="1"/>
  <c r="CU164" i="9"/>
  <c r="K23" i="20" s="1"/>
  <c r="I89" i="24"/>
  <c r="L64" i="3"/>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J90" i="3"/>
  <c r="J31" i="3"/>
  <c r="J27" i="3"/>
  <c r="J69" i="3"/>
  <c r="J26" i="3"/>
  <c r="J92" i="3"/>
  <c r="J70" i="3"/>
  <c r="J94" i="3"/>
  <c r="J23" i="3"/>
  <c r="J55" i="3"/>
  <c r="J85" i="3"/>
  <c r="J84" i="3"/>
  <c r="J29" i="3"/>
  <c r="J82" i="3"/>
  <c r="J42" i="3"/>
  <c r="J33" i="3"/>
  <c r="J83" i="3"/>
  <c r="J71" i="3"/>
  <c r="J43" i="3"/>
  <c r="J30" i="3"/>
  <c r="J75" i="3"/>
  <c r="J50" i="3"/>
  <c r="J22" i="3"/>
  <c r="J45" i="3"/>
  <c r="J72" i="3"/>
  <c r="J73" i="3"/>
  <c r="J52" i="3"/>
  <c r="J34" i="3"/>
  <c r="J54" i="3"/>
  <c r="J95" i="3"/>
  <c r="J51" i="3"/>
  <c r="J65" i="3"/>
  <c r="J63" i="3"/>
  <c r="J62" i="3"/>
  <c r="J89" i="3"/>
  <c r="J64" i="3"/>
  <c r="J74" i="3"/>
  <c r="J28" i="3"/>
  <c r="J91" i="3"/>
  <c r="J44" i="3"/>
  <c r="J24" i="3"/>
  <c r="J35" i="3"/>
  <c r="E40" i="29" l="1"/>
  <c r="F40" i="29"/>
  <c r="BA61" i="29"/>
  <c r="BB61" i="29"/>
  <c r="BB40" i="29"/>
  <c r="BA40" i="29"/>
  <c r="BY61" i="29"/>
  <c r="BZ61" i="29"/>
  <c r="BY40" i="29"/>
  <c r="BZ40" i="29"/>
  <c r="M69" i="29"/>
  <c r="M48" i="29"/>
  <c r="N69" i="29"/>
  <c r="N48" i="29"/>
  <c r="AS69" i="29"/>
  <c r="AT48" i="29"/>
  <c r="AS48" i="29"/>
  <c r="AT69" i="29"/>
  <c r="CW61" i="29"/>
  <c r="CX40" i="29"/>
  <c r="CX61" i="29"/>
  <c r="CW40" i="29"/>
  <c r="AK36" i="29"/>
  <c r="AL36" i="29"/>
  <c r="AK57" i="29"/>
  <c r="AL57" i="29"/>
  <c r="BB44" i="29"/>
  <c r="BA65" i="29"/>
  <c r="BA44" i="29"/>
  <c r="BB65" i="29"/>
  <c r="AC61" i="29"/>
  <c r="AC40" i="29"/>
  <c r="AD40" i="29"/>
  <c r="AD61" i="29"/>
  <c r="BZ44" i="29"/>
  <c r="BY44" i="29"/>
  <c r="BY65" i="29"/>
  <c r="BZ65" i="29"/>
  <c r="M65" i="29"/>
  <c r="N65" i="29"/>
  <c r="N44" i="29"/>
  <c r="M44" i="29"/>
  <c r="AT61" i="29"/>
  <c r="AS61" i="29"/>
  <c r="AT40" i="29"/>
  <c r="AS40" i="29"/>
  <c r="CX69" i="29"/>
  <c r="CW48" i="29"/>
  <c r="CW69" i="29"/>
  <c r="CX48" i="29"/>
  <c r="AK61" i="29"/>
  <c r="AL61" i="29"/>
  <c r="AL40" i="29"/>
  <c r="AK40" i="29"/>
  <c r="BB48" i="29"/>
  <c r="BB69" i="29"/>
  <c r="BA69" i="29"/>
  <c r="BA48" i="29"/>
  <c r="AD44" i="29"/>
  <c r="AC65" i="29"/>
  <c r="AD65" i="29"/>
  <c r="AC44" i="29"/>
  <c r="BY48" i="29"/>
  <c r="BY69" i="29"/>
  <c r="BZ48" i="29"/>
  <c r="BZ69" i="29"/>
  <c r="N61" i="29"/>
  <c r="M40" i="29"/>
  <c r="N40" i="29"/>
  <c r="M61" i="29"/>
  <c r="AD57" i="29"/>
  <c r="AD36" i="29"/>
  <c r="AC36" i="29"/>
  <c r="AC57" i="29"/>
  <c r="BY36" i="29"/>
  <c r="BY57" i="29"/>
  <c r="BZ36" i="29"/>
  <c r="BZ57" i="29"/>
  <c r="N57" i="29"/>
  <c r="M36" i="29"/>
  <c r="N36" i="29"/>
  <c r="M57" i="29"/>
  <c r="AT44" i="29"/>
  <c r="AS44" i="29"/>
  <c r="AS65" i="29"/>
  <c r="AT65" i="29"/>
  <c r="CX36" i="29"/>
  <c r="CW57" i="29"/>
  <c r="CX57" i="29"/>
  <c r="CW36" i="29"/>
  <c r="AL69" i="29"/>
  <c r="AK48" i="29"/>
  <c r="AL48" i="29"/>
  <c r="AK69" i="29"/>
  <c r="BA57" i="29"/>
  <c r="BB57" i="29"/>
  <c r="BA36" i="29"/>
  <c r="BB36" i="29"/>
  <c r="AD48" i="29"/>
  <c r="AC48" i="29"/>
  <c r="AC69" i="29"/>
  <c r="AD69" i="29"/>
  <c r="AK44" i="29"/>
  <c r="AK65" i="29"/>
  <c r="AL44" i="29"/>
  <c r="AL65" i="29"/>
  <c r="V44" i="29"/>
  <c r="U65" i="29"/>
  <c r="V65" i="29"/>
  <c r="U44" i="29"/>
  <c r="F57" i="29"/>
  <c r="E57" i="29"/>
  <c r="E36" i="29"/>
  <c r="F36" i="29"/>
  <c r="DE48" i="29"/>
  <c r="DF48" i="29"/>
  <c r="DE69" i="29"/>
  <c r="DF69" i="29"/>
  <c r="CH69" i="29"/>
  <c r="CH48" i="29"/>
  <c r="CG48" i="29"/>
  <c r="CG69" i="29"/>
  <c r="CO40" i="29"/>
  <c r="CP61" i="29"/>
  <c r="CO61" i="29"/>
  <c r="CP40" i="29"/>
  <c r="BR44" i="29"/>
  <c r="BQ65" i="29"/>
  <c r="BQ44" i="29"/>
  <c r="BR65" i="29"/>
  <c r="BI65" i="29"/>
  <c r="BJ65" i="29"/>
  <c r="BJ44" i="29"/>
  <c r="BI44" i="29"/>
  <c r="U40" i="29"/>
  <c r="V61" i="29"/>
  <c r="V40" i="29"/>
  <c r="U61" i="29"/>
  <c r="E65" i="29"/>
  <c r="F65" i="29"/>
  <c r="E44" i="29"/>
  <c r="F44" i="29"/>
  <c r="DF40" i="29"/>
  <c r="DE61" i="29"/>
  <c r="DE40" i="29"/>
  <c r="DF61" i="29"/>
  <c r="CG65" i="29"/>
  <c r="CH65" i="29"/>
  <c r="CH44" i="29"/>
  <c r="CG44" i="29"/>
  <c r="CP44" i="29"/>
  <c r="CP65" i="29"/>
  <c r="CO65" i="29"/>
  <c r="CO44" i="29"/>
  <c r="BR48" i="29"/>
  <c r="BQ48" i="29"/>
  <c r="BQ69" i="29"/>
  <c r="BR69" i="29"/>
  <c r="BI48" i="29"/>
  <c r="BI69" i="29"/>
  <c r="BJ69" i="29"/>
  <c r="BJ48" i="29"/>
  <c r="AT57" i="29"/>
  <c r="AS36" i="29"/>
  <c r="AT36" i="29"/>
  <c r="AS57" i="29"/>
  <c r="V48" i="29"/>
  <c r="V69" i="29"/>
  <c r="U48" i="29"/>
  <c r="U69" i="29"/>
  <c r="E61" i="29"/>
  <c r="F61" i="29"/>
  <c r="DE44" i="29"/>
  <c r="DF44" i="29"/>
  <c r="DE65" i="29"/>
  <c r="DF65" i="29"/>
  <c r="CG61" i="29"/>
  <c r="CH40" i="29"/>
  <c r="CG40" i="29"/>
  <c r="CH61" i="29"/>
  <c r="CO69" i="29"/>
  <c r="CP48" i="29"/>
  <c r="CO48" i="29"/>
  <c r="CP69" i="29"/>
  <c r="BQ61" i="29"/>
  <c r="BQ40" i="29"/>
  <c r="BR61" i="29"/>
  <c r="BR40" i="29"/>
  <c r="BJ61" i="29"/>
  <c r="BJ40" i="29"/>
  <c r="BI40" i="29"/>
  <c r="BI61" i="29"/>
  <c r="CX65" i="29"/>
  <c r="CW44" i="29"/>
  <c r="CW65" i="29"/>
  <c r="CX44" i="29"/>
  <c r="U36" i="29"/>
  <c r="V36" i="29"/>
  <c r="V57" i="29"/>
  <c r="U57" i="29"/>
  <c r="F69" i="29"/>
  <c r="E69" i="29"/>
  <c r="F48" i="29"/>
  <c r="E48" i="29"/>
  <c r="DF36" i="29"/>
  <c r="DE57" i="29"/>
  <c r="DF57" i="29"/>
  <c r="DE36" i="29"/>
  <c r="CG57" i="29"/>
  <c r="CH57" i="29"/>
  <c r="CG36" i="29"/>
  <c r="CH36" i="29"/>
  <c r="CO36" i="29"/>
  <c r="CO57" i="29"/>
  <c r="CP57" i="29"/>
  <c r="CP36" i="29"/>
  <c r="BQ57" i="29"/>
  <c r="BQ36" i="29"/>
  <c r="BR36" i="29"/>
  <c r="BR57" i="29"/>
  <c r="BI57" i="29"/>
  <c r="BJ57" i="29"/>
  <c r="BJ36" i="29"/>
  <c r="BI36" i="29"/>
  <c r="BY11" i="9"/>
  <c r="BY20" i="9" s="1"/>
  <c r="BZ7" i="9"/>
  <c r="BZ8" i="9" s="1"/>
  <c r="BZ20" i="9" s="1"/>
  <c r="CW11" i="9"/>
  <c r="CW20" i="9" s="1"/>
  <c r="CX7" i="9"/>
  <c r="CX8" i="9" s="1"/>
  <c r="CX20" i="9" s="1"/>
  <c r="CG11" i="9"/>
  <c r="CG20" i="9" s="1"/>
  <c r="CH7" i="9"/>
  <c r="CH8" i="9" s="1"/>
  <c r="CH20" i="9" s="1"/>
  <c r="BQ11" i="9"/>
  <c r="BQ20" i="9" s="1"/>
  <c r="BR7" i="9"/>
  <c r="BR8" i="9" s="1"/>
  <c r="BR20" i="9" s="1"/>
  <c r="U11" i="9"/>
  <c r="U20" i="9" s="1"/>
  <c r="V7" i="9"/>
  <c r="V8" i="9" s="1"/>
  <c r="V20" i="9" s="1"/>
  <c r="CO11" i="9"/>
  <c r="CO20" i="9" s="1"/>
  <c r="CP7" i="9"/>
  <c r="CP8" i="9" s="1"/>
  <c r="CP20" i="9" s="1"/>
  <c r="AC11" i="9"/>
  <c r="AC20" i="9" s="1"/>
  <c r="AD7" i="9"/>
  <c r="AD8" i="9" s="1"/>
  <c r="AD20" i="9" s="1"/>
  <c r="DE11" i="9"/>
  <c r="DE20" i="9" s="1"/>
  <c r="DF7" i="9"/>
  <c r="DF8" i="9" s="1"/>
  <c r="DF20" i="9" s="1"/>
  <c r="BI11" i="9"/>
  <c r="BI20" i="9" s="1"/>
  <c r="BJ7" i="9"/>
  <c r="BJ8" i="9" s="1"/>
  <c r="BJ20" i="9" s="1"/>
  <c r="H9" i="11"/>
  <c r="C28" i="9"/>
  <c r="C73" i="9"/>
  <c r="C135" i="9" s="1"/>
  <c r="C43" i="9"/>
  <c r="C107" i="9" s="1"/>
  <c r="C58" i="9"/>
  <c r="BC7" i="29" l="1"/>
  <c r="CA7" i="29"/>
  <c r="O7" i="29"/>
  <c r="CY7" i="29"/>
  <c r="AM7" i="29"/>
  <c r="BK7" i="29"/>
  <c r="AU7" i="29"/>
  <c r="CI7" i="29"/>
  <c r="W7" i="29"/>
  <c r="G7" i="29"/>
  <c r="DG7" i="29"/>
  <c r="BS7" i="29"/>
  <c r="CQ7" i="29"/>
  <c r="AE7" i="29"/>
  <c r="N64" i="3"/>
  <c r="BK7" i="9"/>
  <c r="CI7" i="9"/>
  <c r="AE7" i="9"/>
  <c r="W7" i="9"/>
  <c r="CY7" i="9"/>
  <c r="DG7" i="9"/>
  <c r="AU7" i="9"/>
  <c r="CQ7" i="9"/>
  <c r="CA7" i="9"/>
  <c r="BS7" i="9"/>
  <c r="BC7" i="9"/>
  <c r="N29" i="3"/>
  <c r="N22" i="3"/>
  <c r="N50" i="3"/>
  <c r="N49" i="3"/>
  <c r="N53" i="3"/>
  <c r="N85" i="3"/>
  <c r="N95" i="3"/>
  <c r="N30" i="3"/>
  <c r="N74" i="3"/>
  <c r="N69" i="3"/>
  <c r="N86" i="3"/>
  <c r="N33" i="3"/>
  <c r="N31" i="3"/>
  <c r="N67" i="3"/>
  <c r="N94" i="3"/>
  <c r="N24" i="3"/>
  <c r="N51" i="3"/>
  <c r="N88" i="3"/>
  <c r="N72" i="3"/>
  <c r="N63" i="3"/>
  <c r="N35" i="3"/>
  <c r="N90" i="3"/>
  <c r="N34" i="3"/>
  <c r="N46" i="3"/>
  <c r="N92" i="3"/>
  <c r="N45" i="3"/>
  <c r="N73" i="3"/>
  <c r="N43" i="3"/>
  <c r="N54" i="3"/>
  <c r="N83" i="3"/>
  <c r="N32" i="3"/>
  <c r="N75" i="3"/>
  <c r="N26" i="3"/>
  <c r="N70" i="3"/>
  <c r="N82" i="3"/>
  <c r="K9" i="11"/>
  <c r="N87" i="3"/>
  <c r="N28" i="3"/>
  <c r="N93" i="3"/>
  <c r="N23" i="3"/>
  <c r="N91" i="3"/>
  <c r="N68" i="3"/>
  <c r="N55" i="3"/>
  <c r="N89" i="3"/>
  <c r="N48" i="3"/>
  <c r="N42" i="3"/>
  <c r="N44" i="3"/>
  <c r="N71" i="3"/>
  <c r="N27" i="3"/>
  <c r="N52" i="3"/>
  <c r="N66" i="3"/>
  <c r="N47" i="3"/>
  <c r="N84" i="3"/>
  <c r="N65" i="3"/>
  <c r="N25" i="3"/>
  <c r="N62" i="3"/>
  <c r="C69" i="9"/>
  <c r="C68" i="9"/>
  <c r="C54" i="9"/>
  <c r="C53" i="9"/>
  <c r="C84" i="9"/>
  <c r="C83" i="9"/>
  <c r="C39" i="9"/>
  <c r="C38" i="9"/>
  <c r="C182" i="9"/>
  <c r="C121" i="9"/>
  <c r="C131" i="9" s="1"/>
  <c r="C49" i="20" s="1"/>
  <c r="C168" i="9"/>
  <c r="C117" i="9"/>
  <c r="C30" i="20" s="1"/>
  <c r="C196" i="9"/>
  <c r="C145" i="9"/>
  <c r="C68" i="20" s="1"/>
  <c r="C93" i="9"/>
  <c r="C103" i="9" s="1"/>
  <c r="C11" i="20" s="1"/>
  <c r="C154" i="9"/>
  <c r="CI15" i="29" l="1"/>
  <c r="CI27" i="29"/>
  <c r="CI23" i="29"/>
  <c r="CI19" i="29"/>
  <c r="AU19" i="29"/>
  <c r="AU27" i="29"/>
  <c r="AU23" i="29"/>
  <c r="AU15" i="29"/>
  <c r="AE15" i="29"/>
  <c r="AE23" i="29"/>
  <c r="AE27" i="29"/>
  <c r="AE19" i="29"/>
  <c r="CQ15" i="29"/>
  <c r="CQ27" i="29"/>
  <c r="CQ23" i="29"/>
  <c r="CQ19" i="29"/>
  <c r="AM15" i="29"/>
  <c r="AM19" i="29"/>
  <c r="AM23" i="29"/>
  <c r="AM27" i="29"/>
  <c r="BS27" i="29"/>
  <c r="BS15" i="29"/>
  <c r="BS23" i="29"/>
  <c r="BS19" i="29"/>
  <c r="CY19" i="29"/>
  <c r="CY15" i="29"/>
  <c r="CY23" i="29"/>
  <c r="CY27" i="29"/>
  <c r="BK15" i="29"/>
  <c r="BK19" i="29"/>
  <c r="BK27" i="29"/>
  <c r="BK23" i="29"/>
  <c r="DG19" i="29"/>
  <c r="DG15" i="29"/>
  <c r="DG23" i="29"/>
  <c r="DG27" i="29"/>
  <c r="O19" i="29"/>
  <c r="O27" i="29"/>
  <c r="O23" i="29"/>
  <c r="O15" i="29"/>
  <c r="G15" i="29"/>
  <c r="G23" i="29"/>
  <c r="G19" i="29"/>
  <c r="G40" i="29" s="1"/>
  <c r="G27" i="29"/>
  <c r="CA27" i="29"/>
  <c r="CA23" i="29"/>
  <c r="CA15" i="29"/>
  <c r="CA19" i="29"/>
  <c r="W15" i="29"/>
  <c r="W19" i="29"/>
  <c r="W27" i="29"/>
  <c r="W23" i="29"/>
  <c r="BC15" i="29"/>
  <c r="BC27" i="29"/>
  <c r="BC19" i="29"/>
  <c r="BC23" i="29"/>
  <c r="C164" i="9"/>
  <c r="C206" i="9"/>
  <c r="C178" i="9"/>
  <c r="C192" i="9"/>
  <c r="C25" i="20"/>
  <c r="D22" i="11" s="1"/>
  <c r="C63" i="20"/>
  <c r="C44" i="20"/>
  <c r="C82" i="20"/>
  <c r="D74" i="11" s="1"/>
  <c r="K49" i="20" l="1"/>
  <c r="K63" i="20" s="1"/>
  <c r="D58" i="11" s="1"/>
  <c r="K68" i="20"/>
  <c r="K82" i="20" s="1"/>
  <c r="D83" i="11" s="1"/>
  <c r="K30" i="20"/>
  <c r="K44" i="20" s="1"/>
  <c r="D32" i="11" s="1"/>
  <c r="AM5" i="28" s="1"/>
  <c r="K11" i="20"/>
  <c r="K25" i="20" s="1"/>
  <c r="BC65" i="29"/>
  <c r="BC44" i="29"/>
  <c r="CA61" i="29"/>
  <c r="CA40" i="29"/>
  <c r="BK65" i="29"/>
  <c r="BK44" i="29"/>
  <c r="BS40" i="29"/>
  <c r="BS61" i="29"/>
  <c r="CQ61" i="29"/>
  <c r="CQ40" i="29"/>
  <c r="AU57" i="29"/>
  <c r="AU36" i="29"/>
  <c r="BC40" i="29"/>
  <c r="BC61" i="29"/>
  <c r="CA36" i="29"/>
  <c r="CA57" i="29"/>
  <c r="O65" i="29"/>
  <c r="O44" i="29"/>
  <c r="BK69" i="29"/>
  <c r="BK48" i="29"/>
  <c r="BS44" i="29"/>
  <c r="BS65" i="29"/>
  <c r="CQ44" i="29"/>
  <c r="CQ65" i="29"/>
  <c r="AU65" i="29"/>
  <c r="AU44" i="29"/>
  <c r="AU48" i="29"/>
  <c r="AU69" i="29"/>
  <c r="BC48" i="29"/>
  <c r="BC69" i="29"/>
  <c r="O48" i="29"/>
  <c r="O69" i="29"/>
  <c r="BK61" i="29"/>
  <c r="BK40" i="29"/>
  <c r="BS57" i="29"/>
  <c r="BS36" i="29"/>
  <c r="CQ48" i="29"/>
  <c r="CQ69" i="29"/>
  <c r="BC36" i="29"/>
  <c r="BC57" i="29"/>
  <c r="CA69" i="29"/>
  <c r="CA48" i="29"/>
  <c r="O61" i="29"/>
  <c r="O40" i="29"/>
  <c r="BK36" i="29"/>
  <c r="BK57" i="29"/>
  <c r="BS48" i="29"/>
  <c r="BS69" i="29"/>
  <c r="CQ36" i="29"/>
  <c r="CQ57" i="29"/>
  <c r="AU40" i="29"/>
  <c r="AU61" i="29"/>
  <c r="O36" i="29"/>
  <c r="O57" i="29"/>
  <c r="W44" i="29"/>
  <c r="W65" i="29"/>
  <c r="G69" i="29"/>
  <c r="G48" i="29"/>
  <c r="DG48" i="29"/>
  <c r="DG69" i="29"/>
  <c r="CY69" i="29"/>
  <c r="CY48" i="29"/>
  <c r="AM69" i="29"/>
  <c r="AM48" i="29"/>
  <c r="AE40" i="29"/>
  <c r="AE61" i="29"/>
  <c r="CI40" i="29"/>
  <c r="CI61" i="29"/>
  <c r="CA44" i="29"/>
  <c r="CA65" i="29"/>
  <c r="W48" i="29"/>
  <c r="W69" i="29"/>
  <c r="G61" i="29"/>
  <c r="DG65" i="29"/>
  <c r="DG44" i="29"/>
  <c r="CY44" i="29"/>
  <c r="CY65" i="29"/>
  <c r="AM44" i="29"/>
  <c r="AM65" i="29"/>
  <c r="AE48" i="29"/>
  <c r="AE69" i="29"/>
  <c r="CI44" i="29"/>
  <c r="CI65" i="29"/>
  <c r="W40" i="29"/>
  <c r="W61" i="29"/>
  <c r="G65" i="29"/>
  <c r="G44" i="29"/>
  <c r="DG57" i="29"/>
  <c r="DG36" i="29"/>
  <c r="CY36" i="29"/>
  <c r="CY57" i="29"/>
  <c r="AM61" i="29"/>
  <c r="AM40" i="29"/>
  <c r="AE44" i="29"/>
  <c r="AE65" i="29"/>
  <c r="CI69" i="29"/>
  <c r="CI48" i="29"/>
  <c r="W57" i="29"/>
  <c r="W36" i="29"/>
  <c r="G36" i="29"/>
  <c r="G57" i="29"/>
  <c r="DG40" i="29"/>
  <c r="DG61" i="29"/>
  <c r="CY40" i="29"/>
  <c r="CY61" i="29"/>
  <c r="AM36" i="29"/>
  <c r="AM57" i="29"/>
  <c r="AE36" i="29"/>
  <c r="AE57" i="29"/>
  <c r="CI57" i="29"/>
  <c r="CI36" i="29"/>
  <c r="D82" i="11"/>
  <c r="D48" i="11"/>
  <c r="D73" i="11"/>
  <c r="D75" i="11" s="1"/>
  <c r="C5" i="28"/>
  <c r="D23" i="11"/>
  <c r="J5" i="28" s="1"/>
  <c r="D49" i="11"/>
  <c r="D84" i="11" l="1"/>
  <c r="D31" i="11"/>
  <c r="AF5" i="28" s="1"/>
  <c r="AT5" i="28" s="1"/>
  <c r="D57" i="11"/>
  <c r="D59" i="11" s="1"/>
  <c r="D24" i="11"/>
  <c r="D50" i="11"/>
  <c r="D33" i="11" l="1"/>
  <c r="Q5" i="28"/>
  <c r="AW55" i="26" l="1"/>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Y68" i="15" l="1"/>
  <c r="Y67" i="15"/>
  <c r="AA66" i="15"/>
  <c r="T66" i="15" s="1"/>
  <c r="AB79" i="15"/>
  <c r="Y66" i="15"/>
  <c r="R66" i="15" s="1"/>
  <c r="Y79" i="15"/>
  <c r="Y78" i="15"/>
  <c r="AA67" i="15"/>
  <c r="AB67" i="15"/>
  <c r="AA76" i="15"/>
  <c r="AA78" i="15"/>
  <c r="Y70" i="15"/>
  <c r="R70" i="15" s="1"/>
  <c r="Y65" i="15"/>
  <c r="R65" i="15" s="1"/>
  <c r="Y75" i="15"/>
  <c r="AA75" i="15"/>
  <c r="AB77" i="15"/>
  <c r="Z71" i="15"/>
  <c r="AA65" i="15"/>
  <c r="T65" i="15" s="1"/>
  <c r="AB65" i="15"/>
  <c r="U65" i="15" s="1"/>
  <c r="Z72" i="15"/>
  <c r="AB66" i="15"/>
  <c r="U66" i="15" s="1"/>
  <c r="K19" i="9" s="1"/>
  <c r="Z73" i="15"/>
  <c r="Y77" i="15"/>
  <c r="AA68" i="15"/>
  <c r="AB75" i="15"/>
  <c r="AA70" i="15"/>
  <c r="T70" i="15" s="1"/>
  <c r="AB68" i="15"/>
  <c r="Z74" i="15"/>
  <c r="AA71" i="15"/>
  <c r="AB70" i="15"/>
  <c r="U70" i="15" s="1"/>
  <c r="Z75" i="15"/>
  <c r="AA72" i="15"/>
  <c r="AB73" i="15"/>
  <c r="Z76" i="15"/>
  <c r="AA73" i="15"/>
  <c r="AB71" i="15"/>
  <c r="Z77" i="15"/>
  <c r="AB74" i="15"/>
  <c r="Z78" i="15"/>
  <c r="AB72" i="15"/>
  <c r="Z79" i="15"/>
  <c r="Y71" i="15"/>
  <c r="AA77" i="15"/>
  <c r="Z65" i="15"/>
  <c r="S65" i="15" s="1"/>
  <c r="Y72" i="15"/>
  <c r="Y73" i="15"/>
  <c r="AA74" i="15"/>
  <c r="Z67" i="15"/>
  <c r="Y74" i="15"/>
  <c r="AA79" i="15"/>
  <c r="AB76" i="15"/>
  <c r="Z68" i="15"/>
  <c r="Z70" i="15"/>
  <c r="S70" i="15" s="1"/>
  <c r="Y76" i="15"/>
  <c r="AB78" i="15"/>
  <c r="Z66" i="15"/>
  <c r="S66" i="15" s="1"/>
  <c r="K8" i="9" l="1"/>
  <c r="N10" i="9"/>
  <c r="K13" i="9"/>
  <c r="L13" i="9"/>
  <c r="M13" i="9"/>
  <c r="K16" i="9"/>
  <c r="L16" i="9"/>
  <c r="AL10" i="9"/>
  <c r="AI8" i="9"/>
  <c r="AI10" i="9"/>
  <c r="V66" i="15"/>
  <c r="V65" i="15"/>
  <c r="V70" i="15"/>
  <c r="C18" i="9"/>
  <c r="C12" i="9"/>
  <c r="C15" i="9"/>
  <c r="C8" i="9"/>
  <c r="AR28" i="9"/>
  <c r="W43" i="9"/>
  <c r="CQ73" i="9"/>
  <c r="CY43" i="9"/>
  <c r="CA43" i="9"/>
  <c r="AS28" i="9"/>
  <c r="AU29" i="9"/>
  <c r="DG28" i="9"/>
  <c r="BS73" i="9"/>
  <c r="AT28" i="9"/>
  <c r="AE28" i="9"/>
  <c r="CI28" i="9"/>
  <c r="BC58" i="9"/>
  <c r="BK28" i="9"/>
  <c r="AJ7" i="9" l="1"/>
  <c r="AJ8" i="9" s="1"/>
  <c r="AJ11" i="9" s="1"/>
  <c r="K10" i="9"/>
  <c r="L7" i="9" s="1"/>
  <c r="AJ10" i="9"/>
  <c r="L10" i="9"/>
  <c r="K11" i="9"/>
  <c r="K14" i="9" s="1"/>
  <c r="K17" i="9" s="1"/>
  <c r="O28" i="9" s="1"/>
  <c r="O154" i="9" s="1"/>
  <c r="K52" i="15"/>
  <c r="K53" i="15"/>
  <c r="AI11" i="9"/>
  <c r="AI13" i="9" s="1"/>
  <c r="C10" i="9"/>
  <c r="D7" i="9" s="1"/>
  <c r="C11" i="9"/>
  <c r="E43" i="9" s="1"/>
  <c r="O44" i="9"/>
  <c r="CY73" i="9"/>
  <c r="CY196" i="9" s="1"/>
  <c r="CY28" i="9"/>
  <c r="CY93" i="9" s="1"/>
  <c r="CY58" i="9"/>
  <c r="CY121" i="9" s="1"/>
  <c r="BK43" i="9"/>
  <c r="BK107" i="9" s="1"/>
  <c r="BK73" i="9"/>
  <c r="BK135" i="9" s="1"/>
  <c r="DG73" i="9"/>
  <c r="DG196" i="9" s="1"/>
  <c r="BK58" i="9"/>
  <c r="BK182" i="9" s="1"/>
  <c r="DG43" i="9"/>
  <c r="DG107" i="9" s="1"/>
  <c r="DG58" i="9"/>
  <c r="DG121" i="9" s="1"/>
  <c r="CI58" i="9"/>
  <c r="CI121" i="9" s="1"/>
  <c r="W28" i="9"/>
  <c r="W154" i="9" s="1"/>
  <c r="CI43" i="9"/>
  <c r="CI168" i="9" s="1"/>
  <c r="W58" i="9"/>
  <c r="W182" i="9" s="1"/>
  <c r="CI73" i="9"/>
  <c r="CI135" i="9" s="1"/>
  <c r="CQ43" i="9"/>
  <c r="CQ107" i="9" s="1"/>
  <c r="CQ28" i="9"/>
  <c r="CQ93" i="9" s="1"/>
  <c r="CQ58" i="9"/>
  <c r="CQ121" i="9" s="1"/>
  <c r="W73" i="9"/>
  <c r="W196" i="9" s="1"/>
  <c r="CA58" i="9"/>
  <c r="CA182" i="9" s="1"/>
  <c r="AE43" i="9"/>
  <c r="AE168" i="9" s="1"/>
  <c r="CA73" i="9"/>
  <c r="CA196" i="9" s="1"/>
  <c r="AE73" i="9"/>
  <c r="AE196" i="9" s="1"/>
  <c r="CA28" i="9"/>
  <c r="CA154" i="9" s="1"/>
  <c r="BS28" i="9"/>
  <c r="BS154" i="9" s="1"/>
  <c r="BC28" i="9"/>
  <c r="BC154" i="9" s="1"/>
  <c r="AE58" i="9"/>
  <c r="AE121" i="9" s="1"/>
  <c r="BS58" i="9"/>
  <c r="BS182" i="9" s="1"/>
  <c r="BC43" i="9"/>
  <c r="BC107" i="9" s="1"/>
  <c r="BS43" i="9"/>
  <c r="BS107" i="9" s="1"/>
  <c r="BC73" i="9"/>
  <c r="BC196" i="9" s="1"/>
  <c r="AJ43" i="9"/>
  <c r="CH45" i="9"/>
  <c r="CX30" i="9"/>
  <c r="CY45" i="9"/>
  <c r="DG30" i="9"/>
  <c r="CP45" i="9"/>
  <c r="BZ45" i="9"/>
  <c r="CA45" i="9"/>
  <c r="BR75" i="9"/>
  <c r="BJ75" i="9"/>
  <c r="BK60" i="9"/>
  <c r="BB45" i="9"/>
  <c r="BC75" i="9"/>
  <c r="AU73" i="9"/>
  <c r="CV60" i="9"/>
  <c r="CV75" i="9"/>
  <c r="CV30" i="9"/>
  <c r="CV45" i="9"/>
  <c r="DD60" i="9"/>
  <c r="DD75" i="9"/>
  <c r="DD30" i="9"/>
  <c r="DD45" i="9"/>
  <c r="CN30" i="9"/>
  <c r="CN75" i="9"/>
  <c r="CN45" i="9"/>
  <c r="CN60" i="9"/>
  <c r="CF30" i="9"/>
  <c r="CF75" i="9"/>
  <c r="CF60" i="9"/>
  <c r="CF45" i="9"/>
  <c r="BP75" i="9"/>
  <c r="BP30" i="9"/>
  <c r="BP45" i="9"/>
  <c r="BP60" i="9"/>
  <c r="BX75" i="9"/>
  <c r="BX45" i="9"/>
  <c r="BX30" i="9"/>
  <c r="BX60" i="9"/>
  <c r="AU58" i="9"/>
  <c r="AU43" i="9"/>
  <c r="AB45" i="9"/>
  <c r="AB30" i="9"/>
  <c r="AB60" i="9"/>
  <c r="AB75" i="9"/>
  <c r="T75" i="9"/>
  <c r="T30" i="9"/>
  <c r="T60" i="9"/>
  <c r="T45" i="9"/>
  <c r="AU28" i="9"/>
  <c r="BH75" i="9"/>
  <c r="BH60" i="9"/>
  <c r="BH30" i="9"/>
  <c r="BH45" i="9"/>
  <c r="AZ45" i="9"/>
  <c r="AZ30" i="9"/>
  <c r="AZ60" i="9"/>
  <c r="AZ75" i="9"/>
  <c r="AU94" i="9"/>
  <c r="CQ135" i="9"/>
  <c r="CQ196" i="9"/>
  <c r="BS135" i="9"/>
  <c r="BS196" i="9"/>
  <c r="BC121" i="9"/>
  <c r="BC182" i="9"/>
  <c r="CA168" i="9"/>
  <c r="CA107" i="9"/>
  <c r="CY107" i="9"/>
  <c r="CY168" i="9"/>
  <c r="CI154" i="9"/>
  <c r="CI93" i="9"/>
  <c r="AS154" i="9"/>
  <c r="AS93" i="9"/>
  <c r="BK93" i="9"/>
  <c r="BK154" i="9"/>
  <c r="AT93" i="9"/>
  <c r="AT154" i="9"/>
  <c r="AR93" i="9"/>
  <c r="AR154" i="9"/>
  <c r="DG154" i="9"/>
  <c r="DG93" i="9"/>
  <c r="W168" i="9"/>
  <c r="W107" i="9"/>
  <c r="AE154" i="9"/>
  <c r="AE93"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AE74" i="9"/>
  <c r="AE44" i="9"/>
  <c r="AE59" i="9"/>
  <c r="AE29" i="9"/>
  <c r="AC58" i="9"/>
  <c r="AC28" i="9"/>
  <c r="AC73" i="9"/>
  <c r="AC43" i="9"/>
  <c r="AD43" i="9"/>
  <c r="AD58" i="9"/>
  <c r="AD28" i="9"/>
  <c r="AD73" i="9"/>
  <c r="D58" i="9"/>
  <c r="D28" i="9"/>
  <c r="D43" i="9"/>
  <c r="D73" i="9"/>
  <c r="AB43" i="9"/>
  <c r="AB28" i="9"/>
  <c r="AB58" i="9"/>
  <c r="AB73" i="9"/>
  <c r="AT58" i="9"/>
  <c r="AT73" i="9"/>
  <c r="AT43" i="9"/>
  <c r="AR43" i="9"/>
  <c r="AR73" i="9"/>
  <c r="AR58" i="9"/>
  <c r="AS43" i="9"/>
  <c r="AS73" i="9"/>
  <c r="AS58" i="9"/>
  <c r="AU74" i="9"/>
  <c r="AU44" i="9"/>
  <c r="AU59" i="9"/>
  <c r="V58" i="9"/>
  <c r="V28" i="9"/>
  <c r="V73" i="9"/>
  <c r="V43" i="9"/>
  <c r="U28" i="9"/>
  <c r="U58" i="9"/>
  <c r="U43" i="9"/>
  <c r="U73" i="9"/>
  <c r="T43" i="9"/>
  <c r="T58" i="9"/>
  <c r="T28" i="9"/>
  <c r="T73" i="9"/>
  <c r="W29" i="9"/>
  <c r="W74" i="9"/>
  <c r="W59" i="9"/>
  <c r="W44" i="9"/>
  <c r="AK7" i="9" l="1"/>
  <c r="AK8" i="9" s="1"/>
  <c r="AK11" i="9" s="1"/>
  <c r="L9" i="9"/>
  <c r="L8" i="9"/>
  <c r="AK10" i="9"/>
  <c r="M9" i="9"/>
  <c r="N73" i="9"/>
  <c r="N196" i="9" s="1"/>
  <c r="O93" i="9"/>
  <c r="N58" i="9"/>
  <c r="N182" i="9" s="1"/>
  <c r="M58" i="9"/>
  <c r="M121" i="9" s="1"/>
  <c r="N43" i="9"/>
  <c r="N168" i="9" s="1"/>
  <c r="M28" i="9"/>
  <c r="M154" i="9" s="1"/>
  <c r="N28" i="9"/>
  <c r="N93" i="9" s="1"/>
  <c r="M73" i="9"/>
  <c r="M135" i="9" s="1"/>
  <c r="M43" i="9"/>
  <c r="M168" i="9" s="1"/>
  <c r="O58" i="9"/>
  <c r="O121" i="9" s="1"/>
  <c r="O43" i="9"/>
  <c r="O168" i="9" s="1"/>
  <c r="O73" i="9"/>
  <c r="O196" i="9" s="1"/>
  <c r="K20" i="9"/>
  <c r="AK58" i="9"/>
  <c r="AK121" i="9" s="1"/>
  <c r="AK73" i="9"/>
  <c r="AK135" i="9" s="1"/>
  <c r="AK43" i="9"/>
  <c r="AK168" i="9" s="1"/>
  <c r="AJ14" i="9"/>
  <c r="AJ16" i="9" s="1"/>
  <c r="AJ13" i="9"/>
  <c r="AK13" i="9"/>
  <c r="AI14" i="9"/>
  <c r="AI16" i="9" s="1"/>
  <c r="AL29" i="9" s="1"/>
  <c r="AK28" i="9"/>
  <c r="E73" i="9"/>
  <c r="E196" i="9" s="1"/>
  <c r="E58" i="9"/>
  <c r="E182" i="9" s="1"/>
  <c r="E28" i="9"/>
  <c r="E154" i="9" s="1"/>
  <c r="C14" i="9"/>
  <c r="C13" i="9"/>
  <c r="E59" i="9" s="1"/>
  <c r="D12" i="9"/>
  <c r="D15" i="9"/>
  <c r="D9" i="9"/>
  <c r="D8" i="9"/>
  <c r="D11" i="9" s="1"/>
  <c r="D14" i="9" s="1"/>
  <c r="AR75" i="9"/>
  <c r="AR84" i="9" s="1"/>
  <c r="BI77" i="9"/>
  <c r="BI31" i="9"/>
  <c r="BI96" i="9" s="1"/>
  <c r="BB61" i="9"/>
  <c r="BB124" i="9" s="1"/>
  <c r="O29" i="9"/>
  <c r="O94" i="9" s="1"/>
  <c r="O59" i="9"/>
  <c r="O122" i="9" s="1"/>
  <c r="O74" i="9"/>
  <c r="O136" i="9" s="1"/>
  <c r="D60" i="9"/>
  <c r="D69" i="9" s="1"/>
  <c r="D75" i="9"/>
  <c r="D137" i="9" s="1"/>
  <c r="D30" i="9"/>
  <c r="D95" i="9" s="1"/>
  <c r="AE60" i="9"/>
  <c r="AE184" i="9" s="1"/>
  <c r="AD30" i="9"/>
  <c r="AD95" i="9" s="1"/>
  <c r="AD76" i="9"/>
  <c r="AD138" i="9" s="1"/>
  <c r="AC77" i="9"/>
  <c r="AC46" i="9"/>
  <c r="AC110" i="9" s="1"/>
  <c r="W45" i="9"/>
  <c r="W170" i="9" s="1"/>
  <c r="V30" i="9"/>
  <c r="V95" i="9" s="1"/>
  <c r="U76" i="9"/>
  <c r="U138" i="9" s="1"/>
  <c r="D45" i="9"/>
  <c r="D54" i="9" s="1"/>
  <c r="AR60" i="9"/>
  <c r="AR123" i="9" s="1"/>
  <c r="AS60" i="9"/>
  <c r="AS184" i="9" s="1"/>
  <c r="AR45" i="9"/>
  <c r="AR109" i="9" s="1"/>
  <c r="AU30" i="9"/>
  <c r="AU95" i="9" s="1"/>
  <c r="AR30" i="9"/>
  <c r="AR95" i="9" s="1"/>
  <c r="AT30" i="9"/>
  <c r="AT156" i="9" s="1"/>
  <c r="CY154" i="9"/>
  <c r="AJ29" i="9"/>
  <c r="AJ94" i="9" s="1"/>
  <c r="DG182" i="9"/>
  <c r="DG168" i="9"/>
  <c r="CY135" i="9"/>
  <c r="CY182" i="9"/>
  <c r="BK196" i="9"/>
  <c r="DG135" i="9"/>
  <c r="BK168" i="9"/>
  <c r="BK121" i="9"/>
  <c r="AJ28" i="9"/>
  <c r="AJ93" i="9" s="1"/>
  <c r="CI182" i="9"/>
  <c r="AE182" i="9"/>
  <c r="W121" i="9"/>
  <c r="W93" i="9"/>
  <c r="CQ182" i="9"/>
  <c r="BC93" i="9"/>
  <c r="CQ168" i="9"/>
  <c r="CI196" i="9"/>
  <c r="CQ154" i="9"/>
  <c r="CI107" i="9"/>
  <c r="W135" i="9"/>
  <c r="AJ58" i="9"/>
  <c r="AJ121" i="9" s="1"/>
  <c r="AE107" i="9"/>
  <c r="CA121" i="9"/>
  <c r="CA135" i="9"/>
  <c r="BC135" i="9"/>
  <c r="AJ73" i="9"/>
  <c r="AJ196" i="9" s="1"/>
  <c r="AE135" i="9"/>
  <c r="BS121" i="9"/>
  <c r="BS93" i="9"/>
  <c r="CA93" i="9"/>
  <c r="BS168" i="9"/>
  <c r="BC168" i="9"/>
  <c r="BS60" i="9"/>
  <c r="BS123" i="9" s="1"/>
  <c r="AU135" i="9"/>
  <c r="AU168" i="9"/>
  <c r="AU121" i="9"/>
  <c r="CP75" i="9"/>
  <c r="CP198" i="9" s="1"/>
  <c r="CX45" i="9"/>
  <c r="CX170" i="9" s="1"/>
  <c r="BQ60" i="9"/>
  <c r="BQ123" i="9" s="1"/>
  <c r="CG60" i="9"/>
  <c r="CG184" i="9" s="1"/>
  <c r="CY30" i="9"/>
  <c r="CY156" i="9" s="1"/>
  <c r="BS75" i="9"/>
  <c r="BS198" i="9" s="1"/>
  <c r="BQ75" i="9"/>
  <c r="BQ198" i="9" s="1"/>
  <c r="CH60" i="9"/>
  <c r="CH123" i="9" s="1"/>
  <c r="BI75" i="9"/>
  <c r="BI137" i="9" s="1"/>
  <c r="CV69" i="9"/>
  <c r="CY75" i="9"/>
  <c r="CY198" i="9" s="1"/>
  <c r="CY60" i="9"/>
  <c r="CY184" i="9" s="1"/>
  <c r="CH75" i="9"/>
  <c r="CH198" i="9" s="1"/>
  <c r="DF61" i="9"/>
  <c r="DF124" i="9" s="1"/>
  <c r="DD39" i="9"/>
  <c r="CF39" i="9"/>
  <c r="CG30" i="9"/>
  <c r="CG156" i="9" s="1"/>
  <c r="CX75" i="9"/>
  <c r="CX137" i="9" s="1"/>
  <c r="CX60" i="9"/>
  <c r="CX123" i="9" s="1"/>
  <c r="BS30" i="9"/>
  <c r="CW60" i="9"/>
  <c r="CW123" i="9" s="1"/>
  <c r="BC30" i="9"/>
  <c r="BC95" i="9" s="1"/>
  <c r="DF75" i="9"/>
  <c r="DF198" i="9" s="1"/>
  <c r="BK75" i="9"/>
  <c r="BK198" i="9" s="1"/>
  <c r="BK30" i="9"/>
  <c r="BK95" i="9" s="1"/>
  <c r="V60" i="9"/>
  <c r="V123" i="9" s="1"/>
  <c r="CG75" i="9"/>
  <c r="CG198" i="9" s="1"/>
  <c r="CO60" i="9"/>
  <c r="CO184" i="9" s="1"/>
  <c r="CG45" i="9"/>
  <c r="CG109" i="9" s="1"/>
  <c r="BS45" i="9"/>
  <c r="BS109" i="9" s="1"/>
  <c r="AU196" i="9"/>
  <c r="BK45" i="9"/>
  <c r="CV39" i="9"/>
  <c r="BJ30" i="9"/>
  <c r="BJ156" i="9" s="1"/>
  <c r="DF45" i="9"/>
  <c r="DF109" i="9" s="1"/>
  <c r="V75" i="9"/>
  <c r="V198" i="9" s="1"/>
  <c r="DF60" i="9"/>
  <c r="DF184" i="9" s="1"/>
  <c r="CW45" i="9"/>
  <c r="CW170" i="9" s="1"/>
  <c r="T69" i="9"/>
  <c r="CW75" i="9"/>
  <c r="CW198" i="9" s="1"/>
  <c r="CV84" i="9"/>
  <c r="DG46" i="9"/>
  <c r="DG110" i="9" s="1"/>
  <c r="CX61" i="9"/>
  <c r="CX124" i="9" s="1"/>
  <c r="DF30" i="9"/>
  <c r="DF95" i="9" s="1"/>
  <c r="CW61" i="9"/>
  <c r="CW124" i="9" s="1"/>
  <c r="V45" i="9"/>
  <c r="V170" i="9" s="1"/>
  <c r="CP60" i="9"/>
  <c r="CP184" i="9" s="1"/>
  <c r="BA60" i="9"/>
  <c r="BA184" i="9" s="1"/>
  <c r="BJ45" i="9"/>
  <c r="CW30" i="9"/>
  <c r="CW95" i="9" s="1"/>
  <c r="BQ45" i="9"/>
  <c r="BQ109" i="9" s="1"/>
  <c r="BA75" i="9"/>
  <c r="BA198" i="9" s="1"/>
  <c r="BJ60" i="9"/>
  <c r="BJ123" i="9" s="1"/>
  <c r="AZ54" i="9"/>
  <c r="CP30" i="9"/>
  <c r="CP95" i="9" s="1"/>
  <c r="DG45" i="9"/>
  <c r="DG109" i="9" s="1"/>
  <c r="BY60" i="9"/>
  <c r="BY184" i="9" s="1"/>
  <c r="BA45" i="9"/>
  <c r="BA109" i="9" s="1"/>
  <c r="DG75" i="9"/>
  <c r="DG137" i="9" s="1"/>
  <c r="BY75" i="9"/>
  <c r="BY198" i="9" s="1"/>
  <c r="AB54" i="9"/>
  <c r="BX84" i="9"/>
  <c r="DG60" i="9"/>
  <c r="BY30" i="9"/>
  <c r="BY95" i="9" s="1"/>
  <c r="BQ30" i="9"/>
  <c r="BQ156" i="9" s="1"/>
  <c r="BA30" i="9"/>
  <c r="BA95" i="9" s="1"/>
  <c r="BY45" i="9"/>
  <c r="BY170" i="9" s="1"/>
  <c r="BS61" i="9"/>
  <c r="BS124" i="9" s="1"/>
  <c r="AD75" i="9"/>
  <c r="AD198" i="9" s="1"/>
  <c r="BZ75" i="9"/>
  <c r="BZ198" i="9" s="1"/>
  <c r="BP54" i="9"/>
  <c r="BZ60" i="9"/>
  <c r="BZ184" i="9" s="1"/>
  <c r="AD60" i="9"/>
  <c r="AD184" i="9" s="1"/>
  <c r="BZ30" i="9"/>
  <c r="BZ156" i="9" s="1"/>
  <c r="BX69" i="9"/>
  <c r="AD45" i="9"/>
  <c r="AD170" i="9" s="1"/>
  <c r="CN39" i="9"/>
  <c r="CN69" i="9"/>
  <c r="CY61" i="9"/>
  <c r="CY124" i="9" s="1"/>
  <c r="BH84" i="9"/>
  <c r="V76" i="9"/>
  <c r="V138" i="9" s="1"/>
  <c r="CP61" i="9"/>
  <c r="CP124" i="9" s="1"/>
  <c r="CF84" i="9"/>
  <c r="AZ39" i="9"/>
  <c r="T84" i="9"/>
  <c r="BH54" i="9"/>
  <c r="T39" i="9"/>
  <c r="AB84" i="9"/>
  <c r="AE30" i="9"/>
  <c r="AE156" i="9" s="1"/>
  <c r="W31" i="9"/>
  <c r="W96" i="9" s="1"/>
  <c r="AE61" i="9"/>
  <c r="DD54" i="9"/>
  <c r="AE45" i="9"/>
  <c r="CV54" i="9"/>
  <c r="BP69" i="9"/>
  <c r="CH30" i="9"/>
  <c r="CH156" i="9" s="1"/>
  <c r="BI45" i="9"/>
  <c r="AE75" i="9"/>
  <c r="BI60" i="9"/>
  <c r="BI123" i="9" s="1"/>
  <c r="BQ46" i="9"/>
  <c r="BQ110" i="9" s="1"/>
  <c r="BR30" i="9"/>
  <c r="BR156" i="9" s="1"/>
  <c r="AB69" i="9"/>
  <c r="BR45" i="9"/>
  <c r="BR170" i="9" s="1"/>
  <c r="BH39" i="9"/>
  <c r="BR60" i="9"/>
  <c r="BR123" i="9" s="1"/>
  <c r="CQ76" i="9"/>
  <c r="CQ138" i="9" s="1"/>
  <c r="AB39" i="9"/>
  <c r="BH69" i="9"/>
  <c r="CI46" i="9"/>
  <c r="CI110" i="9" s="1"/>
  <c r="CH46" i="9"/>
  <c r="CH110" i="9" s="1"/>
  <c r="CQ60" i="9"/>
  <c r="DE45" i="9"/>
  <c r="DE109" i="9" s="1"/>
  <c r="CQ45" i="9"/>
  <c r="CQ170" i="9" s="1"/>
  <c r="CQ75" i="9"/>
  <c r="CQ137" i="9" s="1"/>
  <c r="DE60" i="9"/>
  <c r="DE123" i="9" s="1"/>
  <c r="CQ30" i="9"/>
  <c r="CQ156" i="9" s="1"/>
  <c r="DE30" i="9"/>
  <c r="DE156" i="9" s="1"/>
  <c r="AT61" i="9"/>
  <c r="AT124" i="9" s="1"/>
  <c r="DE75" i="9"/>
  <c r="DE137" i="9" s="1"/>
  <c r="AU107" i="9"/>
  <c r="BR46" i="9"/>
  <c r="BR110" i="9" s="1"/>
  <c r="CF184" i="9"/>
  <c r="CF123" i="9"/>
  <c r="CF54" i="9"/>
  <c r="BP170" i="9"/>
  <c r="BP109" i="9"/>
  <c r="DE77" i="9"/>
  <c r="DE32" i="9"/>
  <c r="DE62" i="9"/>
  <c r="DE47" i="9"/>
  <c r="BX170" i="9"/>
  <c r="BX109" i="9"/>
  <c r="U45" i="9"/>
  <c r="U109" i="9" s="1"/>
  <c r="CO30" i="9"/>
  <c r="CO156" i="9" s="1"/>
  <c r="BX137" i="9"/>
  <c r="BX198" i="9"/>
  <c r="CN95" i="9"/>
  <c r="CN156" i="9"/>
  <c r="BX156" i="9"/>
  <c r="BX95" i="9"/>
  <c r="CN198" i="9"/>
  <c r="CN137" i="9"/>
  <c r="U75" i="9"/>
  <c r="U198" i="9" s="1"/>
  <c r="CN84" i="9"/>
  <c r="CF198" i="9"/>
  <c r="CF137" i="9"/>
  <c r="CW77" i="9"/>
  <c r="CW32" i="9"/>
  <c r="CW47" i="9"/>
  <c r="CW62" i="9"/>
  <c r="DD84" i="9"/>
  <c r="BP137" i="9"/>
  <c r="BP198" i="9"/>
  <c r="CO45" i="9"/>
  <c r="CO170" i="9" s="1"/>
  <c r="U30" i="9"/>
  <c r="U156" i="9" s="1"/>
  <c r="BP84" i="9"/>
  <c r="BP39" i="9"/>
  <c r="CN54" i="9"/>
  <c r="CG77" i="9"/>
  <c r="CG62" i="9"/>
  <c r="CG47" i="9"/>
  <c r="CG32" i="9"/>
  <c r="DE61" i="9"/>
  <c r="DE124" i="9" s="1"/>
  <c r="BP156" i="9"/>
  <c r="BP95" i="9"/>
  <c r="DD69" i="9"/>
  <c r="CI75" i="9"/>
  <c r="CI198" i="9" s="1"/>
  <c r="CF156" i="9"/>
  <c r="CF95" i="9"/>
  <c r="DD170" i="9"/>
  <c r="DD109" i="9"/>
  <c r="CV170" i="9"/>
  <c r="CV109" i="9"/>
  <c r="DD198" i="9"/>
  <c r="DD137" i="9"/>
  <c r="CI30" i="9"/>
  <c r="CA60" i="9"/>
  <c r="DD95" i="9"/>
  <c r="DD156" i="9"/>
  <c r="DD184" i="9"/>
  <c r="DD123" i="9"/>
  <c r="W75" i="9"/>
  <c r="W198" i="9" s="1"/>
  <c r="CI45" i="9"/>
  <c r="CA75" i="9"/>
  <c r="BY31" i="9"/>
  <c r="BY96" i="9" s="1"/>
  <c r="CO76" i="9"/>
  <c r="CO138" i="9" s="1"/>
  <c r="CF109" i="9"/>
  <c r="CF170" i="9"/>
  <c r="CI60" i="9"/>
  <c r="CA30" i="9"/>
  <c r="CA61" i="9"/>
  <c r="CA124" i="9" s="1"/>
  <c r="BP184" i="9"/>
  <c r="BP123" i="9"/>
  <c r="CN109" i="9"/>
  <c r="CN170" i="9"/>
  <c r="W30" i="9"/>
  <c r="BX39" i="9"/>
  <c r="CF69" i="9"/>
  <c r="BY32" i="9"/>
  <c r="BY47" i="9"/>
  <c r="BY62" i="9"/>
  <c r="BY77" i="9"/>
  <c r="CG31" i="9"/>
  <c r="CG96" i="9" s="1"/>
  <c r="CV156" i="9"/>
  <c r="CV95" i="9"/>
  <c r="CO62" i="9"/>
  <c r="CO77" i="9"/>
  <c r="CO32" i="9"/>
  <c r="CO47" i="9"/>
  <c r="CO75" i="9"/>
  <c r="CO137" i="9" s="1"/>
  <c r="W60" i="9"/>
  <c r="BX54" i="9"/>
  <c r="AU182" i="9"/>
  <c r="BZ61" i="9"/>
  <c r="BZ124" i="9" s="1"/>
  <c r="BQ62" i="9"/>
  <c r="BQ32" i="9"/>
  <c r="BQ47" i="9"/>
  <c r="BQ77" i="9"/>
  <c r="CN123" i="9"/>
  <c r="CN184" i="9"/>
  <c r="CV198" i="9"/>
  <c r="CV137" i="9"/>
  <c r="U60" i="9"/>
  <c r="U123" i="9" s="1"/>
  <c r="BX184" i="9"/>
  <c r="BX123" i="9"/>
  <c r="CV123" i="9"/>
  <c r="CV184" i="9"/>
  <c r="BI30" i="9"/>
  <c r="BI95" i="9" s="1"/>
  <c r="AZ84" i="9"/>
  <c r="AU31" i="9"/>
  <c r="AU96" i="9" s="1"/>
  <c r="BK31" i="9"/>
  <c r="BK96" i="9" s="1"/>
  <c r="T54" i="9"/>
  <c r="AZ69" i="9"/>
  <c r="AB170" i="9"/>
  <c r="AB109" i="9"/>
  <c r="AC45" i="9"/>
  <c r="AC170" i="9" s="1"/>
  <c r="T170" i="9"/>
  <c r="T109" i="9"/>
  <c r="AC30" i="9"/>
  <c r="AC156" i="9" s="1"/>
  <c r="T123" i="9"/>
  <c r="T184" i="9"/>
  <c r="AC75" i="9"/>
  <c r="AC198" i="9" s="1"/>
  <c r="T156" i="9"/>
  <c r="T95" i="9"/>
  <c r="AC60" i="9"/>
  <c r="AC184" i="9" s="1"/>
  <c r="T137" i="9"/>
  <c r="T198" i="9"/>
  <c r="U32" i="9"/>
  <c r="U62" i="9"/>
  <c r="U47" i="9"/>
  <c r="U77" i="9"/>
  <c r="AB198" i="9"/>
  <c r="AB137" i="9"/>
  <c r="AB123" i="9"/>
  <c r="AB184" i="9"/>
  <c r="AB156" i="9"/>
  <c r="AB95" i="9"/>
  <c r="BJ61" i="9"/>
  <c r="BJ124" i="9" s="1"/>
  <c r="BB75" i="9"/>
  <c r="BB137" i="9" s="1"/>
  <c r="BB30" i="9"/>
  <c r="BB95" i="9" s="1"/>
  <c r="BB60" i="9"/>
  <c r="BB184" i="9" s="1"/>
  <c r="AU93" i="9"/>
  <c r="AU154" i="9"/>
  <c r="BA46" i="9"/>
  <c r="BA110" i="9" s="1"/>
  <c r="BC45" i="9"/>
  <c r="BC31" i="9"/>
  <c r="BH170" i="9"/>
  <c r="BH109" i="9"/>
  <c r="BH156" i="9"/>
  <c r="BH95" i="9"/>
  <c r="BH123" i="9"/>
  <c r="BH184" i="9"/>
  <c r="AZ198" i="9"/>
  <c r="AZ137" i="9"/>
  <c r="BH137" i="9"/>
  <c r="BH198" i="9"/>
  <c r="AZ184" i="9"/>
  <c r="AZ123" i="9"/>
  <c r="AZ95" i="9"/>
  <c r="AZ156" i="9"/>
  <c r="AZ109" i="9"/>
  <c r="AZ170" i="9"/>
  <c r="BC60" i="9"/>
  <c r="BA62" i="9"/>
  <c r="BA32" i="9"/>
  <c r="BA77" i="9"/>
  <c r="BA47" i="9"/>
  <c r="L75" i="9"/>
  <c r="L45" i="9"/>
  <c r="L60" i="9"/>
  <c r="L30"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BC136" i="9"/>
  <c r="BK136" i="9"/>
  <c r="AU136" i="9"/>
  <c r="BC122" i="9"/>
  <c r="BK122" i="9"/>
  <c r="AU122" i="9"/>
  <c r="BC108" i="9"/>
  <c r="BK108" i="9"/>
  <c r="AU108" i="9"/>
  <c r="BC94" i="9"/>
  <c r="BK94" i="9"/>
  <c r="W136" i="9"/>
  <c r="AE136" i="9"/>
  <c r="W122" i="9"/>
  <c r="AE122" i="9"/>
  <c r="AE108" i="9"/>
  <c r="W108" i="9"/>
  <c r="W94" i="9"/>
  <c r="AE94" i="9"/>
  <c r="O108" i="9"/>
  <c r="CF196" i="9"/>
  <c r="CF135"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DE135" i="9"/>
  <c r="DE196" i="9"/>
  <c r="AR135" i="9"/>
  <c r="AR196" i="9"/>
  <c r="DD135" i="9"/>
  <c r="DD196" i="9"/>
  <c r="BC137" i="9"/>
  <c r="BC198" i="9"/>
  <c r="CX135" i="9"/>
  <c r="CX196" i="9"/>
  <c r="DF196" i="9"/>
  <c r="DF135" i="9"/>
  <c r="CN135" i="9"/>
  <c r="CN196" i="9"/>
  <c r="BJ137" i="9"/>
  <c r="BJ198" i="9"/>
  <c r="CP135" i="9"/>
  <c r="CP196" i="9"/>
  <c r="BJ196" i="9"/>
  <c r="BJ135" i="9"/>
  <c r="BP135" i="9"/>
  <c r="BP196" i="9"/>
  <c r="BH135" i="9"/>
  <c r="BH196" i="9"/>
  <c r="BR135" i="9"/>
  <c r="BR196" i="9"/>
  <c r="AT182" i="9"/>
  <c r="AT121" i="9"/>
  <c r="DF121" i="9"/>
  <c r="DF182" i="9"/>
  <c r="CX182" i="9"/>
  <c r="CX121" i="9"/>
  <c r="CN121" i="9"/>
  <c r="CN182" i="9"/>
  <c r="CP121" i="9"/>
  <c r="CP182" i="9"/>
  <c r="BH121" i="9"/>
  <c r="BH182" i="9"/>
  <c r="BY121" i="9"/>
  <c r="BY182" i="9"/>
  <c r="BZ182" i="9"/>
  <c r="BZ121" i="9"/>
  <c r="DD182" i="9"/>
  <c r="DD121" i="9"/>
  <c r="BJ182" i="9"/>
  <c r="BJ121" i="9"/>
  <c r="AZ121" i="9"/>
  <c r="AZ182" i="9"/>
  <c r="CO182" i="9"/>
  <c r="CO121" i="9"/>
  <c r="DE182" i="9"/>
  <c r="DE121" i="9"/>
  <c r="BI121" i="9"/>
  <c r="BI182" i="9"/>
  <c r="CG182" i="9"/>
  <c r="CG121" i="9"/>
  <c r="CF121" i="9"/>
  <c r="CF182" i="9"/>
  <c r="CV121" i="9"/>
  <c r="CV182" i="9"/>
  <c r="BK123" i="9"/>
  <c r="BK184" i="9"/>
  <c r="BQ182" i="9"/>
  <c r="BQ121" i="9"/>
  <c r="CH121" i="9"/>
  <c r="CH182" i="9"/>
  <c r="BP182" i="9"/>
  <c r="BP121" i="9"/>
  <c r="BA182" i="9"/>
  <c r="BA121" i="9"/>
  <c r="AR182" i="9"/>
  <c r="AR121" i="9"/>
  <c r="AS121" i="9"/>
  <c r="AS182" i="9"/>
  <c r="BX182" i="9"/>
  <c r="BX121" i="9"/>
  <c r="BB182" i="9"/>
  <c r="BB121" i="9"/>
  <c r="CW121" i="9"/>
  <c r="CW182" i="9"/>
  <c r="BR121" i="9"/>
  <c r="BR182" i="9"/>
  <c r="CP109" i="9"/>
  <c r="CP170" i="9"/>
  <c r="CA109" i="9"/>
  <c r="CA170" i="9"/>
  <c r="BZ170" i="9"/>
  <c r="BZ109" i="9"/>
  <c r="CY170" i="9"/>
  <c r="CY109" i="9"/>
  <c r="CH109" i="9"/>
  <c r="CH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E168" i="9"/>
  <c r="E107" i="9"/>
  <c r="T154" i="9"/>
  <c r="T93" i="9"/>
  <c r="AD196" i="9"/>
  <c r="AD135" i="9"/>
  <c r="AC168" i="9"/>
  <c r="AC107" i="9"/>
  <c r="T182" i="9"/>
  <c r="T121" i="9"/>
  <c r="V154" i="9"/>
  <c r="V93" i="9"/>
  <c r="T168" i="9"/>
  <c r="T107" i="9"/>
  <c r="AB196" i="9"/>
  <c r="AB135" i="9"/>
  <c r="D196" i="9"/>
  <c r="D135" i="9"/>
  <c r="AD154" i="9"/>
  <c r="AD93" i="9"/>
  <c r="AC196" i="9"/>
  <c r="AC135" i="9"/>
  <c r="AC154" i="9"/>
  <c r="AC93" i="9"/>
  <c r="V168" i="9"/>
  <c r="V107" i="9"/>
  <c r="AB182" i="9"/>
  <c r="AB121" i="9"/>
  <c r="AD182" i="9"/>
  <c r="AD121" i="9"/>
  <c r="AC182" i="9"/>
  <c r="AC121" i="9"/>
  <c r="V182" i="9"/>
  <c r="V121" i="9"/>
  <c r="U196" i="9"/>
  <c r="U135" i="9"/>
  <c r="U168" i="9"/>
  <c r="U107" i="9"/>
  <c r="U182" i="9"/>
  <c r="U121" i="9"/>
  <c r="U154" i="9"/>
  <c r="U93" i="9"/>
  <c r="AB154" i="9"/>
  <c r="AB93" i="9"/>
  <c r="D168" i="9"/>
  <c r="D107" i="9"/>
  <c r="AD168" i="9"/>
  <c r="AD107" i="9"/>
  <c r="AB168" i="9"/>
  <c r="AB107" i="9"/>
  <c r="D154" i="9"/>
  <c r="D93" i="9"/>
  <c r="DD44" i="9"/>
  <c r="DD74" i="9"/>
  <c r="DD85" i="9" s="1"/>
  <c r="DD29" i="9"/>
  <c r="DD40" i="9" s="1"/>
  <c r="DD59" i="9"/>
  <c r="DD70" i="9" s="1"/>
  <c r="BX59" i="9"/>
  <c r="BX70" i="9" s="1"/>
  <c r="BX44" i="9"/>
  <c r="BX29" i="9"/>
  <c r="BX74" i="9"/>
  <c r="CO44" i="9"/>
  <c r="CO59" i="9"/>
  <c r="CO29" i="9"/>
  <c r="CO74" i="9"/>
  <c r="CF29" i="9"/>
  <c r="CF40" i="9" s="1"/>
  <c r="CF74" i="9"/>
  <c r="CF59" i="9"/>
  <c r="CF44" i="9"/>
  <c r="CV44" i="9"/>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S29" i="9"/>
  <c r="AZ74" i="9"/>
  <c r="AZ85" i="9" s="1"/>
  <c r="AZ44" i="9"/>
  <c r="AZ55" i="9" s="1"/>
  <c r="AZ29" i="9"/>
  <c r="AZ40" i="9" s="1"/>
  <c r="AZ59" i="9"/>
  <c r="CH74" i="9"/>
  <c r="CH29" i="9"/>
  <c r="CH59" i="9"/>
  <c r="CH44" i="9"/>
  <c r="AT29" i="9"/>
  <c r="BB74" i="9"/>
  <c r="BB44" i="9"/>
  <c r="BB59" i="9"/>
  <c r="BB29" i="9"/>
  <c r="BQ29" i="9"/>
  <c r="BQ74" i="9"/>
  <c r="BQ59" i="9"/>
  <c r="BQ44" i="9"/>
  <c r="CN44" i="9"/>
  <c r="CN55" i="9" s="1"/>
  <c r="CN59" i="9"/>
  <c r="CN70" i="9" s="1"/>
  <c r="CN29" i="9"/>
  <c r="CN74" i="9"/>
  <c r="CP44" i="9"/>
  <c r="CP29" i="9"/>
  <c r="CP74" i="9"/>
  <c r="CP59" i="9"/>
  <c r="BH44" i="9"/>
  <c r="BH55" i="9" s="1"/>
  <c r="BH74" i="9"/>
  <c r="BH85" i="9" s="1"/>
  <c r="BH29" i="9"/>
  <c r="BH59" i="9"/>
  <c r="BR29" i="9"/>
  <c r="BR74" i="9"/>
  <c r="BR59" i="9"/>
  <c r="BR44" i="9"/>
  <c r="BY59" i="9"/>
  <c r="BY44" i="9"/>
  <c r="BY29" i="9"/>
  <c r="BY74" i="9"/>
  <c r="BZ59" i="9"/>
  <c r="BZ44" i="9"/>
  <c r="BZ29" i="9"/>
  <c r="BZ74" i="9"/>
  <c r="AR29" i="9"/>
  <c r="BI44" i="9"/>
  <c r="BI74" i="9"/>
  <c r="BI29" i="9"/>
  <c r="BI59" i="9"/>
  <c r="CG29" i="9"/>
  <c r="CG74" i="9"/>
  <c r="CG59" i="9"/>
  <c r="CG44" i="9"/>
  <c r="AK29" i="9"/>
  <c r="DE44" i="9"/>
  <c r="DE74" i="9"/>
  <c r="DE29" i="9"/>
  <c r="DE59" i="9"/>
  <c r="BP29" i="9"/>
  <c r="BP40" i="9" s="1"/>
  <c r="BP74" i="9"/>
  <c r="BP85" i="9" s="1"/>
  <c r="BP44" i="9"/>
  <c r="BP55" i="9" s="1"/>
  <c r="BP59" i="9"/>
  <c r="BP70" i="9" s="1"/>
  <c r="D59" i="9"/>
  <c r="D29" i="9"/>
  <c r="D74" i="9"/>
  <c r="D44" i="9"/>
  <c r="AC29" i="9"/>
  <c r="AC74" i="9"/>
  <c r="AC44" i="9"/>
  <c r="AC59" i="9"/>
  <c r="AB29" i="9"/>
  <c r="AB74" i="9"/>
  <c r="AB44" i="9"/>
  <c r="AB59" i="9"/>
  <c r="AD44" i="9"/>
  <c r="AD29" i="9"/>
  <c r="AD74" i="9"/>
  <c r="AD59" i="9"/>
  <c r="AT59" i="9"/>
  <c r="AT74" i="9"/>
  <c r="AT44" i="9"/>
  <c r="AR74" i="9"/>
  <c r="AR44" i="9"/>
  <c r="AR55" i="9" s="1"/>
  <c r="AR59" i="9"/>
  <c r="AR70" i="9" s="1"/>
  <c r="AS59" i="9"/>
  <c r="AS74" i="9"/>
  <c r="AS44" i="9"/>
  <c r="AK59" i="9"/>
  <c r="AK44" i="9"/>
  <c r="AK74" i="9"/>
  <c r="V59" i="9"/>
  <c r="V29" i="9"/>
  <c r="V74" i="9"/>
  <c r="V44" i="9"/>
  <c r="T59" i="9"/>
  <c r="T70" i="9" s="1"/>
  <c r="T29" i="9"/>
  <c r="T40" i="9" s="1"/>
  <c r="T74" i="9"/>
  <c r="T44" i="9"/>
  <c r="U59" i="9"/>
  <c r="U29" i="9"/>
  <c r="U74" i="9"/>
  <c r="U44" i="9"/>
  <c r="M29" i="9"/>
  <c r="M74" i="9"/>
  <c r="M59" i="9"/>
  <c r="M44" i="9"/>
  <c r="L44" i="9"/>
  <c r="L74" i="9"/>
  <c r="L29" i="9"/>
  <c r="L59" i="9"/>
  <c r="N74" i="9"/>
  <c r="N44" i="9"/>
  <c r="N29" i="9"/>
  <c r="N59" i="9"/>
  <c r="L58" i="9"/>
  <c r="L73" i="9"/>
  <c r="L28" i="9"/>
  <c r="L43" i="9"/>
  <c r="M182" i="9" l="1"/>
  <c r="M107" i="9"/>
  <c r="N135" i="9"/>
  <c r="AL7" i="9"/>
  <c r="AL8" i="9" s="1"/>
  <c r="N121" i="9"/>
  <c r="M7" i="9"/>
  <c r="M8" i="9" s="1"/>
  <c r="L11" i="9"/>
  <c r="N45" i="9" s="1"/>
  <c r="AK20" i="9"/>
  <c r="M10" i="9"/>
  <c r="AL9" i="9"/>
  <c r="N107" i="9"/>
  <c r="N154" i="9"/>
  <c r="M93" i="9"/>
  <c r="M196" i="9"/>
  <c r="O135" i="9"/>
  <c r="O107" i="9"/>
  <c r="AK196" i="9"/>
  <c r="AK107" i="9"/>
  <c r="AK182" i="9"/>
  <c r="O182" i="9"/>
  <c r="AJ20" i="9"/>
  <c r="AL59" i="9"/>
  <c r="AL122" i="9" s="1"/>
  <c r="AL44" i="9"/>
  <c r="AL108" i="9" s="1"/>
  <c r="AL74" i="9"/>
  <c r="AL136" i="9" s="1"/>
  <c r="F73" i="9"/>
  <c r="F196" i="9" s="1"/>
  <c r="C17" i="9"/>
  <c r="C19" i="9" s="1"/>
  <c r="G29" i="9" s="1"/>
  <c r="G94" i="9" s="1"/>
  <c r="E93" i="9"/>
  <c r="E135" i="9"/>
  <c r="E121" i="9"/>
  <c r="AK93" i="9"/>
  <c r="AK154" i="9"/>
  <c r="AI17" i="9"/>
  <c r="AL28" i="9"/>
  <c r="AL58" i="9"/>
  <c r="AL43" i="9"/>
  <c r="AL73" i="9"/>
  <c r="E44" i="9"/>
  <c r="E108" i="9" s="1"/>
  <c r="F43" i="9"/>
  <c r="F168" i="9" s="1"/>
  <c r="F58" i="9"/>
  <c r="F182" i="9" s="1"/>
  <c r="E29" i="9"/>
  <c r="E94" i="9" s="1"/>
  <c r="E74" i="9"/>
  <c r="E136" i="9" s="1"/>
  <c r="D10" i="9"/>
  <c r="E7" i="9" s="1"/>
  <c r="D16" i="9"/>
  <c r="G46" i="9" s="1"/>
  <c r="G110" i="9" s="1"/>
  <c r="C16" i="9"/>
  <c r="F28" i="9"/>
  <c r="D13" i="9"/>
  <c r="F61" i="9" s="1"/>
  <c r="F124" i="9" s="1"/>
  <c r="AR198" i="9"/>
  <c r="AR206" i="9" s="1"/>
  <c r="L73" i="20" s="1"/>
  <c r="AR137" i="9"/>
  <c r="BI62" i="9"/>
  <c r="BI69" i="9" s="1"/>
  <c r="BJ32" i="9"/>
  <c r="BI47" i="9"/>
  <c r="BI172" i="9" s="1"/>
  <c r="BI32" i="9"/>
  <c r="BI38" i="9" s="1"/>
  <c r="AS31" i="9"/>
  <c r="AS96" i="9" s="1"/>
  <c r="AS75" i="9"/>
  <c r="AS137" i="9" s="1"/>
  <c r="E45" i="9"/>
  <c r="E109" i="9" s="1"/>
  <c r="D39" i="9"/>
  <c r="D156" i="9"/>
  <c r="D164" i="9" s="1"/>
  <c r="L11" i="20" s="1"/>
  <c r="D184" i="9"/>
  <c r="D192" i="9" s="1"/>
  <c r="L49" i="20" s="1"/>
  <c r="E30" i="9"/>
  <c r="E156" i="9" s="1"/>
  <c r="D123" i="9"/>
  <c r="E75" i="9"/>
  <c r="E137" i="9" s="1"/>
  <c r="E60" i="9"/>
  <c r="E184" i="9" s="1"/>
  <c r="D84" i="9"/>
  <c r="D198" i="9"/>
  <c r="D206" i="9" s="1"/>
  <c r="L68" i="20" s="1"/>
  <c r="D109" i="9"/>
  <c r="D170" i="9"/>
  <c r="D178" i="9" s="1"/>
  <c r="L30" i="20" s="1"/>
  <c r="AE123" i="9"/>
  <c r="AS123" i="9"/>
  <c r="AD156" i="9"/>
  <c r="AC62" i="9"/>
  <c r="AC186" i="9" s="1"/>
  <c r="AC47" i="9"/>
  <c r="AC111" i="9" s="1"/>
  <c r="AE33" i="9"/>
  <c r="AE98" i="9" s="1"/>
  <c r="AD33" i="9"/>
  <c r="AD98" i="9" s="1"/>
  <c r="AD47" i="9"/>
  <c r="AC32" i="9"/>
  <c r="AC97" i="9" s="1"/>
  <c r="AE62" i="9"/>
  <c r="AJ74" i="9"/>
  <c r="AJ85" i="9" s="1"/>
  <c r="AJ59" i="9"/>
  <c r="AJ70" i="9" s="1"/>
  <c r="AR184" i="9"/>
  <c r="AR192" i="9" s="1"/>
  <c r="L54" i="20" s="1"/>
  <c r="AJ44" i="9"/>
  <c r="AJ108" i="9" s="1"/>
  <c r="AR69" i="9"/>
  <c r="V156" i="9"/>
  <c r="AS45" i="9"/>
  <c r="AS109" i="9" s="1"/>
  <c r="AJ40" i="9"/>
  <c r="AS30" i="9"/>
  <c r="AS156" i="9" s="1"/>
  <c r="AJ45" i="9"/>
  <c r="AJ170" i="9" s="1"/>
  <c r="AJ178" i="9" s="1"/>
  <c r="L34" i="20" s="1"/>
  <c r="AJ75" i="9"/>
  <c r="AJ137" i="9" s="1"/>
  <c r="AK75" i="9"/>
  <c r="AK198" i="9" s="1"/>
  <c r="AJ30" i="9"/>
  <c r="AJ39" i="9" s="1"/>
  <c r="AJ60" i="9"/>
  <c r="W109" i="9"/>
  <c r="G60" i="9"/>
  <c r="AT95" i="9"/>
  <c r="AT75" i="9"/>
  <c r="AT198" i="9" s="1"/>
  <c r="AM75" i="9"/>
  <c r="AR156" i="9"/>
  <c r="AR164" i="9" s="1"/>
  <c r="L16" i="20" s="1"/>
  <c r="AR39" i="9"/>
  <c r="AU60" i="9"/>
  <c r="AU184" i="9" s="1"/>
  <c r="AU75" i="9"/>
  <c r="AU137" i="9" s="1"/>
  <c r="AT60" i="9"/>
  <c r="AT184" i="9" s="1"/>
  <c r="AL45" i="9"/>
  <c r="AL170" i="9" s="1"/>
  <c r="AR170" i="9"/>
  <c r="AR178" i="9" s="1"/>
  <c r="L35" i="20" s="1"/>
  <c r="AU45" i="9"/>
  <c r="AU170" i="9" s="1"/>
  <c r="AR54" i="9"/>
  <c r="AT45" i="9"/>
  <c r="AT170" i="9" s="1"/>
  <c r="AU156" i="9"/>
  <c r="AJ154" i="9"/>
  <c r="AJ135" i="9"/>
  <c r="AJ182" i="9"/>
  <c r="BS184" i="9"/>
  <c r="T178" i="9"/>
  <c r="L32" i="20" s="1"/>
  <c r="BX164" i="9"/>
  <c r="L20" i="20" s="1"/>
  <c r="CV164" i="9"/>
  <c r="L23" i="20" s="1"/>
  <c r="CV178" i="9"/>
  <c r="L42" i="20" s="1"/>
  <c r="T192" i="9"/>
  <c r="L51" i="20" s="1"/>
  <c r="AB192" i="9"/>
  <c r="L52" i="20" s="1"/>
  <c r="BH164" i="9"/>
  <c r="L18" i="20" s="1"/>
  <c r="CF192" i="9"/>
  <c r="L59" i="20" s="1"/>
  <c r="AZ206" i="9"/>
  <c r="L74" i="20" s="1"/>
  <c r="BH192" i="9"/>
  <c r="L56" i="20" s="1"/>
  <c r="BP192" i="9"/>
  <c r="L57" i="20" s="1"/>
  <c r="BX178" i="9"/>
  <c r="L39" i="20" s="1"/>
  <c r="BP206" i="9"/>
  <c r="L76" i="20" s="1"/>
  <c r="CN206" i="9"/>
  <c r="L79" i="20" s="1"/>
  <c r="CV192" i="9"/>
  <c r="L61" i="20" s="1"/>
  <c r="CF206" i="9"/>
  <c r="L78" i="20" s="1"/>
  <c r="DD164" i="9"/>
  <c r="L24" i="20" s="1"/>
  <c r="L83" i="9"/>
  <c r="AB178" i="9"/>
  <c r="L33" i="20" s="1"/>
  <c r="CN164" i="9"/>
  <c r="L22" i="20" s="1"/>
  <c r="CW68" i="9"/>
  <c r="T164" i="9"/>
  <c r="L13" i="20" s="1"/>
  <c r="U84" i="9"/>
  <c r="BH178" i="9"/>
  <c r="L37" i="20" s="1"/>
  <c r="BY38" i="9"/>
  <c r="CF164" i="9"/>
  <c r="L21" i="20" s="1"/>
  <c r="AZ192" i="9"/>
  <c r="L55" i="20" s="1"/>
  <c r="L68" i="9"/>
  <c r="BH206" i="9"/>
  <c r="L75" i="20" s="1"/>
  <c r="DE68" i="9"/>
  <c r="CG38" i="9"/>
  <c r="AZ164" i="9"/>
  <c r="L17" i="20" s="1"/>
  <c r="DD192" i="9"/>
  <c r="L62" i="20" s="1"/>
  <c r="BX206" i="9"/>
  <c r="L77" i="20" s="1"/>
  <c r="CN192" i="9"/>
  <c r="L60" i="20" s="1"/>
  <c r="DD206" i="9"/>
  <c r="L81" i="20" s="1"/>
  <c r="BQ53" i="9"/>
  <c r="AB55" i="9"/>
  <c r="AB53" i="9"/>
  <c r="BX85" i="9"/>
  <c r="BX83" i="9"/>
  <c r="W123" i="9"/>
  <c r="AR85" i="9"/>
  <c r="AR83" i="9"/>
  <c r="AB70" i="9"/>
  <c r="AB68" i="9"/>
  <c r="D55" i="9"/>
  <c r="D53" i="9"/>
  <c r="CV55" i="9"/>
  <c r="CV53" i="9"/>
  <c r="DD55" i="9"/>
  <c r="DD53" i="9"/>
  <c r="AB206" i="9"/>
  <c r="L71" i="20" s="1"/>
  <c r="W156" i="9"/>
  <c r="CA156" i="9"/>
  <c r="CA198" i="9"/>
  <c r="CI123" i="9"/>
  <c r="D40" i="9"/>
  <c r="D38" i="9"/>
  <c r="CN85" i="9"/>
  <c r="CN83" i="9"/>
  <c r="CF70" i="9"/>
  <c r="CF68" i="9"/>
  <c r="BC96" i="9"/>
  <c r="AB40" i="9"/>
  <c r="AB38" i="9"/>
  <c r="BH40" i="9"/>
  <c r="BH38" i="9"/>
  <c r="AZ70" i="9"/>
  <c r="AZ68" i="9"/>
  <c r="CO83" i="9"/>
  <c r="D85" i="9"/>
  <c r="D83" i="9"/>
  <c r="CF55" i="9"/>
  <c r="CF53" i="9"/>
  <c r="BC184" i="9"/>
  <c r="AB85" i="9"/>
  <c r="AB83" i="9"/>
  <c r="BH70" i="9"/>
  <c r="BH68" i="9"/>
  <c r="BA53" i="9"/>
  <c r="CF85" i="9"/>
  <c r="CF83" i="9"/>
  <c r="T55" i="9"/>
  <c r="T53" i="9"/>
  <c r="BX40" i="9"/>
  <c r="BX38" i="9"/>
  <c r="T85" i="9"/>
  <c r="T83" i="9"/>
  <c r="D70" i="9"/>
  <c r="D68" i="9"/>
  <c r="CN40" i="9"/>
  <c r="CN38" i="9"/>
  <c r="BX55" i="9"/>
  <c r="BX53" i="9"/>
  <c r="U83" i="9"/>
  <c r="BC109" i="9"/>
  <c r="L38" i="9"/>
  <c r="AZ178" i="9"/>
  <c r="L36" i="20" s="1"/>
  <c r="CV206" i="9"/>
  <c r="L80" i="20" s="1"/>
  <c r="AR53" i="9"/>
  <c r="CN53" i="9"/>
  <c r="BP53" i="9"/>
  <c r="BP68" i="9"/>
  <c r="BX68" i="9"/>
  <c r="T38" i="9"/>
  <c r="AZ83" i="9"/>
  <c r="CA123" i="9"/>
  <c r="T68" i="9"/>
  <c r="CV68" i="9"/>
  <c r="CI95" i="9"/>
  <c r="AE198" i="9"/>
  <c r="AE109" i="9"/>
  <c r="BH53" i="9"/>
  <c r="AR68" i="9"/>
  <c r="BP83" i="9"/>
  <c r="AZ38" i="9"/>
  <c r="CV38" i="9"/>
  <c r="CN178" i="9"/>
  <c r="L41" i="20" s="1"/>
  <c r="CF178" i="9"/>
  <c r="L40" i="20" s="1"/>
  <c r="BX192" i="9"/>
  <c r="L58" i="20" s="1"/>
  <c r="AE124" i="9"/>
  <c r="CN68" i="9"/>
  <c r="DD68" i="9"/>
  <c r="DD83" i="9"/>
  <c r="BH83" i="9"/>
  <c r="CQ123" i="9"/>
  <c r="BP164" i="9"/>
  <c r="L19" i="20" s="1"/>
  <c r="DD178" i="9"/>
  <c r="L43" i="20" s="1"/>
  <c r="AZ53" i="9"/>
  <c r="CV83" i="9"/>
  <c r="CF38" i="9"/>
  <c r="AR40" i="9"/>
  <c r="AR38" i="9"/>
  <c r="L53" i="9"/>
  <c r="AB164" i="9"/>
  <c r="L14" i="20" s="1"/>
  <c r="T206" i="9"/>
  <c r="L70" i="20" s="1"/>
  <c r="BP178" i="9"/>
  <c r="L38" i="20" s="1"/>
  <c r="DG123" i="9"/>
  <c r="BS95" i="9"/>
  <c r="DD38" i="9"/>
  <c r="BP38" i="9"/>
  <c r="BJ170" i="9"/>
  <c r="BK170" i="9"/>
  <c r="BI109" i="9"/>
  <c r="CP137" i="9"/>
  <c r="CY137" i="9"/>
  <c r="BY156" i="9"/>
  <c r="BQ69" i="9"/>
  <c r="BQ184" i="9"/>
  <c r="CW184" i="9"/>
  <c r="CH95" i="9"/>
  <c r="CX109" i="9"/>
  <c r="BS137" i="9"/>
  <c r="CY95" i="9"/>
  <c r="BC156" i="9"/>
  <c r="CG123" i="9"/>
  <c r="CG69" i="9"/>
  <c r="BR61" i="9"/>
  <c r="BR124" i="9" s="1"/>
  <c r="BS156" i="9"/>
  <c r="BJ109" i="9"/>
  <c r="BI198" i="9"/>
  <c r="BQ84" i="9"/>
  <c r="CH184" i="9"/>
  <c r="BQ137" i="9"/>
  <c r="BI84" i="9"/>
  <c r="CY46" i="9"/>
  <c r="CG54" i="9"/>
  <c r="CX31" i="9"/>
  <c r="CX96" i="9" s="1"/>
  <c r="CX46" i="9"/>
  <c r="CX110" i="9" s="1"/>
  <c r="AE46" i="9"/>
  <c r="AE110" i="9" s="1"/>
  <c r="CX76" i="9"/>
  <c r="CX138" i="9" s="1"/>
  <c r="DF170" i="9"/>
  <c r="AE76" i="9"/>
  <c r="AE138" i="9" s="1"/>
  <c r="CH137" i="9"/>
  <c r="DF156" i="9"/>
  <c r="CQ184" i="9"/>
  <c r="AT31" i="9"/>
  <c r="AT96" i="9" s="1"/>
  <c r="CG170" i="9"/>
  <c r="BA137" i="9"/>
  <c r="V137" i="9"/>
  <c r="DF137" i="9"/>
  <c r="DF31" i="9"/>
  <c r="DF96" i="9" s="1"/>
  <c r="DF76" i="9"/>
  <c r="DF138" i="9" s="1"/>
  <c r="DF46" i="9"/>
  <c r="DF110" i="9" s="1"/>
  <c r="CY123" i="9"/>
  <c r="DE31" i="9"/>
  <c r="DE96" i="9" s="1"/>
  <c r="BJ184" i="9"/>
  <c r="U95" i="9"/>
  <c r="L39" i="9"/>
  <c r="BS170" i="9"/>
  <c r="AD123" i="9"/>
  <c r="BK137" i="9"/>
  <c r="CW31" i="9"/>
  <c r="CW96" i="9" s="1"/>
  <c r="CW46" i="9"/>
  <c r="CW76" i="9"/>
  <c r="CW138" i="9" s="1"/>
  <c r="BZ48" i="9"/>
  <c r="BZ112" i="9" s="1"/>
  <c r="BK156" i="9"/>
  <c r="V184" i="9"/>
  <c r="CG95" i="9"/>
  <c r="CI31" i="9"/>
  <c r="CI96" i="9" s="1"/>
  <c r="BY123" i="9"/>
  <c r="DG61" i="9"/>
  <c r="DG124" i="9" s="1"/>
  <c r="CW156" i="9"/>
  <c r="CQ95" i="9"/>
  <c r="BZ137" i="9"/>
  <c r="BA76" i="9"/>
  <c r="BA138" i="9" s="1"/>
  <c r="CW69" i="9"/>
  <c r="W61" i="9"/>
  <c r="W124" i="9" s="1"/>
  <c r="CG46" i="9"/>
  <c r="BJ95" i="9"/>
  <c r="CI61" i="9"/>
  <c r="CI124" i="9" s="1"/>
  <c r="CX198" i="9"/>
  <c r="U170" i="9"/>
  <c r="BQ170" i="9"/>
  <c r="CW137" i="9"/>
  <c r="CX184" i="9"/>
  <c r="CG137" i="9"/>
  <c r="BR109" i="9"/>
  <c r="BK76" i="9"/>
  <c r="BK138" i="9" s="1"/>
  <c r="BZ76" i="9"/>
  <c r="BZ138" i="9" s="1"/>
  <c r="BK46" i="9"/>
  <c r="BK110" i="9" s="1"/>
  <c r="AE95" i="9"/>
  <c r="CO123" i="9"/>
  <c r="BZ46" i="9"/>
  <c r="BZ110" i="9" s="1"/>
  <c r="DG170" i="9"/>
  <c r="BZ31" i="9"/>
  <c r="BK61" i="9"/>
  <c r="AD137" i="9"/>
  <c r="CO69" i="9"/>
  <c r="CG84" i="9"/>
  <c r="BR76" i="9"/>
  <c r="BR138" i="9" s="1"/>
  <c r="CP31" i="9"/>
  <c r="CP96" i="9" s="1"/>
  <c r="CI137" i="9"/>
  <c r="CP78" i="9"/>
  <c r="CP140" i="9" s="1"/>
  <c r="BR31" i="9"/>
  <c r="BR96" i="9" s="1"/>
  <c r="CP76" i="9"/>
  <c r="CP138" i="9" s="1"/>
  <c r="DG184" i="9"/>
  <c r="CW84" i="9"/>
  <c r="CA76" i="9"/>
  <c r="U184" i="9"/>
  <c r="DE170" i="9"/>
  <c r="DG198" i="9"/>
  <c r="BA39" i="9"/>
  <c r="V31" i="9"/>
  <c r="V96" i="9" s="1"/>
  <c r="BI61" i="9"/>
  <c r="BI124" i="9" s="1"/>
  <c r="W184" i="9"/>
  <c r="DF123" i="9"/>
  <c r="BK109" i="9"/>
  <c r="BC46" i="9"/>
  <c r="BC110" i="9" s="1"/>
  <c r="AE170" i="9"/>
  <c r="CW109" i="9"/>
  <c r="BR184" i="9"/>
  <c r="BQ76" i="9"/>
  <c r="BA156" i="9"/>
  <c r="DE198" i="9"/>
  <c r="CQ31" i="9"/>
  <c r="W46" i="9"/>
  <c r="AC61" i="9"/>
  <c r="AC124" i="9" s="1"/>
  <c r="CG61" i="9"/>
  <c r="CG124" i="9" s="1"/>
  <c r="CQ46" i="9"/>
  <c r="CQ110" i="9" s="1"/>
  <c r="BA31" i="9"/>
  <c r="BY109" i="9"/>
  <c r="BY39" i="9"/>
  <c r="BB123" i="9"/>
  <c r="CI76" i="9"/>
  <c r="BA61" i="9"/>
  <c r="BA124" i="9" s="1"/>
  <c r="BY84" i="9"/>
  <c r="V61" i="9"/>
  <c r="DG31" i="9"/>
  <c r="BS31" i="9"/>
  <c r="BS96" i="9" s="1"/>
  <c r="CP156" i="9"/>
  <c r="CA95" i="9"/>
  <c r="CP123" i="9"/>
  <c r="BI184" i="9"/>
  <c r="BY137" i="9"/>
  <c r="BY69" i="9"/>
  <c r="BS76" i="9"/>
  <c r="BS138" i="9" s="1"/>
  <c r="U31" i="9"/>
  <c r="U96" i="9" s="1"/>
  <c r="W76" i="9"/>
  <c r="W138" i="9" s="1"/>
  <c r="DG76" i="9"/>
  <c r="DG138" i="9" s="1"/>
  <c r="CG76" i="9"/>
  <c r="CG138" i="9" s="1"/>
  <c r="BS46" i="9"/>
  <c r="BS110" i="9" s="1"/>
  <c r="V109" i="9"/>
  <c r="CI184" i="9"/>
  <c r="BY54" i="9"/>
  <c r="CW54" i="9"/>
  <c r="U61" i="9"/>
  <c r="U124" i="9" s="1"/>
  <c r="CW39" i="9"/>
  <c r="DE84" i="9"/>
  <c r="DE184" i="9"/>
  <c r="BA69" i="9"/>
  <c r="CP46" i="9"/>
  <c r="CP110" i="9" s="1"/>
  <c r="BI170" i="9"/>
  <c r="AU46" i="9"/>
  <c r="AU110" i="9" s="1"/>
  <c r="DE54" i="9"/>
  <c r="BR95" i="9"/>
  <c r="BA123" i="9"/>
  <c r="AD109" i="9"/>
  <c r="DE95" i="9"/>
  <c r="CY31" i="9"/>
  <c r="CY96" i="9" s="1"/>
  <c r="AE31" i="9"/>
  <c r="CH61" i="9"/>
  <c r="BQ95" i="9"/>
  <c r="BA170" i="9"/>
  <c r="AT46" i="9"/>
  <c r="AT110" i="9" s="1"/>
  <c r="CO31" i="9"/>
  <c r="CO96" i="9" s="1"/>
  <c r="CH76" i="9"/>
  <c r="CH138" i="9" s="1"/>
  <c r="BC170" i="9"/>
  <c r="AT76" i="9"/>
  <c r="CO46" i="9"/>
  <c r="CO110" i="9" s="1"/>
  <c r="CH31" i="9"/>
  <c r="CH96" i="9" s="1"/>
  <c r="CO54" i="9"/>
  <c r="CY76" i="9"/>
  <c r="CY138" i="9" s="1"/>
  <c r="CO61" i="9"/>
  <c r="AC123" i="9"/>
  <c r="CO95" i="9"/>
  <c r="CO109" i="9"/>
  <c r="BZ123" i="9"/>
  <c r="BA54" i="9"/>
  <c r="U46" i="9"/>
  <c r="U110" i="9" s="1"/>
  <c r="V46" i="9"/>
  <c r="V110" i="9" s="1"/>
  <c r="AC76" i="9"/>
  <c r="AC138" i="9" s="1"/>
  <c r="CQ61" i="9"/>
  <c r="CQ124" i="9" s="1"/>
  <c r="CO84" i="9"/>
  <c r="AC31" i="9"/>
  <c r="CA137" i="9"/>
  <c r="AD61" i="9"/>
  <c r="AD124" i="9" s="1"/>
  <c r="AD46" i="9"/>
  <c r="AD110" i="9" s="1"/>
  <c r="BC123" i="9"/>
  <c r="U69" i="9"/>
  <c r="BQ61" i="9"/>
  <c r="BZ95" i="9"/>
  <c r="CA184" i="9"/>
  <c r="AD31" i="9"/>
  <c r="AD96" i="9" s="1"/>
  <c r="BQ31" i="9"/>
  <c r="BQ96" i="9" s="1"/>
  <c r="CQ109" i="9"/>
  <c r="CA78" i="9"/>
  <c r="CA140" i="9" s="1"/>
  <c r="AU76" i="9"/>
  <c r="BI76" i="9"/>
  <c r="BI138" i="9" s="1"/>
  <c r="CI156" i="9"/>
  <c r="CO198" i="9"/>
  <c r="AU61" i="9"/>
  <c r="AU124" i="9" s="1"/>
  <c r="BI46" i="9"/>
  <c r="BI110" i="9" s="1"/>
  <c r="W137" i="9"/>
  <c r="DE69" i="9"/>
  <c r="AE137" i="9"/>
  <c r="CX78" i="9"/>
  <c r="CX140" i="9" s="1"/>
  <c r="CA46" i="9"/>
  <c r="DE76" i="9"/>
  <c r="DE138" i="9" s="1"/>
  <c r="AC95" i="9"/>
  <c r="BI156" i="9"/>
  <c r="CA31" i="9"/>
  <c r="DE46" i="9"/>
  <c r="U137" i="9"/>
  <c r="AC137" i="9"/>
  <c r="U39" i="9"/>
  <c r="CY33" i="9"/>
  <c r="CY98" i="9" s="1"/>
  <c r="BC76" i="9"/>
  <c r="CQ198" i="9"/>
  <c r="BR78" i="9"/>
  <c r="BR140" i="9" s="1"/>
  <c r="U54" i="9"/>
  <c r="CO97" i="9"/>
  <c r="CO158" i="9"/>
  <c r="CI77" i="9"/>
  <c r="CI47" i="9"/>
  <c r="CI62" i="9"/>
  <c r="CI32" i="9"/>
  <c r="DG62" i="9"/>
  <c r="DG47" i="9"/>
  <c r="DG77" i="9"/>
  <c r="DG32" i="9"/>
  <c r="BQ139" i="9"/>
  <c r="BQ200" i="9"/>
  <c r="BQ206" i="9" s="1"/>
  <c r="M76" i="20" s="1"/>
  <c r="DE158" i="9"/>
  <c r="DE164" i="9" s="1"/>
  <c r="M24" i="20" s="1"/>
  <c r="DE97" i="9"/>
  <c r="CG97" i="9"/>
  <c r="CG158" i="9"/>
  <c r="BQ186" i="9"/>
  <c r="BQ125" i="9"/>
  <c r="CG172" i="9"/>
  <c r="CG111" i="9"/>
  <c r="DE139" i="9"/>
  <c r="DE200" i="9"/>
  <c r="BQ172" i="9"/>
  <c r="BQ111" i="9"/>
  <c r="CG186" i="9"/>
  <c r="CG125" i="9"/>
  <c r="CX47" i="9"/>
  <c r="CX32" i="9"/>
  <c r="CX62" i="9"/>
  <c r="CX77" i="9"/>
  <c r="DF62" i="9"/>
  <c r="DF32" i="9"/>
  <c r="DF77" i="9"/>
  <c r="DF47" i="9"/>
  <c r="CO200" i="9"/>
  <c r="CO139" i="9"/>
  <c r="BY46" i="9"/>
  <c r="BY110" i="9" s="1"/>
  <c r="CG139" i="9"/>
  <c r="CG200" i="9"/>
  <c r="CG206" i="9" s="1"/>
  <c r="M78" i="20" s="1"/>
  <c r="CW186" i="9"/>
  <c r="CW125" i="9"/>
  <c r="CH32" i="9"/>
  <c r="CH77" i="9"/>
  <c r="CH62" i="9"/>
  <c r="CH47" i="9"/>
  <c r="BY61" i="9"/>
  <c r="BY124" i="9" s="1"/>
  <c r="DE39" i="9"/>
  <c r="BY76" i="9"/>
  <c r="BY138" i="9" s="1"/>
  <c r="CI109" i="9"/>
  <c r="CG39" i="9"/>
  <c r="CI170" i="9"/>
  <c r="BQ54" i="9"/>
  <c r="BY200" i="9"/>
  <c r="BY206" i="9" s="1"/>
  <c r="M77" i="20" s="1"/>
  <c r="BY139" i="9"/>
  <c r="CW172" i="9"/>
  <c r="CW111" i="9"/>
  <c r="BQ97" i="9"/>
  <c r="BQ158" i="9"/>
  <c r="CW97" i="9"/>
  <c r="CW158" i="9"/>
  <c r="W95" i="9"/>
  <c r="BQ39" i="9"/>
  <c r="CP47" i="9"/>
  <c r="CP32" i="9"/>
  <c r="CP77" i="9"/>
  <c r="CP62" i="9"/>
  <c r="BZ47" i="9"/>
  <c r="BZ32" i="9"/>
  <c r="BZ77" i="9"/>
  <c r="BZ62" i="9"/>
  <c r="CY32" i="9"/>
  <c r="CY62" i="9"/>
  <c r="CY77" i="9"/>
  <c r="CY47" i="9"/>
  <c r="CO186" i="9"/>
  <c r="CO125" i="9"/>
  <c r="CO39" i="9"/>
  <c r="BY186" i="9"/>
  <c r="BY125" i="9"/>
  <c r="CW200" i="9"/>
  <c r="CW206" i="9" s="1"/>
  <c r="M80" i="20" s="1"/>
  <c r="CW139" i="9"/>
  <c r="BS47" i="9"/>
  <c r="BS32" i="9"/>
  <c r="BS77" i="9"/>
  <c r="BS62" i="9"/>
  <c r="CQ47" i="9"/>
  <c r="CQ32" i="9"/>
  <c r="CQ77" i="9"/>
  <c r="CQ62" i="9"/>
  <c r="BY172" i="9"/>
  <c r="BY178" i="9" s="1"/>
  <c r="M39" i="20" s="1"/>
  <c r="BY111" i="9"/>
  <c r="DE186" i="9"/>
  <c r="DE125" i="9"/>
  <c r="BR47" i="9"/>
  <c r="BR32" i="9"/>
  <c r="BR77" i="9"/>
  <c r="BR62" i="9"/>
  <c r="CA77" i="9"/>
  <c r="CA62" i="9"/>
  <c r="CA47" i="9"/>
  <c r="CA32" i="9"/>
  <c r="CO111" i="9"/>
  <c r="CO172" i="9"/>
  <c r="CO178" i="9" s="1"/>
  <c r="M41" i="20" s="1"/>
  <c r="BY97" i="9"/>
  <c r="BY158" i="9"/>
  <c r="DE172" i="9"/>
  <c r="DE111" i="9"/>
  <c r="L84" i="9"/>
  <c r="BB46" i="9"/>
  <c r="BB110" i="9" s="1"/>
  <c r="BB76" i="9"/>
  <c r="BB138" i="9" s="1"/>
  <c r="BB31" i="9"/>
  <c r="BB96" i="9" s="1"/>
  <c r="L54" i="9"/>
  <c r="L69" i="9"/>
  <c r="AC109" i="9"/>
  <c r="BJ76" i="9"/>
  <c r="BJ138" i="9" s="1"/>
  <c r="BJ46" i="9"/>
  <c r="BJ110" i="9" s="1"/>
  <c r="BJ31" i="9"/>
  <c r="BJ96" i="9" s="1"/>
  <c r="AC84" i="9"/>
  <c r="BC61" i="9"/>
  <c r="BC124" i="9" s="1"/>
  <c r="V77" i="9"/>
  <c r="V62" i="9"/>
  <c r="V32" i="9"/>
  <c r="V47" i="9"/>
  <c r="U139" i="9"/>
  <c r="U200" i="9"/>
  <c r="U172" i="9"/>
  <c r="U111" i="9"/>
  <c r="U125" i="9"/>
  <c r="U186" i="9"/>
  <c r="U158" i="9"/>
  <c r="U164" i="9" s="1"/>
  <c r="M13" i="20" s="1"/>
  <c r="U97" i="9"/>
  <c r="AC139" i="9"/>
  <c r="AC200" i="9"/>
  <c r="BB156" i="9"/>
  <c r="BB198" i="9"/>
  <c r="AS77" i="9"/>
  <c r="AS47" i="9"/>
  <c r="AS62" i="9"/>
  <c r="AS32" i="9"/>
  <c r="BB33" i="9"/>
  <c r="BK47" i="9"/>
  <c r="BK77" i="9"/>
  <c r="BK32" i="9"/>
  <c r="BK62" i="9"/>
  <c r="BA111" i="9"/>
  <c r="BA172" i="9"/>
  <c r="BA139" i="9"/>
  <c r="BA200" i="9"/>
  <c r="BA158" i="9"/>
  <c r="BA97" i="9"/>
  <c r="BA125" i="9"/>
  <c r="BA186" i="9"/>
  <c r="BC62" i="9"/>
  <c r="BC32" i="9"/>
  <c r="BC77" i="9"/>
  <c r="BC47" i="9"/>
  <c r="BA84" i="9"/>
  <c r="BI139" i="9"/>
  <c r="BI200" i="9"/>
  <c r="BB62" i="9"/>
  <c r="BB32" i="9"/>
  <c r="BB77" i="9"/>
  <c r="BB47" i="9"/>
  <c r="M75" i="9"/>
  <c r="M30" i="9"/>
  <c r="M45" i="9"/>
  <c r="M60" i="9"/>
  <c r="L95" i="9"/>
  <c r="L156" i="9"/>
  <c r="L123" i="9"/>
  <c r="L184" i="9"/>
  <c r="L109" i="9"/>
  <c r="L170" i="9"/>
  <c r="L137" i="9"/>
  <c r="L198" i="9"/>
  <c r="DE136" i="9"/>
  <c r="CW136" i="9"/>
  <c r="CX136" i="9"/>
  <c r="DF136" i="9"/>
  <c r="CW122" i="9"/>
  <c r="CW70" i="9"/>
  <c r="CX122" i="9"/>
  <c r="DF122" i="9"/>
  <c r="DE122" i="9"/>
  <c r="DE70"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S136" i="9"/>
  <c r="AK122" i="9"/>
  <c r="BI122" i="9"/>
  <c r="BB122" i="9"/>
  <c r="BJ122" i="9"/>
  <c r="BA122" i="9"/>
  <c r="AT122" i="9"/>
  <c r="AS122" i="9"/>
  <c r="AK108" i="9"/>
  <c r="BB108" i="9"/>
  <c r="BI108" i="9"/>
  <c r="BJ108" i="9"/>
  <c r="BA108" i="9"/>
  <c r="BA55" i="9"/>
  <c r="AT108" i="9"/>
  <c r="AS108" i="9"/>
  <c r="BB94" i="9"/>
  <c r="BJ94" i="9"/>
  <c r="BI94" i="9"/>
  <c r="BI40" i="9"/>
  <c r="AT94" i="9"/>
  <c r="BA94" i="9"/>
  <c r="AK94" i="9"/>
  <c r="AS94" i="9"/>
  <c r="AD136" i="9"/>
  <c r="U136" i="9"/>
  <c r="U85" i="9"/>
  <c r="AC136" i="9"/>
  <c r="V136" i="9"/>
  <c r="AC122" i="9"/>
  <c r="V122" i="9"/>
  <c r="AD122" i="9"/>
  <c r="U122" i="9"/>
  <c r="AD108" i="9"/>
  <c r="AC108" i="9"/>
  <c r="AC55" i="9"/>
  <c r="V108" i="9"/>
  <c r="U108" i="9"/>
  <c r="V94" i="9"/>
  <c r="AD94" i="9"/>
  <c r="U94" i="9"/>
  <c r="AC94" i="9"/>
  <c r="N94" i="9"/>
  <c r="L94" i="9"/>
  <c r="L40" i="9"/>
  <c r="M94" i="9"/>
  <c r="M108" i="9"/>
  <c r="N108" i="9"/>
  <c r="L108" i="9"/>
  <c r="L55" i="9"/>
  <c r="M136" i="9"/>
  <c r="N136" i="9"/>
  <c r="L136" i="9"/>
  <c r="L85" i="9"/>
  <c r="M122" i="9"/>
  <c r="N122" i="9"/>
  <c r="L122" i="9"/>
  <c r="L70" i="9"/>
  <c r="E122" i="9"/>
  <c r="CN136" i="9"/>
  <c r="CN145" i="9" s="1"/>
  <c r="D79" i="20" s="1"/>
  <c r="BH136" i="9"/>
  <c r="BP136" i="9"/>
  <c r="AZ136" i="9"/>
  <c r="AZ145" i="9" s="1"/>
  <c r="D74" i="20" s="1"/>
  <c r="DD136" i="9"/>
  <c r="AR136" i="9"/>
  <c r="CF136" i="9"/>
  <c r="CV136" i="9"/>
  <c r="CV145" i="9" s="1"/>
  <c r="D80" i="20" s="1"/>
  <c r="BX136" i="9"/>
  <c r="BX145" i="9" s="1"/>
  <c r="D77" i="20" s="1"/>
  <c r="CV122" i="9"/>
  <c r="CV131" i="9" s="1"/>
  <c r="D61" i="20" s="1"/>
  <c r="BP122" i="9"/>
  <c r="BP131" i="9" s="1"/>
  <c r="D57" i="20" s="1"/>
  <c r="DD122" i="9"/>
  <c r="BX122" i="9"/>
  <c r="AR122" i="9"/>
  <c r="CF122" i="9"/>
  <c r="CF131" i="9" s="1"/>
  <c r="D59" i="20" s="1"/>
  <c r="BH122" i="9"/>
  <c r="BH131" i="9" s="1"/>
  <c r="D56" i="20" s="1"/>
  <c r="CN122" i="9"/>
  <c r="CN131" i="9" s="1"/>
  <c r="D60" i="20" s="1"/>
  <c r="AZ122" i="9"/>
  <c r="AZ131" i="9" s="1"/>
  <c r="D55" i="20" s="1"/>
  <c r="BH108" i="9"/>
  <c r="BH117" i="9" s="1"/>
  <c r="D37" i="20" s="1"/>
  <c r="AZ108" i="9"/>
  <c r="DD108" i="9"/>
  <c r="BP108" i="9"/>
  <c r="CV108" i="9"/>
  <c r="CV117" i="9" s="1"/>
  <c r="D42" i="20" s="1"/>
  <c r="BX108" i="9"/>
  <c r="BX117" i="9" s="1"/>
  <c r="D39" i="20" s="1"/>
  <c r="AR108" i="9"/>
  <c r="AR117" i="9" s="1"/>
  <c r="D35" i="20" s="1"/>
  <c r="CN108" i="9"/>
  <c r="CN117" i="9" s="1"/>
  <c r="D41" i="20" s="1"/>
  <c r="CF108" i="9"/>
  <c r="CF117" i="9" s="1"/>
  <c r="D40" i="20" s="1"/>
  <c r="BX94" i="9"/>
  <c r="AR94" i="9"/>
  <c r="CN94" i="9"/>
  <c r="CF94" i="9"/>
  <c r="CF103" i="9" s="1"/>
  <c r="D21" i="20" s="1"/>
  <c r="CV94" i="9"/>
  <c r="BH94" i="9"/>
  <c r="BP94" i="9"/>
  <c r="BP103" i="9" s="1"/>
  <c r="D19" i="20" s="1"/>
  <c r="AZ94" i="9"/>
  <c r="AZ103" i="9" s="1"/>
  <c r="D17" i="20" s="1"/>
  <c r="DD94" i="9"/>
  <c r="AL94" i="9"/>
  <c r="AB122" i="9"/>
  <c r="AB131" i="9" s="1"/>
  <c r="D52" i="20" s="1"/>
  <c r="L182" i="9"/>
  <c r="L121" i="9"/>
  <c r="L168" i="9"/>
  <c r="L107" i="9"/>
  <c r="T136" i="9"/>
  <c r="L154" i="9"/>
  <c r="L93" i="9"/>
  <c r="T94" i="9"/>
  <c r="T103" i="9" s="1"/>
  <c r="D13" i="20" s="1"/>
  <c r="AB108" i="9"/>
  <c r="AB117" i="9" s="1"/>
  <c r="D33" i="20" s="1"/>
  <c r="AB136" i="9"/>
  <c r="AB145" i="9" s="1"/>
  <c r="D71" i="20" s="1"/>
  <c r="AB94" i="9"/>
  <c r="AB103" i="9" s="1"/>
  <c r="D14" i="20" s="1"/>
  <c r="T122" i="9"/>
  <c r="T131" i="9" s="1"/>
  <c r="D51" i="20" s="1"/>
  <c r="L196" i="9"/>
  <c r="L135" i="9"/>
  <c r="T108" i="9"/>
  <c r="T117" i="9" s="1"/>
  <c r="D32" i="20" s="1"/>
  <c r="D136" i="9"/>
  <c r="D145" i="9" s="1"/>
  <c r="D68" i="20" s="1"/>
  <c r="D122" i="9"/>
  <c r="D108" i="9"/>
  <c r="D94" i="9"/>
  <c r="D103" i="9" s="1"/>
  <c r="N75" i="9" l="1"/>
  <c r="N137" i="9" s="1"/>
  <c r="N7" i="9"/>
  <c r="N8" i="9" s="1"/>
  <c r="M11" i="9"/>
  <c r="M20" i="9" s="1"/>
  <c r="L14" i="9"/>
  <c r="O60" i="9" s="1"/>
  <c r="O123" i="9" s="1"/>
  <c r="AL20" i="9"/>
  <c r="N9" i="9"/>
  <c r="G59" i="9"/>
  <c r="G122" i="9" s="1"/>
  <c r="F135" i="9"/>
  <c r="AI19" i="9"/>
  <c r="AM7" i="9" s="1"/>
  <c r="G74" i="9"/>
  <c r="G136" i="9" s="1"/>
  <c r="C20" i="9"/>
  <c r="G44" i="9"/>
  <c r="G108" i="9" s="1"/>
  <c r="G58" i="9"/>
  <c r="G28" i="9"/>
  <c r="G73" i="9"/>
  <c r="G43" i="9"/>
  <c r="AL135" i="9"/>
  <c r="AL196" i="9"/>
  <c r="AL107" i="9"/>
  <c r="AL168" i="9"/>
  <c r="AL182" i="9"/>
  <c r="AL121" i="9"/>
  <c r="AL93" i="9"/>
  <c r="AL154" i="9"/>
  <c r="AM43" i="9"/>
  <c r="AM73" i="9"/>
  <c r="AM28" i="9"/>
  <c r="AM58" i="9"/>
  <c r="F121" i="9"/>
  <c r="F107" i="9"/>
  <c r="E76" i="9"/>
  <c r="E85" i="9" s="1"/>
  <c r="F93" i="9"/>
  <c r="F154" i="9"/>
  <c r="F44" i="9"/>
  <c r="F108" i="9" s="1"/>
  <c r="F29" i="9"/>
  <c r="F94" i="9" s="1"/>
  <c r="F74" i="9"/>
  <c r="F136" i="9" s="1"/>
  <c r="F59" i="9"/>
  <c r="F122" i="9" s="1"/>
  <c r="BI125" i="9"/>
  <c r="BI131" i="9" s="1"/>
  <c r="E56" i="20" s="1"/>
  <c r="BJ77" i="9"/>
  <c r="BJ200" i="9" s="1"/>
  <c r="BJ47" i="9"/>
  <c r="BJ111" i="9" s="1"/>
  <c r="BJ62" i="9"/>
  <c r="BJ125" i="9" s="1"/>
  <c r="BI186" i="9"/>
  <c r="BI192" i="9" s="1"/>
  <c r="M56" i="20" s="1"/>
  <c r="E9" i="9"/>
  <c r="E12" i="9"/>
  <c r="BI111" i="9"/>
  <c r="BI117" i="9" s="1"/>
  <c r="E37" i="20" s="1"/>
  <c r="BI54" i="9"/>
  <c r="BI39" i="9"/>
  <c r="AS76" i="9"/>
  <c r="AS138" i="9" s="1"/>
  <c r="AS40" i="9"/>
  <c r="BI158" i="9"/>
  <c r="BI164" i="9" s="1"/>
  <c r="M18" i="20" s="1"/>
  <c r="BI97" i="9"/>
  <c r="BI103" i="9" s="1"/>
  <c r="E18" i="20" s="1"/>
  <c r="E8" i="9"/>
  <c r="E11" i="9" s="1"/>
  <c r="AS46" i="9"/>
  <c r="AS55" i="9" s="1"/>
  <c r="AS61" i="9"/>
  <c r="AS124" i="9" s="1"/>
  <c r="F46" i="9"/>
  <c r="F110" i="9" s="1"/>
  <c r="E46" i="9"/>
  <c r="E55" i="9" s="1"/>
  <c r="F31" i="9"/>
  <c r="F96" i="9" s="1"/>
  <c r="G61" i="9"/>
  <c r="G124" i="9" s="1"/>
  <c r="F76" i="9"/>
  <c r="F138" i="9" s="1"/>
  <c r="AS38" i="9"/>
  <c r="AS95" i="9"/>
  <c r="E31" i="9"/>
  <c r="E96" i="9" s="1"/>
  <c r="E61" i="9"/>
  <c r="E70" i="9" s="1"/>
  <c r="AS198" i="9"/>
  <c r="E170" i="9"/>
  <c r="E198" i="9"/>
  <c r="G76" i="9"/>
  <c r="G138" i="9" s="1"/>
  <c r="AD62" i="9"/>
  <c r="AD186" i="9" s="1"/>
  <c r="G31" i="9"/>
  <c r="G96" i="9" s="1"/>
  <c r="AE77" i="9"/>
  <c r="AE139" i="9" s="1"/>
  <c r="E77" i="9"/>
  <c r="E139" i="9" s="1"/>
  <c r="E62" i="9"/>
  <c r="E125" i="9" s="1"/>
  <c r="AJ136" i="9"/>
  <c r="AJ145" i="9" s="1"/>
  <c r="D72" i="20" s="1"/>
  <c r="AC53" i="9"/>
  <c r="AC172" i="9"/>
  <c r="AC178" i="9" s="1"/>
  <c r="M33" i="20" s="1"/>
  <c r="E47" i="9"/>
  <c r="E172" i="9" s="1"/>
  <c r="E32" i="9"/>
  <c r="E97" i="9" s="1"/>
  <c r="AK31" i="9"/>
  <c r="AK96" i="9" s="1"/>
  <c r="AC54" i="9"/>
  <c r="AJ156" i="9"/>
  <c r="AJ164" i="9" s="1"/>
  <c r="L15" i="20" s="1"/>
  <c r="AK62" i="9"/>
  <c r="AK186" i="9" s="1"/>
  <c r="AE32" i="9"/>
  <c r="AE158" i="9" s="1"/>
  <c r="AC69" i="9"/>
  <c r="D20" i="9"/>
  <c r="E95" i="9"/>
  <c r="AD77" i="9"/>
  <c r="AD200" i="9" s="1"/>
  <c r="AK137" i="9"/>
  <c r="AC158" i="9"/>
  <c r="AC164" i="9" s="1"/>
  <c r="M14" i="20" s="1"/>
  <c r="AC39" i="9"/>
  <c r="D131" i="9"/>
  <c r="D49" i="20" s="1"/>
  <c r="E123" i="9"/>
  <c r="AE47" i="9"/>
  <c r="AE172" i="9" s="1"/>
  <c r="D117" i="9"/>
  <c r="D30" i="20" s="1"/>
  <c r="AC125" i="9"/>
  <c r="AC131" i="9" s="1"/>
  <c r="E52" i="20" s="1"/>
  <c r="AJ68" i="9"/>
  <c r="AD32" i="9"/>
  <c r="AD158" i="9" s="1"/>
  <c r="G75" i="9"/>
  <c r="AJ95" i="9"/>
  <c r="AJ103" i="9" s="1"/>
  <c r="D15" i="20" s="1"/>
  <c r="AT137" i="9"/>
  <c r="AJ55" i="9"/>
  <c r="AJ109" i="9"/>
  <c r="AJ117" i="9" s="1"/>
  <c r="D34" i="20" s="1"/>
  <c r="AJ122" i="9"/>
  <c r="AJ38" i="9"/>
  <c r="AJ123" i="9"/>
  <c r="AJ54" i="9"/>
  <c r="AU109" i="9"/>
  <c r="AK60" i="9"/>
  <c r="AK123" i="9" s="1"/>
  <c r="AJ53" i="9"/>
  <c r="AJ184" i="9"/>
  <c r="AJ192" i="9" s="1"/>
  <c r="L53" i="20" s="1"/>
  <c r="AS170" i="9"/>
  <c r="AJ83" i="9"/>
  <c r="AJ198" i="9"/>
  <c r="AJ206" i="9" s="1"/>
  <c r="L72" i="20" s="1"/>
  <c r="N30" i="9"/>
  <c r="N95" i="9" s="1"/>
  <c r="N60" i="9"/>
  <c r="N123" i="9" s="1"/>
  <c r="W77" i="9"/>
  <c r="W200" i="9" s="1"/>
  <c r="W32" i="9"/>
  <c r="W97" i="9" s="1"/>
  <c r="W47" i="9"/>
  <c r="W111" i="9" s="1"/>
  <c r="W62" i="9"/>
  <c r="W186" i="9" s="1"/>
  <c r="AJ69" i="9"/>
  <c r="AK30" i="9"/>
  <c r="AK95" i="9" s="1"/>
  <c r="AJ84" i="9"/>
  <c r="AK45" i="9"/>
  <c r="AK109" i="9" s="1"/>
  <c r="AL30" i="9"/>
  <c r="AL156" i="9" s="1"/>
  <c r="G123" i="9"/>
  <c r="G184" i="9"/>
  <c r="F75" i="9"/>
  <c r="F45" i="9"/>
  <c r="F30" i="9"/>
  <c r="F60" i="9"/>
  <c r="G30" i="9"/>
  <c r="G45" i="9"/>
  <c r="AT109" i="9"/>
  <c r="AM31" i="9"/>
  <c r="AM96" i="9" s="1"/>
  <c r="AM60" i="9"/>
  <c r="AM123" i="9" s="1"/>
  <c r="AM30" i="9"/>
  <c r="AM95" i="9" s="1"/>
  <c r="AM45" i="9"/>
  <c r="AM170" i="9" s="1"/>
  <c r="AU198" i="9"/>
  <c r="AU123" i="9"/>
  <c r="AL31" i="9"/>
  <c r="AL96" i="9" s="1"/>
  <c r="AT123" i="9"/>
  <c r="AL75" i="9"/>
  <c r="AL198" i="9" s="1"/>
  <c r="AL60" i="9"/>
  <c r="AL184" i="9" s="1"/>
  <c r="AL109" i="9"/>
  <c r="U192" i="9"/>
  <c r="M51" i="20" s="1"/>
  <c r="CO145" i="9"/>
  <c r="E79" i="20" s="1"/>
  <c r="BQ117" i="9"/>
  <c r="E38" i="20" s="1"/>
  <c r="L103" i="9"/>
  <c r="D12" i="20" s="1"/>
  <c r="DE131" i="9"/>
  <c r="E62" i="20" s="1"/>
  <c r="BI145" i="9"/>
  <c r="E75" i="20" s="1"/>
  <c r="DE38" i="9"/>
  <c r="CO103" i="9"/>
  <c r="E22" i="20" s="1"/>
  <c r="BY53" i="9"/>
  <c r="DE178" i="9"/>
  <c r="M43" i="20" s="1"/>
  <c r="CW103" i="9"/>
  <c r="E23" i="20" s="1"/>
  <c r="BY117" i="9"/>
  <c r="E39" i="20" s="1"/>
  <c r="DE206" i="9"/>
  <c r="M81" i="20" s="1"/>
  <c r="U117" i="9"/>
  <c r="E32" i="20" s="1"/>
  <c r="DE145" i="9"/>
  <c r="E81" i="20" s="1"/>
  <c r="BI206" i="9"/>
  <c r="M75" i="20" s="1"/>
  <c r="CG83" i="9"/>
  <c r="CG178" i="9"/>
  <c r="M40" i="20" s="1"/>
  <c r="BA178" i="9"/>
  <c r="M36" i="20" s="1"/>
  <c r="CG131" i="9"/>
  <c r="E59" i="20" s="1"/>
  <c r="CG103" i="9"/>
  <c r="E21" i="20" s="1"/>
  <c r="BA117" i="9"/>
  <c r="E36" i="20" s="1"/>
  <c r="CW164" i="9"/>
  <c r="M23" i="20" s="1"/>
  <c r="BA145" i="9"/>
  <c r="E74" i="20" s="1"/>
  <c r="CO38" i="9"/>
  <c r="L164" i="9"/>
  <c r="L12" i="20" s="1"/>
  <c r="AC145" i="9"/>
  <c r="E71" i="20" s="1"/>
  <c r="L206" i="9"/>
  <c r="L69" i="20" s="1"/>
  <c r="DE103" i="9"/>
  <c r="E24" i="20" s="1"/>
  <c r="L192" i="9"/>
  <c r="L50" i="20" s="1"/>
  <c r="BY103" i="9"/>
  <c r="E20" i="20" s="1"/>
  <c r="CW145" i="9"/>
  <c r="E80" i="20" s="1"/>
  <c r="BY164" i="9"/>
  <c r="M20" i="20" s="1"/>
  <c r="DE192" i="9"/>
  <c r="M62" i="20" s="1"/>
  <c r="CO117" i="9"/>
  <c r="E41" i="20" s="1"/>
  <c r="CO206" i="9"/>
  <c r="M79" i="20" s="1"/>
  <c r="U145" i="9"/>
  <c r="E70" i="20" s="1"/>
  <c r="BY145" i="9"/>
  <c r="E77" i="20" s="1"/>
  <c r="BQ103" i="9"/>
  <c r="E19" i="20" s="1"/>
  <c r="CW131" i="9"/>
  <c r="E61" i="20" s="1"/>
  <c r="BQ178" i="9"/>
  <c r="M38" i="20" s="1"/>
  <c r="CW192" i="9"/>
  <c r="M61" i="20" s="1"/>
  <c r="U53" i="9"/>
  <c r="AC117" i="9"/>
  <c r="E33" i="20" s="1"/>
  <c r="BA164" i="9"/>
  <c r="M17" i="20" s="1"/>
  <c r="U103" i="9"/>
  <c r="E13" i="20" s="1"/>
  <c r="U131" i="9"/>
  <c r="E51" i="20" s="1"/>
  <c r="U38" i="9"/>
  <c r="BA96" i="9"/>
  <c r="BA103" i="9" s="1"/>
  <c r="E17" i="20" s="1"/>
  <c r="BA38" i="9"/>
  <c r="CA96" i="9"/>
  <c r="BQ124" i="9"/>
  <c r="BQ131" i="9" s="1"/>
  <c r="E57" i="20" s="1"/>
  <c r="BQ68" i="9"/>
  <c r="CH124" i="9"/>
  <c r="CA138" i="9"/>
  <c r="DD103" i="9"/>
  <c r="D24" i="20" s="1"/>
  <c r="AR145" i="9"/>
  <c r="D73" i="20" s="1"/>
  <c r="T145" i="9"/>
  <c r="D70" i="20" s="1"/>
  <c r="CG145" i="9"/>
  <c r="E78" i="20" s="1"/>
  <c r="BY131" i="9"/>
  <c r="E58" i="20" s="1"/>
  <c r="BQ138" i="9"/>
  <c r="BQ145" i="9" s="1"/>
  <c r="E76" i="20" s="1"/>
  <c r="BQ83" i="9"/>
  <c r="DE110" i="9"/>
  <c r="DE117" i="9" s="1"/>
  <c r="E43" i="20" s="1"/>
  <c r="DE53" i="9"/>
  <c r="AC96" i="9"/>
  <c r="AC103" i="9" s="1"/>
  <c r="E14" i="20" s="1"/>
  <c r="AC38" i="9"/>
  <c r="V124" i="9"/>
  <c r="AT138" i="9"/>
  <c r="BQ164" i="9"/>
  <c r="M19" i="20" s="1"/>
  <c r="CO164" i="9"/>
  <c r="M22" i="20" s="1"/>
  <c r="CO124" i="9"/>
  <c r="CO131" i="9" s="1"/>
  <c r="E60" i="20" s="1"/>
  <c r="CO68" i="9"/>
  <c r="BZ96" i="9"/>
  <c r="CG110" i="9"/>
  <c r="CG117" i="9" s="1"/>
  <c r="E40" i="20" s="1"/>
  <c r="CG53" i="9"/>
  <c r="DD117" i="9"/>
  <c r="D43" i="20" s="1"/>
  <c r="BA206" i="9"/>
  <c r="M74" i="20" s="1"/>
  <c r="AZ117" i="9"/>
  <c r="D36" i="20" s="1"/>
  <c r="U206" i="9"/>
  <c r="M70" i="20" s="1"/>
  <c r="U178" i="9"/>
  <c r="M32" i="20" s="1"/>
  <c r="BQ192" i="9"/>
  <c r="M57" i="20" s="1"/>
  <c r="BX103" i="9"/>
  <c r="D20" i="20" s="1"/>
  <c r="BA131" i="9"/>
  <c r="E55" i="20" s="1"/>
  <c r="DD145" i="9"/>
  <c r="D81" i="20" s="1"/>
  <c r="AC206" i="9"/>
  <c r="M71" i="20" s="1"/>
  <c r="CG192" i="9"/>
  <c r="M59" i="20" s="1"/>
  <c r="CW110" i="9"/>
  <c r="CW117" i="9" s="1"/>
  <c r="E42" i="20" s="1"/>
  <c r="CW53" i="9"/>
  <c r="BX131" i="9"/>
  <c r="D58" i="20" s="1"/>
  <c r="CG55" i="9"/>
  <c r="CV103" i="9"/>
  <c r="D23" i="20" s="1"/>
  <c r="AM137" i="9"/>
  <c r="AM198" i="9"/>
  <c r="L131" i="9"/>
  <c r="D50" i="20" s="1"/>
  <c r="AR103" i="9"/>
  <c r="D16" i="20" s="1"/>
  <c r="CA110" i="9"/>
  <c r="DG96" i="9"/>
  <c r="BA68" i="9"/>
  <c r="DE83" i="9"/>
  <c r="BA83" i="9"/>
  <c r="BK124" i="9"/>
  <c r="CY110" i="9"/>
  <c r="BI68" i="9"/>
  <c r="BH103" i="9"/>
  <c r="D18" i="20" s="1"/>
  <c r="BC138" i="9"/>
  <c r="AE96" i="9"/>
  <c r="CW38" i="9"/>
  <c r="BQ38" i="9"/>
  <c r="CI138" i="9"/>
  <c r="BA192" i="9"/>
  <c r="M55" i="20" s="1"/>
  <c r="CF145" i="9"/>
  <c r="D78" i="20" s="1"/>
  <c r="BI83" i="9"/>
  <c r="BY83" i="9"/>
  <c r="W110" i="9"/>
  <c r="BI53" i="9"/>
  <c r="BP145" i="9"/>
  <c r="D76" i="20" s="1"/>
  <c r="AC68" i="9"/>
  <c r="CG68" i="9"/>
  <c r="CQ96" i="9"/>
  <c r="BP117" i="9"/>
  <c r="D38" i="20" s="1"/>
  <c r="BY192" i="9"/>
  <c r="M58" i="20" s="1"/>
  <c r="CW178" i="9"/>
  <c r="M42" i="20" s="1"/>
  <c r="AC83" i="9"/>
  <c r="U68" i="9"/>
  <c r="BH145" i="9"/>
  <c r="D75" i="20" s="1"/>
  <c r="L117" i="9"/>
  <c r="D31" i="20" s="1"/>
  <c r="AU138" i="9"/>
  <c r="BI178" i="9"/>
  <c r="M37" i="20" s="1"/>
  <c r="L145" i="9"/>
  <c r="D69" i="20" s="1"/>
  <c r="L178" i="9"/>
  <c r="CG164" i="9"/>
  <c r="M21" i="20" s="1"/>
  <c r="DD131" i="9"/>
  <c r="D62" i="20" s="1"/>
  <c r="CO192" i="9"/>
  <c r="M60" i="20" s="1"/>
  <c r="BY68" i="9"/>
  <c r="CN103" i="9"/>
  <c r="D22" i="20" s="1"/>
  <c r="AR131" i="9"/>
  <c r="D54" i="20" s="1"/>
  <c r="CW83" i="9"/>
  <c r="AC192" i="9"/>
  <c r="M52" i="20" s="1"/>
  <c r="CO53" i="9"/>
  <c r="AC70" i="9"/>
  <c r="DE40" i="9"/>
  <c r="CW55" i="9"/>
  <c r="BZ78" i="9"/>
  <c r="BZ140" i="9" s="1"/>
  <c r="BZ63" i="9"/>
  <c r="BZ126" i="9" s="1"/>
  <c r="BZ33" i="9"/>
  <c r="BZ98" i="9" s="1"/>
  <c r="CW40" i="9"/>
  <c r="BA85" i="9"/>
  <c r="U70" i="9"/>
  <c r="CP33" i="9"/>
  <c r="CP98" i="9" s="1"/>
  <c r="CW85" i="9"/>
  <c r="BQ85" i="9"/>
  <c r="CP48" i="9"/>
  <c r="CP112" i="9" s="1"/>
  <c r="CP63" i="9"/>
  <c r="CP126" i="9" s="1"/>
  <c r="BI70" i="9"/>
  <c r="DE55" i="9"/>
  <c r="CA48" i="9"/>
  <c r="CA112" i="9" s="1"/>
  <c r="CA33" i="9"/>
  <c r="CA98" i="9" s="1"/>
  <c r="BI85" i="9"/>
  <c r="CA63" i="9"/>
  <c r="CG85" i="9"/>
  <c r="BQ40" i="9"/>
  <c r="U40" i="9"/>
  <c r="BA70" i="9"/>
  <c r="CG70" i="9"/>
  <c r="AE48" i="9"/>
  <c r="AE112" i="9" s="1"/>
  <c r="AE78" i="9"/>
  <c r="AE140" i="9" s="1"/>
  <c r="AE63" i="9"/>
  <c r="AE126" i="9" s="1"/>
  <c r="CY48" i="9"/>
  <c r="CY112" i="9" s="1"/>
  <c r="BA40" i="9"/>
  <c r="AC85" i="9"/>
  <c r="CO70" i="9"/>
  <c r="BQ70" i="9"/>
  <c r="CY78" i="9"/>
  <c r="CY140" i="9" s="1"/>
  <c r="CO40" i="9"/>
  <c r="CO55" i="9"/>
  <c r="U55" i="9"/>
  <c r="CP85" i="9"/>
  <c r="BZ55" i="9"/>
  <c r="BR48" i="9"/>
  <c r="BR112" i="9" s="1"/>
  <c r="BR33" i="9"/>
  <c r="BR98" i="9" s="1"/>
  <c r="CY63" i="9"/>
  <c r="CY126" i="9" s="1"/>
  <c r="BR63" i="9"/>
  <c r="AC40" i="9"/>
  <c r="CX33" i="9"/>
  <c r="CX63" i="9"/>
  <c r="CX48" i="9"/>
  <c r="BI55" i="9"/>
  <c r="DE85" i="9"/>
  <c r="BR85" i="9"/>
  <c r="AT33" i="9"/>
  <c r="CX85" i="9"/>
  <c r="CY200" i="9"/>
  <c r="CY139" i="9"/>
  <c r="DG125" i="9"/>
  <c r="DG186" i="9"/>
  <c r="DF111" i="9"/>
  <c r="DF172" i="9"/>
  <c r="CI111" i="9"/>
  <c r="CI172" i="9"/>
  <c r="CI48" i="9"/>
  <c r="CI33" i="9"/>
  <c r="CI78" i="9"/>
  <c r="CI63" i="9"/>
  <c r="CQ125" i="9"/>
  <c r="CQ186" i="9"/>
  <c r="CH111" i="9"/>
  <c r="CH172" i="9"/>
  <c r="DF139" i="9"/>
  <c r="DF200" i="9"/>
  <c r="CI139" i="9"/>
  <c r="CI200" i="9"/>
  <c r="CA158" i="9"/>
  <c r="CA97" i="9"/>
  <c r="CQ139" i="9"/>
  <c r="CQ200" i="9"/>
  <c r="CH186" i="9"/>
  <c r="CH125" i="9"/>
  <c r="DF97" i="9"/>
  <c r="DF158" i="9"/>
  <c r="CY97" i="9"/>
  <c r="CY158" i="9"/>
  <c r="CA172" i="9"/>
  <c r="CA111" i="9"/>
  <c r="CQ158" i="9"/>
  <c r="CQ97" i="9"/>
  <c r="BZ125" i="9"/>
  <c r="BZ186" i="9"/>
  <c r="CH139" i="9"/>
  <c r="CH200" i="9"/>
  <c r="DF186" i="9"/>
  <c r="DF125" i="9"/>
  <c r="BY85" i="9"/>
  <c r="BY70" i="9"/>
  <c r="CA186" i="9"/>
  <c r="CA125" i="9"/>
  <c r="CQ172" i="9"/>
  <c r="CQ111" i="9"/>
  <c r="BZ200" i="9"/>
  <c r="BZ139" i="9"/>
  <c r="CH97" i="9"/>
  <c r="CH158" i="9"/>
  <c r="DF64" i="9"/>
  <c r="DF69" i="9" s="1"/>
  <c r="DF34" i="9"/>
  <c r="DF49" i="9"/>
  <c r="DF54" i="9" s="1"/>
  <c r="DF79" i="9"/>
  <c r="BY55" i="9"/>
  <c r="CA200" i="9"/>
  <c r="CA139" i="9"/>
  <c r="CQ63" i="9"/>
  <c r="CQ48" i="9"/>
  <c r="CQ33" i="9"/>
  <c r="CQ78" i="9"/>
  <c r="BZ158" i="9"/>
  <c r="BZ97" i="9"/>
  <c r="CH64" i="9"/>
  <c r="CH69" i="9" s="1"/>
  <c r="CH49" i="9"/>
  <c r="CH54" i="9" s="1"/>
  <c r="CH79" i="9"/>
  <c r="CH84" i="9" s="1"/>
  <c r="CH34" i="9"/>
  <c r="CH39" i="9" s="1"/>
  <c r="CX200" i="9"/>
  <c r="CX139" i="9"/>
  <c r="CY125" i="9"/>
  <c r="CY186" i="9"/>
  <c r="BR125" i="9"/>
  <c r="BR186" i="9"/>
  <c r="BS125" i="9"/>
  <c r="BS186" i="9"/>
  <c r="BZ172" i="9"/>
  <c r="BZ111" i="9"/>
  <c r="DF48" i="9"/>
  <c r="DF78" i="9"/>
  <c r="DF33" i="9"/>
  <c r="DF63" i="9"/>
  <c r="CX125" i="9"/>
  <c r="CX186" i="9"/>
  <c r="BR200" i="9"/>
  <c r="BR139" i="9"/>
  <c r="BS139" i="9"/>
  <c r="BS200" i="9"/>
  <c r="BZ64" i="9"/>
  <c r="BZ69" i="9" s="1"/>
  <c r="BZ34" i="9"/>
  <c r="BZ79" i="9"/>
  <c r="BZ84" i="9" s="1"/>
  <c r="BZ49" i="9"/>
  <c r="BZ53" i="9" s="1"/>
  <c r="CX158" i="9"/>
  <c r="CX97" i="9"/>
  <c r="CH48" i="9"/>
  <c r="CH33" i="9"/>
  <c r="CH78" i="9"/>
  <c r="CH63" i="9"/>
  <c r="DG48" i="9"/>
  <c r="DG78" i="9"/>
  <c r="DG33" i="9"/>
  <c r="DG63" i="9"/>
  <c r="BR158" i="9"/>
  <c r="BR97" i="9"/>
  <c r="BS158" i="9"/>
  <c r="BS97" i="9"/>
  <c r="CP186" i="9"/>
  <c r="CP125" i="9"/>
  <c r="CX111" i="9"/>
  <c r="CX172" i="9"/>
  <c r="CI158" i="9"/>
  <c r="CI97" i="9"/>
  <c r="CI125" i="9"/>
  <c r="CI186" i="9"/>
  <c r="BR172" i="9"/>
  <c r="BR111" i="9"/>
  <c r="BS111" i="9"/>
  <c r="BS172" i="9"/>
  <c r="CP139" i="9"/>
  <c r="CP200" i="9"/>
  <c r="CX49" i="9"/>
  <c r="CX54" i="9" s="1"/>
  <c r="CX34" i="9"/>
  <c r="CX64" i="9"/>
  <c r="CX69" i="9" s="1"/>
  <c r="CX79" i="9"/>
  <c r="CX83" i="9" s="1"/>
  <c r="BR34" i="9"/>
  <c r="BR49" i="9"/>
  <c r="BR54" i="9" s="1"/>
  <c r="BR64" i="9"/>
  <c r="BR69" i="9" s="1"/>
  <c r="BR79" i="9"/>
  <c r="BR84" i="9" s="1"/>
  <c r="BS33" i="9"/>
  <c r="BS48" i="9"/>
  <c r="BS78" i="9"/>
  <c r="BS63" i="9"/>
  <c r="CP158" i="9"/>
  <c r="CP97" i="9"/>
  <c r="DG97" i="9"/>
  <c r="DG158" i="9"/>
  <c r="CP172" i="9"/>
  <c r="CP111" i="9"/>
  <c r="DG200" i="9"/>
  <c r="DG139" i="9"/>
  <c r="CY111" i="9"/>
  <c r="CY172" i="9"/>
  <c r="CP79" i="9"/>
  <c r="CP84" i="9" s="1"/>
  <c r="CP34" i="9"/>
  <c r="CP39" i="9" s="1"/>
  <c r="CP64" i="9"/>
  <c r="CP69" i="9" s="1"/>
  <c r="CP49" i="9"/>
  <c r="DG172" i="9"/>
  <c r="DG111" i="9"/>
  <c r="AD48" i="9"/>
  <c r="AD40" i="9"/>
  <c r="AD78" i="9"/>
  <c r="AD63" i="9"/>
  <c r="AU33" i="9"/>
  <c r="W33" i="9"/>
  <c r="W78" i="9"/>
  <c r="W63" i="9"/>
  <c r="W48" i="9"/>
  <c r="V63" i="9"/>
  <c r="V33" i="9"/>
  <c r="V78" i="9"/>
  <c r="V48" i="9"/>
  <c r="AD172" i="9"/>
  <c r="AD111" i="9"/>
  <c r="V172" i="9"/>
  <c r="V111" i="9"/>
  <c r="V158" i="9"/>
  <c r="V97" i="9"/>
  <c r="V186" i="9"/>
  <c r="V125" i="9"/>
  <c r="V139" i="9"/>
  <c r="V200" i="9"/>
  <c r="V49" i="9"/>
  <c r="V54" i="9" s="1"/>
  <c r="V79" i="9"/>
  <c r="V84" i="9" s="1"/>
  <c r="V34" i="9"/>
  <c r="V39" i="9" s="1"/>
  <c r="V64" i="9"/>
  <c r="V69" i="9" s="1"/>
  <c r="AE186" i="9"/>
  <c r="AE125" i="9"/>
  <c r="BB98" i="9"/>
  <c r="BB40" i="9"/>
  <c r="AS125" i="9"/>
  <c r="AS186" i="9"/>
  <c r="AS69" i="9"/>
  <c r="AS111" i="9"/>
  <c r="AS172" i="9"/>
  <c r="AS54" i="9"/>
  <c r="AS200" i="9"/>
  <c r="AS139" i="9"/>
  <c r="AS84" i="9"/>
  <c r="AS97" i="9"/>
  <c r="AS158" i="9"/>
  <c r="AU32" i="9"/>
  <c r="AU77" i="9"/>
  <c r="AU62" i="9"/>
  <c r="AU47" i="9"/>
  <c r="AT32" i="9"/>
  <c r="AT77" i="9"/>
  <c r="AT47" i="9"/>
  <c r="AT62" i="9"/>
  <c r="BB48" i="9"/>
  <c r="BB78" i="9"/>
  <c r="BB63" i="9"/>
  <c r="AS39" i="9"/>
  <c r="BK48" i="9"/>
  <c r="BK78" i="9"/>
  <c r="BK33" i="9"/>
  <c r="BK63" i="9"/>
  <c r="BJ97" i="9"/>
  <c r="BJ158" i="9"/>
  <c r="BJ48" i="9"/>
  <c r="BJ78" i="9"/>
  <c r="BJ33" i="9"/>
  <c r="BJ63" i="9"/>
  <c r="BJ79" i="9"/>
  <c r="BJ34" i="9"/>
  <c r="BJ39" i="9" s="1"/>
  <c r="BJ64" i="9"/>
  <c r="BJ49" i="9"/>
  <c r="BB172" i="9"/>
  <c r="BB111" i="9"/>
  <c r="BC172" i="9"/>
  <c r="BC111" i="9"/>
  <c r="BB139" i="9"/>
  <c r="BB200" i="9"/>
  <c r="BC139" i="9"/>
  <c r="BC200" i="9"/>
  <c r="BB97" i="9"/>
  <c r="BB158" i="9"/>
  <c r="BC97" i="9"/>
  <c r="BC158" i="9"/>
  <c r="BK125" i="9"/>
  <c r="BK186" i="9"/>
  <c r="BB186" i="9"/>
  <c r="BB125" i="9"/>
  <c r="BC186" i="9"/>
  <c r="BC125" i="9"/>
  <c r="BK97" i="9"/>
  <c r="BK158" i="9"/>
  <c r="BB34" i="9"/>
  <c r="BB39" i="9" s="1"/>
  <c r="BB79" i="9"/>
  <c r="BB49" i="9"/>
  <c r="BB54" i="9" s="1"/>
  <c r="BB64" i="9"/>
  <c r="BK200" i="9"/>
  <c r="BK139" i="9"/>
  <c r="BK172" i="9"/>
  <c r="BK111" i="9"/>
  <c r="BC33" i="9"/>
  <c r="BC78" i="9"/>
  <c r="BC48" i="9"/>
  <c r="BC63" i="9"/>
  <c r="M156" i="9"/>
  <c r="M95" i="9"/>
  <c r="M198" i="9"/>
  <c r="M137" i="9"/>
  <c r="M77" i="9"/>
  <c r="M32" i="9"/>
  <c r="M62" i="9"/>
  <c r="M47" i="9"/>
  <c r="M170" i="9"/>
  <c r="M109" i="9"/>
  <c r="N170" i="9"/>
  <c r="N109" i="9"/>
  <c r="M31" i="9"/>
  <c r="M76" i="9"/>
  <c r="M46" i="9"/>
  <c r="M61" i="9"/>
  <c r="N31" i="9"/>
  <c r="N76" i="9"/>
  <c r="N46" i="9"/>
  <c r="N110" i="9" s="1"/>
  <c r="N61" i="9"/>
  <c r="N124" i="9" s="1"/>
  <c r="M184" i="9"/>
  <c r="M123" i="9"/>
  <c r="O46" i="9"/>
  <c r="O110" i="9" s="1"/>
  <c r="O61" i="9"/>
  <c r="O124" i="9" s="1"/>
  <c r="O76" i="9"/>
  <c r="O138" i="9" s="1"/>
  <c r="O31" i="9"/>
  <c r="O96" i="9" s="1"/>
  <c r="D11" i="20"/>
  <c r="L31" i="20" l="1"/>
  <c r="L44" i="20" s="1"/>
  <c r="E32" i="11" s="1"/>
  <c r="AN5" i="28" s="1"/>
  <c r="O75" i="9"/>
  <c r="O137" i="9" s="1"/>
  <c r="N198" i="9"/>
  <c r="O184" i="9"/>
  <c r="O45" i="9"/>
  <c r="O109" i="9" s="1"/>
  <c r="O30" i="9"/>
  <c r="O156" i="9" s="1"/>
  <c r="BJ186" i="9"/>
  <c r="E138" i="9"/>
  <c r="E145" i="9" s="1"/>
  <c r="E68" i="20" s="1"/>
  <c r="BJ54" i="9"/>
  <c r="BJ172" i="9"/>
  <c r="L20" i="9"/>
  <c r="O7" i="9"/>
  <c r="N20" i="9"/>
  <c r="AM29" i="9"/>
  <c r="AM94" i="9" s="1"/>
  <c r="AM74" i="9"/>
  <c r="AM136" i="9" s="1"/>
  <c r="AM59" i="9"/>
  <c r="AM122" i="9" s="1"/>
  <c r="AM44" i="9"/>
  <c r="AM108" i="9" s="1"/>
  <c r="AI20" i="9"/>
  <c r="G168" i="9"/>
  <c r="G107" i="9"/>
  <c r="G135" i="9"/>
  <c r="G196" i="9"/>
  <c r="G154" i="9"/>
  <c r="G93" i="9"/>
  <c r="G182" i="9"/>
  <c r="G121" i="9"/>
  <c r="AM182" i="9"/>
  <c r="AM121" i="9"/>
  <c r="AM154" i="9"/>
  <c r="AM93" i="9"/>
  <c r="AM196" i="9"/>
  <c r="AM135" i="9"/>
  <c r="AM168" i="9"/>
  <c r="AM107" i="9"/>
  <c r="E13" i="9"/>
  <c r="G48" i="9" s="1"/>
  <c r="G112" i="9" s="1"/>
  <c r="E10" i="9"/>
  <c r="F7" i="9" s="1"/>
  <c r="BJ139" i="9"/>
  <c r="AS83" i="9"/>
  <c r="AS85" i="9"/>
  <c r="AS145" i="9"/>
  <c r="E73" i="20" s="1"/>
  <c r="AS131" i="9"/>
  <c r="E54" i="20" s="1"/>
  <c r="AS53" i="9"/>
  <c r="AS110" i="9"/>
  <c r="AS117" i="9" s="1"/>
  <c r="E35" i="20" s="1"/>
  <c r="AS70" i="9"/>
  <c r="AS68" i="9"/>
  <c r="E110" i="9"/>
  <c r="AD125" i="9"/>
  <c r="AD79" i="9"/>
  <c r="AD141" i="9" s="1"/>
  <c r="AS103" i="9"/>
  <c r="E16" i="20" s="1"/>
  <c r="E40" i="9"/>
  <c r="E124" i="9"/>
  <c r="E131" i="9" s="1"/>
  <c r="E49" i="20" s="1"/>
  <c r="AE200" i="9"/>
  <c r="AE97" i="9"/>
  <c r="E68" i="9"/>
  <c r="AK61" i="9"/>
  <c r="AK124" i="9" s="1"/>
  <c r="AD139" i="9"/>
  <c r="E83" i="9"/>
  <c r="AK76" i="9"/>
  <c r="AK85" i="9" s="1"/>
  <c r="W158" i="9"/>
  <c r="AE111" i="9"/>
  <c r="AD64" i="9"/>
  <c r="AD69" i="9" s="1"/>
  <c r="AD49" i="9"/>
  <c r="AD54" i="9" s="1"/>
  <c r="N156" i="9"/>
  <c r="AD34" i="9"/>
  <c r="AD160" i="9" s="1"/>
  <c r="E178" i="9"/>
  <c r="M30" i="20" s="1"/>
  <c r="AD97" i="9"/>
  <c r="E38" i="9"/>
  <c r="E53" i="9"/>
  <c r="AL32" i="9"/>
  <c r="AL158" i="9" s="1"/>
  <c r="E84" i="9"/>
  <c r="E200" i="9"/>
  <c r="E206" i="9" s="1"/>
  <c r="M68" i="20" s="1"/>
  <c r="AK46" i="9"/>
  <c r="AK110" i="9" s="1"/>
  <c r="E158" i="9"/>
  <c r="E164" i="9" s="1"/>
  <c r="M11" i="20" s="1"/>
  <c r="F62" i="9"/>
  <c r="F125" i="9" s="1"/>
  <c r="F47" i="9"/>
  <c r="F172" i="9" s="1"/>
  <c r="E54" i="9"/>
  <c r="E111" i="9"/>
  <c r="E39" i="9"/>
  <c r="E103" i="9"/>
  <c r="AK40" i="9"/>
  <c r="E69" i="9"/>
  <c r="E186" i="9"/>
  <c r="E192" i="9" s="1"/>
  <c r="M49" i="20" s="1"/>
  <c r="F77" i="9"/>
  <c r="F32" i="9"/>
  <c r="F97" i="9" s="1"/>
  <c r="AK47" i="9"/>
  <c r="AK32" i="9"/>
  <c r="AK38" i="9" s="1"/>
  <c r="W139" i="9"/>
  <c r="AK77" i="9"/>
  <c r="AK125" i="9"/>
  <c r="AK69" i="9"/>
  <c r="N184" i="9"/>
  <c r="AJ131" i="9"/>
  <c r="W172" i="9"/>
  <c r="AK184" i="9"/>
  <c r="AK192" i="9" s="1"/>
  <c r="M53" i="20" s="1"/>
  <c r="G137" i="9"/>
  <c r="G198" i="9"/>
  <c r="G32" i="9"/>
  <c r="G77" i="9"/>
  <c r="G47" i="9"/>
  <c r="G62" i="9"/>
  <c r="G186" i="9" s="1"/>
  <c r="L82" i="20"/>
  <c r="E83" i="11" s="1"/>
  <c r="W125" i="9"/>
  <c r="AM76" i="9"/>
  <c r="AM138" i="9" s="1"/>
  <c r="AK170" i="9"/>
  <c r="AK156" i="9"/>
  <c r="AM46" i="9"/>
  <c r="AM110" i="9" s="1"/>
  <c r="AL95" i="9"/>
  <c r="F184" i="9"/>
  <c r="F123" i="9"/>
  <c r="F156" i="9"/>
  <c r="F95" i="9"/>
  <c r="F170" i="9"/>
  <c r="F109" i="9"/>
  <c r="F137" i="9"/>
  <c r="F198" i="9"/>
  <c r="G170" i="9"/>
  <c r="G109" i="9"/>
  <c r="G156" i="9"/>
  <c r="G95" i="9"/>
  <c r="AM109" i="9"/>
  <c r="AM184" i="9"/>
  <c r="AM156" i="9"/>
  <c r="AM61" i="9"/>
  <c r="AM124" i="9" s="1"/>
  <c r="AL61" i="9"/>
  <c r="AL124" i="9" s="1"/>
  <c r="AL46" i="9"/>
  <c r="AL110" i="9" s="1"/>
  <c r="AL76" i="9"/>
  <c r="AL138" i="9" s="1"/>
  <c r="AL137" i="9"/>
  <c r="AL123" i="9"/>
  <c r="L25" i="20"/>
  <c r="E57" i="11" s="1"/>
  <c r="CP53" i="9"/>
  <c r="DF38" i="9"/>
  <c r="BR68" i="9"/>
  <c r="BB83" i="9"/>
  <c r="CX38" i="9"/>
  <c r="BZ38" i="9"/>
  <c r="M38" i="9"/>
  <c r="BJ53" i="9"/>
  <c r="M53" i="9"/>
  <c r="BJ83" i="9"/>
  <c r="BR38" i="9"/>
  <c r="BB68" i="9"/>
  <c r="M83" i="9"/>
  <c r="M68" i="9"/>
  <c r="BJ68" i="9"/>
  <c r="DF83" i="9"/>
  <c r="CP83" i="9"/>
  <c r="BR83" i="9"/>
  <c r="N96" i="9"/>
  <c r="CH83" i="9"/>
  <c r="BB38" i="9"/>
  <c r="CX68" i="9"/>
  <c r="BZ83" i="9"/>
  <c r="CH38" i="9"/>
  <c r="CX53" i="9"/>
  <c r="V83" i="9"/>
  <c r="AS192" i="9"/>
  <c r="M54" i="20" s="1"/>
  <c r="DF53" i="9"/>
  <c r="BB53" i="9"/>
  <c r="CH68" i="9"/>
  <c r="CP68" i="9"/>
  <c r="V53" i="9"/>
  <c r="CP38" i="9"/>
  <c r="BZ68" i="9"/>
  <c r="CH53" i="9"/>
  <c r="N138" i="9"/>
  <c r="BJ38" i="9"/>
  <c r="BR53" i="9"/>
  <c r="DF68" i="9"/>
  <c r="AS178" i="9"/>
  <c r="M35" i="20" s="1"/>
  <c r="V68" i="9"/>
  <c r="CA126" i="9"/>
  <c r="V38" i="9"/>
  <c r="AS206" i="9"/>
  <c r="M73" i="20" s="1"/>
  <c r="AS164" i="9"/>
  <c r="M16" i="20" s="1"/>
  <c r="AU78" i="9"/>
  <c r="AU140" i="9" s="1"/>
  <c r="BZ70" i="9"/>
  <c r="BZ85" i="9"/>
  <c r="BZ40" i="9"/>
  <c r="AT48" i="9"/>
  <c r="AT55" i="9" s="1"/>
  <c r="CP55" i="9"/>
  <c r="CP40" i="9"/>
  <c r="CP70" i="9"/>
  <c r="BR55" i="9"/>
  <c r="AU63" i="9"/>
  <c r="AU126" i="9" s="1"/>
  <c r="AT63" i="9"/>
  <c r="AT126" i="9" s="1"/>
  <c r="BR40" i="9"/>
  <c r="AT78" i="9"/>
  <c r="AT140" i="9" s="1"/>
  <c r="BR126" i="9"/>
  <c r="BR70" i="9"/>
  <c r="DG65" i="9"/>
  <c r="DG128" i="9" s="1"/>
  <c r="CX126" i="9"/>
  <c r="CX70" i="9"/>
  <c r="CA65" i="9"/>
  <c r="CX112" i="9"/>
  <c r="CX55" i="9"/>
  <c r="CX98" i="9"/>
  <c r="CX40" i="9"/>
  <c r="CI50" i="9"/>
  <c r="CI114" i="9" s="1"/>
  <c r="CQ50" i="9"/>
  <c r="CQ114" i="9" s="1"/>
  <c r="BZ141" i="9"/>
  <c r="BZ202" i="9"/>
  <c r="DG98" i="9"/>
  <c r="BZ160" i="9"/>
  <c r="BZ99" i="9"/>
  <c r="BZ103" i="9" s="1"/>
  <c r="F20" i="20" s="1"/>
  <c r="DG140" i="9"/>
  <c r="BS34" i="9"/>
  <c r="BS79" i="9"/>
  <c r="BS64" i="9"/>
  <c r="BS49" i="9"/>
  <c r="BZ174" i="9"/>
  <c r="BZ113" i="9"/>
  <c r="AU48" i="9"/>
  <c r="AU112" i="9" s="1"/>
  <c r="W80" i="9"/>
  <c r="W142" i="9" s="1"/>
  <c r="CQ64" i="9"/>
  <c r="CQ49" i="9"/>
  <c r="CQ34" i="9"/>
  <c r="CQ79" i="9"/>
  <c r="DG112" i="9"/>
  <c r="CA64" i="9"/>
  <c r="CA49" i="9"/>
  <c r="CA34" i="9"/>
  <c r="CA79" i="9"/>
  <c r="BZ39" i="9"/>
  <c r="DG49" i="9"/>
  <c r="DG79" i="9"/>
  <c r="DG34" i="9"/>
  <c r="DG64" i="9"/>
  <c r="DG126" i="9"/>
  <c r="CP174" i="9"/>
  <c r="CP113" i="9"/>
  <c r="CP117" i="9" s="1"/>
  <c r="F41" i="20" s="1"/>
  <c r="BZ127" i="9"/>
  <c r="BZ131" i="9" s="1"/>
  <c r="F58" i="20" s="1"/>
  <c r="BZ188" i="9"/>
  <c r="BZ192" i="9" s="1"/>
  <c r="N58" i="20" s="1"/>
  <c r="DF202" i="9"/>
  <c r="DF141" i="9"/>
  <c r="CP54" i="9"/>
  <c r="DF126" i="9"/>
  <c r="DF70" i="9"/>
  <c r="DF174" i="9"/>
  <c r="DF178" i="9" s="1"/>
  <c r="N43" i="20" s="1"/>
  <c r="DF113" i="9"/>
  <c r="CP127" i="9"/>
  <c r="CP188" i="9"/>
  <c r="BS126" i="9"/>
  <c r="DF98" i="9"/>
  <c r="DF40" i="9"/>
  <c r="DF99" i="9"/>
  <c r="DF160" i="9"/>
  <c r="CP99" i="9"/>
  <c r="CP103" i="9" s="1"/>
  <c r="F22" i="20" s="1"/>
  <c r="CP160" i="9"/>
  <c r="BS140" i="9"/>
  <c r="CX202" i="9"/>
  <c r="CX206" i="9" s="1"/>
  <c r="N80" i="20" s="1"/>
  <c r="CX141" i="9"/>
  <c r="CH126" i="9"/>
  <c r="CH70" i="9"/>
  <c r="DF140" i="9"/>
  <c r="DF85" i="9"/>
  <c r="CQ140" i="9"/>
  <c r="DF127" i="9"/>
  <c r="DF188" i="9"/>
  <c r="BR99" i="9"/>
  <c r="BR103" i="9" s="1"/>
  <c r="F19" i="20" s="1"/>
  <c r="BR160" i="9"/>
  <c r="CP141" i="9"/>
  <c r="CP202" i="9"/>
  <c r="BS112" i="9"/>
  <c r="CX188" i="9"/>
  <c r="CX192" i="9" s="1"/>
  <c r="N61" i="20" s="1"/>
  <c r="CX127" i="9"/>
  <c r="CH140" i="9"/>
  <c r="CH85" i="9"/>
  <c r="DF112" i="9"/>
  <c r="DF55" i="9"/>
  <c r="CQ98" i="9"/>
  <c r="CI49" i="9"/>
  <c r="CI34" i="9"/>
  <c r="CI64" i="9"/>
  <c r="CI79" i="9"/>
  <c r="BS98" i="9"/>
  <c r="CX99" i="9"/>
  <c r="CX160" i="9"/>
  <c r="CX164" i="9" s="1"/>
  <c r="N23" i="20" s="1"/>
  <c r="CH98" i="9"/>
  <c r="CH40" i="9"/>
  <c r="CQ112" i="9"/>
  <c r="DF39" i="9"/>
  <c r="CI126" i="9"/>
  <c r="CY49" i="9"/>
  <c r="CY64" i="9"/>
  <c r="CY79" i="9"/>
  <c r="CY34" i="9"/>
  <c r="CH112" i="9"/>
  <c r="CH55" i="9"/>
  <c r="BZ54" i="9"/>
  <c r="CX84" i="9"/>
  <c r="CQ126" i="9"/>
  <c r="CI140" i="9"/>
  <c r="BR202" i="9"/>
  <c r="BR141" i="9"/>
  <c r="BR39" i="9"/>
  <c r="CH99" i="9"/>
  <c r="CH160" i="9"/>
  <c r="CH164" i="9" s="1"/>
  <c r="N21" i="20" s="1"/>
  <c r="CI98" i="9"/>
  <c r="CH127" i="9"/>
  <c r="CH188" i="9"/>
  <c r="BR188" i="9"/>
  <c r="BR192" i="9" s="1"/>
  <c r="N57" i="20" s="1"/>
  <c r="BR127" i="9"/>
  <c r="CX113" i="9"/>
  <c r="CX174" i="9"/>
  <c r="CX178" i="9" s="1"/>
  <c r="N42" i="20" s="1"/>
  <c r="CH202" i="9"/>
  <c r="CH141" i="9"/>
  <c r="DF84" i="9"/>
  <c r="CI112" i="9"/>
  <c r="BR174" i="9"/>
  <c r="BR178" i="9" s="1"/>
  <c r="N38" i="20" s="1"/>
  <c r="BR113" i="9"/>
  <c r="CX39" i="9"/>
  <c r="CH174" i="9"/>
  <c r="CH113" i="9"/>
  <c r="AE50" i="9"/>
  <c r="AD112" i="9"/>
  <c r="AD55" i="9"/>
  <c r="AD140" i="9"/>
  <c r="AD85" i="9"/>
  <c r="AD126" i="9"/>
  <c r="AD70" i="9"/>
  <c r="V112" i="9"/>
  <c r="V55" i="9"/>
  <c r="V140" i="9"/>
  <c r="V85" i="9"/>
  <c r="V98" i="9"/>
  <c r="V40" i="9"/>
  <c r="V126" i="9"/>
  <c r="V70" i="9"/>
  <c r="V188" i="9"/>
  <c r="V127" i="9"/>
  <c r="V99" i="9"/>
  <c r="V160" i="9"/>
  <c r="V164" i="9" s="1"/>
  <c r="N13" i="20" s="1"/>
  <c r="W112" i="9"/>
  <c r="V202" i="9"/>
  <c r="V141" i="9"/>
  <c r="W126" i="9"/>
  <c r="V174" i="9"/>
  <c r="V178" i="9" s="1"/>
  <c r="N32" i="20" s="1"/>
  <c r="V113" i="9"/>
  <c r="W140" i="9"/>
  <c r="W98" i="9"/>
  <c r="W34" i="9"/>
  <c r="W79" i="9"/>
  <c r="W49" i="9"/>
  <c r="W64" i="9"/>
  <c r="AU125" i="9"/>
  <c r="AU186" i="9"/>
  <c r="AU111" i="9"/>
  <c r="AU172" i="9"/>
  <c r="BK65" i="9"/>
  <c r="AU139" i="9"/>
  <c r="AU200" i="9"/>
  <c r="AU158" i="9"/>
  <c r="AU97" i="9"/>
  <c r="BC35" i="9"/>
  <c r="BC100" i="9" s="1"/>
  <c r="BB126" i="9"/>
  <c r="BB70" i="9"/>
  <c r="BB140" i="9"/>
  <c r="BB85" i="9"/>
  <c r="BB112" i="9"/>
  <c r="BB55" i="9"/>
  <c r="AT98" i="9"/>
  <c r="AT40" i="9"/>
  <c r="AT186" i="9"/>
  <c r="AT125" i="9"/>
  <c r="AT172" i="9"/>
  <c r="AT111" i="9"/>
  <c r="AU98" i="9"/>
  <c r="AT139" i="9"/>
  <c r="AT200" i="9"/>
  <c r="AT158" i="9"/>
  <c r="AT97" i="9"/>
  <c r="AT49" i="9"/>
  <c r="AT64" i="9"/>
  <c r="AT69" i="9" s="1"/>
  <c r="AT34" i="9"/>
  <c r="AT79" i="9"/>
  <c r="BJ160" i="9"/>
  <c r="BJ99" i="9"/>
  <c r="BJ69" i="9"/>
  <c r="BJ141" i="9"/>
  <c r="BJ202" i="9"/>
  <c r="BJ206" i="9" s="1"/>
  <c r="N75" i="20" s="1"/>
  <c r="BB188" i="9"/>
  <c r="BB127" i="9"/>
  <c r="BK98" i="9"/>
  <c r="BB113" i="9"/>
  <c r="BB174" i="9"/>
  <c r="BB69" i="9"/>
  <c r="BK49" i="9"/>
  <c r="BK79" i="9"/>
  <c r="BK34" i="9"/>
  <c r="BK64" i="9"/>
  <c r="BK126" i="9"/>
  <c r="BJ188" i="9"/>
  <c r="BJ127" i="9"/>
  <c r="BB202" i="9"/>
  <c r="BB141" i="9"/>
  <c r="BB84" i="9"/>
  <c r="BJ126" i="9"/>
  <c r="BJ70" i="9"/>
  <c r="BK112" i="9"/>
  <c r="BC126" i="9"/>
  <c r="BB99" i="9"/>
  <c r="BB103" i="9" s="1"/>
  <c r="F17" i="20" s="1"/>
  <c r="BB160" i="9"/>
  <c r="BB164" i="9" s="1"/>
  <c r="N17" i="20" s="1"/>
  <c r="BJ98" i="9"/>
  <c r="BJ40" i="9"/>
  <c r="BC112" i="9"/>
  <c r="BJ140" i="9"/>
  <c r="BJ85" i="9"/>
  <c r="BK140" i="9"/>
  <c r="BC140" i="9"/>
  <c r="BJ112" i="9"/>
  <c r="BJ55" i="9"/>
  <c r="BJ84" i="9"/>
  <c r="BJ174" i="9"/>
  <c r="BJ113" i="9"/>
  <c r="BC98" i="9"/>
  <c r="BC79" i="9"/>
  <c r="BC49" i="9"/>
  <c r="BC34" i="9"/>
  <c r="BC64" i="9"/>
  <c r="M186" i="9"/>
  <c r="M125" i="9"/>
  <c r="M124" i="9"/>
  <c r="M70" i="9"/>
  <c r="M110" i="9"/>
  <c r="M55" i="9"/>
  <c r="M97" i="9"/>
  <c r="M158" i="9"/>
  <c r="M138" i="9"/>
  <c r="M85" i="9"/>
  <c r="N47" i="9"/>
  <c r="N77" i="9"/>
  <c r="N32" i="9"/>
  <c r="N62" i="9"/>
  <c r="M96" i="9"/>
  <c r="M40" i="9"/>
  <c r="M200" i="9"/>
  <c r="M206" i="9" s="1"/>
  <c r="M69" i="20" s="1"/>
  <c r="M139" i="9"/>
  <c r="M69" i="9"/>
  <c r="M84" i="9"/>
  <c r="M172" i="9"/>
  <c r="M111" i="9"/>
  <c r="M39" i="9"/>
  <c r="M54" i="9"/>
  <c r="D82" i="20"/>
  <c r="E74" i="11" s="1"/>
  <c r="D44" i="20"/>
  <c r="E23" i="11" s="1"/>
  <c r="K5" i="28" s="1"/>
  <c r="L63" i="20"/>
  <c r="E58" i="11" s="1"/>
  <c r="D25" i="20"/>
  <c r="E48" i="11" s="1"/>
  <c r="D53" i="20" l="1"/>
  <c r="D63" i="20" s="1"/>
  <c r="E49" i="11" s="1"/>
  <c r="O198" i="9"/>
  <c r="O170" i="9"/>
  <c r="O95" i="9"/>
  <c r="E11" i="20"/>
  <c r="F9" i="9"/>
  <c r="E117" i="9"/>
  <c r="E30" i="20" s="1"/>
  <c r="AD84" i="9"/>
  <c r="AD202" i="9"/>
  <c r="AD206" i="9" s="1"/>
  <c r="N71" i="20" s="1"/>
  <c r="AD83" i="9"/>
  <c r="AK131" i="9"/>
  <c r="E53" i="20" s="1"/>
  <c r="AK70" i="9"/>
  <c r="AK68" i="9"/>
  <c r="AK138" i="9"/>
  <c r="AD113" i="9"/>
  <c r="AD117" i="9" s="1"/>
  <c r="F33" i="20" s="1"/>
  <c r="AD174" i="9"/>
  <c r="AD178" i="9" s="1"/>
  <c r="N33" i="20" s="1"/>
  <c r="AK83" i="9"/>
  <c r="AD53" i="9"/>
  <c r="AD188" i="9"/>
  <c r="AD192" i="9" s="1"/>
  <c r="N52" i="20" s="1"/>
  <c r="AD127" i="9"/>
  <c r="AD131" i="9" s="1"/>
  <c r="F52" i="20" s="1"/>
  <c r="AD68" i="9"/>
  <c r="AD39" i="9"/>
  <c r="AD38" i="9"/>
  <c r="AD99" i="9"/>
  <c r="AD103" i="9" s="1"/>
  <c r="F14" i="20" s="1"/>
  <c r="AE64" i="9"/>
  <c r="AE188" i="9" s="1"/>
  <c r="AE49" i="9"/>
  <c r="AE174" i="9" s="1"/>
  <c r="AL62" i="9"/>
  <c r="AL125" i="9" s="1"/>
  <c r="AE79" i="9"/>
  <c r="AE202" i="9" s="1"/>
  <c r="AM48" i="9"/>
  <c r="AM112" i="9" s="1"/>
  <c r="AE34" i="9"/>
  <c r="AE160" i="9" s="1"/>
  <c r="G63" i="9"/>
  <c r="G126" i="9" s="1"/>
  <c r="G78" i="9"/>
  <c r="G140" i="9" s="1"/>
  <c r="AL64" i="9"/>
  <c r="AL77" i="9"/>
  <c r="AL139" i="9" s="1"/>
  <c r="AL47" i="9"/>
  <c r="AL111" i="9" s="1"/>
  <c r="G33" i="9"/>
  <c r="G98" i="9" s="1"/>
  <c r="AK55" i="9"/>
  <c r="AK53" i="9"/>
  <c r="F64" i="9"/>
  <c r="F188" i="9" s="1"/>
  <c r="F111" i="9"/>
  <c r="F34" i="9"/>
  <c r="F39" i="9" s="1"/>
  <c r="F79" i="9"/>
  <c r="F84" i="9" s="1"/>
  <c r="F49" i="9"/>
  <c r="F113" i="9" s="1"/>
  <c r="F186" i="9"/>
  <c r="E20" i="9"/>
  <c r="F78" i="9"/>
  <c r="F33" i="9"/>
  <c r="F48" i="9"/>
  <c r="F63" i="9"/>
  <c r="F158" i="9"/>
  <c r="F139" i="9"/>
  <c r="F200" i="9"/>
  <c r="AM77" i="9"/>
  <c r="AM32" i="9"/>
  <c r="AM62" i="9"/>
  <c r="AM47" i="9"/>
  <c r="AK97" i="9"/>
  <c r="AK103" i="9" s="1"/>
  <c r="E15" i="20" s="1"/>
  <c r="AK158" i="9"/>
  <c r="AK164" i="9" s="1"/>
  <c r="M15" i="20" s="1"/>
  <c r="AK111" i="9"/>
  <c r="AK117" i="9" s="1"/>
  <c r="E34" i="20" s="1"/>
  <c r="AK172" i="9"/>
  <c r="AK178" i="9" s="1"/>
  <c r="M34" i="20" s="1"/>
  <c r="AK39" i="9"/>
  <c r="AK200" i="9"/>
  <c r="AK206" i="9" s="1"/>
  <c r="M72" i="20" s="1"/>
  <c r="AK139" i="9"/>
  <c r="AK84" i="9"/>
  <c r="AK54" i="9"/>
  <c r="AL97" i="9"/>
  <c r="G125" i="9"/>
  <c r="G172" i="9"/>
  <c r="G111" i="9"/>
  <c r="G200" i="9"/>
  <c r="G139" i="9"/>
  <c r="G158" i="9"/>
  <c r="G97" i="9"/>
  <c r="O77" i="9"/>
  <c r="O200" i="9" s="1"/>
  <c r="O32" i="9"/>
  <c r="O97" i="9" s="1"/>
  <c r="O47" i="9"/>
  <c r="O111" i="9" s="1"/>
  <c r="O62" i="9"/>
  <c r="O125" i="9" s="1"/>
  <c r="O48" i="9"/>
  <c r="O112" i="9" s="1"/>
  <c r="E82" i="11"/>
  <c r="E84" i="11" s="1"/>
  <c r="E31" i="11"/>
  <c r="CX103" i="9"/>
  <c r="F23" i="20" s="1"/>
  <c r="V145" i="9"/>
  <c r="F70" i="20" s="1"/>
  <c r="BR131" i="9"/>
  <c r="F57" i="20" s="1"/>
  <c r="AT53" i="9"/>
  <c r="CX131" i="9"/>
  <c r="F61" i="20" s="1"/>
  <c r="CH117" i="9"/>
  <c r="F40" i="20" s="1"/>
  <c r="BJ117" i="9"/>
  <c r="F37" i="20" s="1"/>
  <c r="BJ145" i="9"/>
  <c r="F75" i="20" s="1"/>
  <c r="DF117" i="9"/>
  <c r="F43" i="20" s="1"/>
  <c r="DF145" i="9"/>
  <c r="F81" i="20" s="1"/>
  <c r="DF131" i="9"/>
  <c r="F62" i="20" s="1"/>
  <c r="CH103" i="9"/>
  <c r="F21" i="20" s="1"/>
  <c r="M117" i="9"/>
  <c r="E31" i="20" s="1"/>
  <c r="BJ131" i="9"/>
  <c r="F56" i="20" s="1"/>
  <c r="CH131" i="9"/>
  <c r="F59" i="20" s="1"/>
  <c r="BJ103" i="9"/>
  <c r="F18" i="20" s="1"/>
  <c r="BB117" i="9"/>
  <c r="F36" i="20" s="1"/>
  <c r="AD145" i="9"/>
  <c r="F71" i="20" s="1"/>
  <c r="BB145" i="9"/>
  <c r="F74" i="20" s="1"/>
  <c r="V103" i="9"/>
  <c r="F13" i="20" s="1"/>
  <c r="CX117" i="9"/>
  <c r="F42" i="20" s="1"/>
  <c r="DF103" i="9"/>
  <c r="F24" i="20" s="1"/>
  <c r="BB131" i="9"/>
  <c r="F55" i="20" s="1"/>
  <c r="V131" i="9"/>
  <c r="F51" i="20" s="1"/>
  <c r="M103" i="9"/>
  <c r="E12" i="20" s="1"/>
  <c r="M131" i="9"/>
  <c r="E50" i="20" s="1"/>
  <c r="AT83" i="9"/>
  <c r="V117" i="9"/>
  <c r="F32" i="20" s="1"/>
  <c r="CH145" i="9"/>
  <c r="F78" i="20" s="1"/>
  <c r="BZ164" i="9"/>
  <c r="N20" i="20" s="1"/>
  <c r="M145" i="9"/>
  <c r="E69" i="20" s="1"/>
  <c r="AD164" i="9"/>
  <c r="N14" i="20" s="1"/>
  <c r="BJ192" i="9"/>
  <c r="N56" i="20" s="1"/>
  <c r="CX145" i="9"/>
  <c r="F80" i="20" s="1"/>
  <c r="CP192" i="9"/>
  <c r="N60" i="20" s="1"/>
  <c r="CH192" i="9"/>
  <c r="N59" i="20" s="1"/>
  <c r="CP178" i="9"/>
  <c r="N41" i="20" s="1"/>
  <c r="AT39" i="9"/>
  <c r="AT38" i="9"/>
  <c r="V206" i="9"/>
  <c r="N70" i="20" s="1"/>
  <c r="CH178" i="9"/>
  <c r="N40" i="20" s="1"/>
  <c r="BR206" i="9"/>
  <c r="N76" i="20" s="1"/>
  <c r="BB192" i="9"/>
  <c r="N55" i="20" s="1"/>
  <c r="BR145" i="9"/>
  <c r="F76" i="20" s="1"/>
  <c r="V192" i="9"/>
  <c r="N51" i="20" s="1"/>
  <c r="BR164" i="9"/>
  <c r="N19" i="20" s="1"/>
  <c r="BZ206" i="9"/>
  <c r="N77" i="20" s="1"/>
  <c r="M192" i="9"/>
  <c r="CP206" i="9"/>
  <c r="N79" i="20" s="1"/>
  <c r="CH206" i="9"/>
  <c r="N78" i="20" s="1"/>
  <c r="DF164" i="9"/>
  <c r="N24" i="20" s="1"/>
  <c r="BJ164" i="9"/>
  <c r="N18" i="20" s="1"/>
  <c r="CP131" i="9"/>
  <c r="F60" i="20" s="1"/>
  <c r="BZ145" i="9"/>
  <c r="F77" i="20" s="1"/>
  <c r="DF206" i="9"/>
  <c r="N81" i="20" s="1"/>
  <c r="BB178" i="9"/>
  <c r="N36" i="20" s="1"/>
  <c r="M178" i="9"/>
  <c r="M31" i="20" s="1"/>
  <c r="CP164" i="9"/>
  <c r="N22" i="20" s="1"/>
  <c r="BR117" i="9"/>
  <c r="F38" i="20" s="1"/>
  <c r="BJ178" i="9"/>
  <c r="N37" i="20" s="1"/>
  <c r="BZ117" i="9"/>
  <c r="F39" i="20" s="1"/>
  <c r="CP145" i="9"/>
  <c r="F79" i="20" s="1"/>
  <c r="BZ178" i="9"/>
  <c r="N39" i="20" s="1"/>
  <c r="AT68" i="9"/>
  <c r="DF192" i="9"/>
  <c r="N62" i="20" s="1"/>
  <c r="M164" i="9"/>
  <c r="M12" i="20" s="1"/>
  <c r="BB206" i="9"/>
  <c r="N74" i="20" s="1"/>
  <c r="E22" i="11"/>
  <c r="D5" i="28" s="1"/>
  <c r="E73" i="11"/>
  <c r="AT112" i="9"/>
  <c r="CA35" i="9"/>
  <c r="CA100" i="9" s="1"/>
  <c r="AT85" i="9"/>
  <c r="AT70" i="9"/>
  <c r="DG35" i="9"/>
  <c r="DG100" i="9" s="1"/>
  <c r="DG50" i="9"/>
  <c r="DG114" i="9" s="1"/>
  <c r="CI35" i="9"/>
  <c r="CI100" i="9" s="1"/>
  <c r="DG80" i="9"/>
  <c r="DG142" i="9" s="1"/>
  <c r="CQ80" i="9"/>
  <c r="CQ142" i="9" s="1"/>
  <c r="CA80" i="9"/>
  <c r="CA142" i="9" s="1"/>
  <c r="CA50" i="9"/>
  <c r="CA114" i="9" s="1"/>
  <c r="CQ65" i="9"/>
  <c r="AE65" i="9"/>
  <c r="AE128" i="9" s="1"/>
  <c r="CQ35" i="9"/>
  <c r="BC50" i="9"/>
  <c r="BC114" i="9" s="1"/>
  <c r="CI65" i="9"/>
  <c r="CI128" i="9" s="1"/>
  <c r="CI80" i="9"/>
  <c r="CI142" i="9" s="1"/>
  <c r="W65" i="9"/>
  <c r="W128" i="9" s="1"/>
  <c r="W35" i="9"/>
  <c r="W100" i="9" s="1"/>
  <c r="BC80" i="9"/>
  <c r="BC142" i="9" s="1"/>
  <c r="BC65" i="9"/>
  <c r="BC128" i="9" s="1"/>
  <c r="W50" i="9"/>
  <c r="W114" i="9" s="1"/>
  <c r="CQ55" i="9"/>
  <c r="DG70" i="9"/>
  <c r="CI55" i="9"/>
  <c r="CY99" i="9"/>
  <c r="CY160" i="9"/>
  <c r="AU50" i="9"/>
  <c r="CI99" i="9"/>
  <c r="CI160" i="9"/>
  <c r="BS188" i="9"/>
  <c r="BS127" i="9"/>
  <c r="CI81" i="9"/>
  <c r="CI51" i="9"/>
  <c r="CI53" i="9" s="1"/>
  <c r="CI36" i="9"/>
  <c r="CI66" i="9"/>
  <c r="CY174" i="9"/>
  <c r="CY113" i="9"/>
  <c r="DG99" i="9"/>
  <c r="DG160" i="9"/>
  <c r="CQ99" i="9"/>
  <c r="CQ160" i="9"/>
  <c r="CY188" i="9"/>
  <c r="CY127" i="9"/>
  <c r="CY66" i="9"/>
  <c r="CY36" i="9"/>
  <c r="CY81" i="9"/>
  <c r="CY51" i="9"/>
  <c r="DG141" i="9"/>
  <c r="DG202" i="9"/>
  <c r="CQ113" i="9"/>
  <c r="CQ174" i="9"/>
  <c r="CY50" i="9"/>
  <c r="CY65" i="9"/>
  <c r="CY80" i="9"/>
  <c r="CY35" i="9"/>
  <c r="BS50" i="9"/>
  <c r="BS35" i="9"/>
  <c r="BS80" i="9"/>
  <c r="BS65" i="9"/>
  <c r="DG113" i="9"/>
  <c r="DG174" i="9"/>
  <c r="CQ127" i="9"/>
  <c r="CQ188" i="9"/>
  <c r="DG81" i="9"/>
  <c r="DG36" i="9"/>
  <c r="DG51" i="9"/>
  <c r="DG66" i="9"/>
  <c r="DG68" i="9" s="1"/>
  <c r="CQ36" i="9"/>
  <c r="CQ81" i="9"/>
  <c r="CQ51" i="9"/>
  <c r="CQ66" i="9"/>
  <c r="BS160" i="9"/>
  <c r="BS99" i="9"/>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81" i="9"/>
  <c r="CI202" i="9"/>
  <c r="CI141" i="9"/>
  <c r="CA81" i="9"/>
  <c r="CA51" i="9"/>
  <c r="CA66" i="9"/>
  <c r="CA68" i="9" s="1"/>
  <c r="CA36" i="9"/>
  <c r="CQ202" i="9"/>
  <c r="CQ141" i="9"/>
  <c r="CI188" i="9"/>
  <c r="CI127" i="9"/>
  <c r="BS113" i="9"/>
  <c r="BS174" i="9"/>
  <c r="BK80" i="9"/>
  <c r="BK142" i="9" s="1"/>
  <c r="BK35" i="9"/>
  <c r="BK100" i="9" s="1"/>
  <c r="BK50" i="9"/>
  <c r="BK114" i="9" s="1"/>
  <c r="BC40" i="9"/>
  <c r="W99" i="9"/>
  <c r="W160" i="9"/>
  <c r="AE51" i="9"/>
  <c r="AE81" i="9"/>
  <c r="AE36" i="9"/>
  <c r="AE66" i="9"/>
  <c r="W51" i="9"/>
  <c r="W66" i="9"/>
  <c r="W81" i="9"/>
  <c r="W36" i="9"/>
  <c r="W188" i="9"/>
  <c r="W127" i="9"/>
  <c r="W85" i="9"/>
  <c r="AE114" i="9"/>
  <c r="AE55" i="9"/>
  <c r="W202" i="9"/>
  <c r="W141" i="9"/>
  <c r="W174" i="9"/>
  <c r="W113" i="9"/>
  <c r="BK128" i="9"/>
  <c r="BK70" i="9"/>
  <c r="AT202" i="9"/>
  <c r="AT206" i="9" s="1"/>
  <c r="N73" i="20" s="1"/>
  <c r="AT141" i="9"/>
  <c r="AT84" i="9"/>
  <c r="AT174" i="9"/>
  <c r="AT178" i="9" s="1"/>
  <c r="N35" i="20" s="1"/>
  <c r="AT113" i="9"/>
  <c r="AU34" i="9"/>
  <c r="AU64" i="9"/>
  <c r="AU79" i="9"/>
  <c r="AU49" i="9"/>
  <c r="AT127" i="9"/>
  <c r="AT131" i="9" s="1"/>
  <c r="F54" i="20" s="1"/>
  <c r="AT188" i="9"/>
  <c r="AT54" i="9"/>
  <c r="AT160" i="9"/>
  <c r="AT99" i="9"/>
  <c r="AT103" i="9" s="1"/>
  <c r="F16" i="20" s="1"/>
  <c r="BK99" i="9"/>
  <c r="BK160" i="9"/>
  <c r="BK127" i="9"/>
  <c r="BK188" i="9"/>
  <c r="BK202" i="9"/>
  <c r="BK141" i="9"/>
  <c r="BK113" i="9"/>
  <c r="BK174" i="9"/>
  <c r="BK66" i="9"/>
  <c r="BK51" i="9"/>
  <c r="BK36" i="9"/>
  <c r="BK81" i="9"/>
  <c r="BC99" i="9"/>
  <c r="BC160" i="9"/>
  <c r="BC113" i="9"/>
  <c r="BC174" i="9"/>
  <c r="BC188" i="9"/>
  <c r="BC127" i="9"/>
  <c r="BC202" i="9"/>
  <c r="BC141" i="9"/>
  <c r="BC36" i="9"/>
  <c r="BC51" i="9"/>
  <c r="BC81" i="9"/>
  <c r="BC66" i="9"/>
  <c r="N125" i="9"/>
  <c r="N186" i="9"/>
  <c r="N49" i="9"/>
  <c r="N64" i="9"/>
  <c r="N79" i="9"/>
  <c r="N34" i="9"/>
  <c r="N63" i="9"/>
  <c r="N33" i="9"/>
  <c r="N48" i="9"/>
  <c r="N78" i="9"/>
  <c r="N158" i="9"/>
  <c r="N97" i="9"/>
  <c r="N200" i="9"/>
  <c r="N139" i="9"/>
  <c r="N172" i="9"/>
  <c r="N111" i="9"/>
  <c r="O33" i="9"/>
  <c r="O98" i="9" s="1"/>
  <c r="O63" i="9"/>
  <c r="O126" i="9" s="1"/>
  <c r="M50" i="20" l="1"/>
  <c r="M63" i="20" s="1"/>
  <c r="F58" i="11" s="1"/>
  <c r="E33" i="11"/>
  <c r="AG5" i="28"/>
  <c r="F8" i="9"/>
  <c r="AE113" i="9"/>
  <c r="AE141" i="9"/>
  <c r="AE127" i="9"/>
  <c r="E63" i="20"/>
  <c r="F49" i="11" s="1"/>
  <c r="AK145" i="9"/>
  <c r="AE99" i="9"/>
  <c r="AE53" i="9"/>
  <c r="O186" i="9"/>
  <c r="AL186" i="9"/>
  <c r="F69" i="9"/>
  <c r="AM63" i="9"/>
  <c r="AM126" i="9" s="1"/>
  <c r="AM33" i="9"/>
  <c r="AM98" i="9" s="1"/>
  <c r="AM78" i="9"/>
  <c r="AM140" i="9" s="1"/>
  <c r="F127" i="9"/>
  <c r="O139" i="9"/>
  <c r="AL49" i="9"/>
  <c r="AL34" i="9"/>
  <c r="AL69" i="9"/>
  <c r="AL127" i="9"/>
  <c r="AL188" i="9"/>
  <c r="AL172" i="9"/>
  <c r="AL200" i="9"/>
  <c r="AL79" i="9"/>
  <c r="F192" i="9"/>
  <c r="N49" i="20" s="1"/>
  <c r="F38" i="9"/>
  <c r="F141" i="9"/>
  <c r="F202" i="9"/>
  <c r="F206" i="9" s="1"/>
  <c r="N68" i="20" s="1"/>
  <c r="F54" i="9"/>
  <c r="F160" i="9"/>
  <c r="F164" i="9" s="1"/>
  <c r="N11" i="20" s="1"/>
  <c r="F99" i="9"/>
  <c r="F174" i="9"/>
  <c r="F178" i="9" s="1"/>
  <c r="N30" i="20" s="1"/>
  <c r="F112" i="9"/>
  <c r="F117" i="9" s="1"/>
  <c r="F30" i="20" s="1"/>
  <c r="F55" i="9"/>
  <c r="F53" i="9"/>
  <c r="F98" i="9"/>
  <c r="F40" i="9"/>
  <c r="F140" i="9"/>
  <c r="F85" i="9"/>
  <c r="F68" i="9"/>
  <c r="F70" i="9"/>
  <c r="F126" i="9"/>
  <c r="F83" i="9"/>
  <c r="M82" i="20"/>
  <c r="F83" i="11" s="1"/>
  <c r="AL33" i="9"/>
  <c r="AL78" i="9"/>
  <c r="AL63" i="9"/>
  <c r="AL48" i="9"/>
  <c r="M44" i="20"/>
  <c r="F32" i="11" s="1"/>
  <c r="AO5" i="28" s="1"/>
  <c r="AM172" i="9"/>
  <c r="AM111" i="9"/>
  <c r="AM125" i="9"/>
  <c r="AM186" i="9"/>
  <c r="M25" i="20"/>
  <c r="F57" i="11" s="1"/>
  <c r="E25" i="20"/>
  <c r="F48" i="11" s="1"/>
  <c r="AM158" i="9"/>
  <c r="AM97" i="9"/>
  <c r="E44" i="20"/>
  <c r="F23" i="11" s="1"/>
  <c r="L5" i="28" s="1"/>
  <c r="AM200" i="9"/>
  <c r="AM139" i="9"/>
  <c r="O172" i="9"/>
  <c r="O158" i="9"/>
  <c r="O78" i="9"/>
  <c r="O140" i="9" s="1"/>
  <c r="CI38" i="9"/>
  <c r="AE38" i="9"/>
  <c r="BK38" i="9"/>
  <c r="CA83" i="9"/>
  <c r="BC83" i="9"/>
  <c r="AE68" i="9"/>
  <c r="CY53" i="9"/>
  <c r="AT117" i="9"/>
  <c r="F35" i="20" s="1"/>
  <c r="AE83" i="9"/>
  <c r="BS53" i="9"/>
  <c r="CQ68" i="9"/>
  <c r="N68" i="9"/>
  <c r="BC68" i="9"/>
  <c r="BK53" i="9"/>
  <c r="N84" i="9"/>
  <c r="N83" i="9"/>
  <c r="BK69" i="9"/>
  <c r="BK68" i="9"/>
  <c r="CQ39" i="9"/>
  <c r="CQ38" i="9"/>
  <c r="CI69" i="9"/>
  <c r="CI68" i="9"/>
  <c r="N54" i="9"/>
  <c r="N53" i="9"/>
  <c r="W69" i="9"/>
  <c r="W68" i="9"/>
  <c r="W53" i="9"/>
  <c r="BS84" i="9"/>
  <c r="BS83" i="9"/>
  <c r="DG54" i="9"/>
  <c r="DG53" i="9"/>
  <c r="BC54" i="9"/>
  <c r="BC53" i="9"/>
  <c r="CA39" i="9"/>
  <c r="CA38" i="9"/>
  <c r="BS39" i="9"/>
  <c r="BS38" i="9"/>
  <c r="DG39" i="9"/>
  <c r="DG38" i="9"/>
  <c r="CY84" i="9"/>
  <c r="CY83" i="9"/>
  <c r="CI83" i="9"/>
  <c r="BC39" i="9"/>
  <c r="BC38" i="9"/>
  <c r="AT145" i="9"/>
  <c r="F73" i="20" s="1"/>
  <c r="DG84" i="9"/>
  <c r="DG83" i="9"/>
  <c r="CY39" i="9"/>
  <c r="CY38" i="9"/>
  <c r="N38" i="9"/>
  <c r="BK84" i="9"/>
  <c r="BK83" i="9"/>
  <c r="CA53" i="9"/>
  <c r="BS68" i="9"/>
  <c r="CY68" i="9"/>
  <c r="AT164" i="9"/>
  <c r="N16" i="20" s="1"/>
  <c r="W39" i="9"/>
  <c r="W38" i="9"/>
  <c r="CQ54" i="9"/>
  <c r="CQ53" i="9"/>
  <c r="W84" i="9"/>
  <c r="W83" i="9"/>
  <c r="CQ84" i="9"/>
  <c r="CQ83" i="9"/>
  <c r="AT192" i="9"/>
  <c r="N54" i="20" s="1"/>
  <c r="E75" i="11"/>
  <c r="E59" i="11"/>
  <c r="CA40" i="9"/>
  <c r="AU80" i="9"/>
  <c r="AU85" i="9" s="1"/>
  <c r="BC55" i="9"/>
  <c r="DG55" i="9"/>
  <c r="CA85" i="9"/>
  <c r="CI40" i="9"/>
  <c r="CQ85" i="9"/>
  <c r="W40" i="9"/>
  <c r="DG85" i="9"/>
  <c r="DG40" i="9"/>
  <c r="AU65" i="9"/>
  <c r="AU70" i="9" s="1"/>
  <c r="CI85" i="9"/>
  <c r="W70" i="9"/>
  <c r="AE70" i="9"/>
  <c r="BK85" i="9"/>
  <c r="CA55" i="9"/>
  <c r="AE85" i="9"/>
  <c r="AU35" i="9"/>
  <c r="AU100" i="9" s="1"/>
  <c r="CQ100" i="9"/>
  <c r="CQ40" i="9"/>
  <c r="CI70" i="9"/>
  <c r="CQ128" i="9"/>
  <c r="CQ70" i="9"/>
  <c r="BC85" i="9"/>
  <c r="BC70" i="9"/>
  <c r="W55" i="9"/>
  <c r="CA84" i="9"/>
  <c r="AE40" i="9"/>
  <c r="BS176" i="9"/>
  <c r="BS115" i="9"/>
  <c r="CQ190" i="9"/>
  <c r="CQ129" i="9"/>
  <c r="CI176" i="9"/>
  <c r="CI115" i="9"/>
  <c r="CI101" i="9"/>
  <c r="CI162" i="9"/>
  <c r="BS190" i="9"/>
  <c r="BS129" i="9"/>
  <c r="CQ176" i="9"/>
  <c r="CQ115" i="9"/>
  <c r="CI204" i="9"/>
  <c r="CI143" i="9"/>
  <c r="CQ143" i="9"/>
  <c r="CQ204" i="9"/>
  <c r="BS128" i="9"/>
  <c r="BS70" i="9"/>
  <c r="CQ101" i="9"/>
  <c r="CQ162" i="9"/>
  <c r="BS142" i="9"/>
  <c r="BS85" i="9"/>
  <c r="BS69" i="9"/>
  <c r="CI190" i="9"/>
  <c r="CI129" i="9"/>
  <c r="BS162" i="9"/>
  <c r="BS101" i="9"/>
  <c r="DG190" i="9"/>
  <c r="DG129" i="9"/>
  <c r="BS100" i="9"/>
  <c r="BS40" i="9"/>
  <c r="CY176" i="9"/>
  <c r="CY115" i="9"/>
  <c r="BS143" i="9"/>
  <c r="BS204" i="9"/>
  <c r="CA101" i="9"/>
  <c r="CA162" i="9"/>
  <c r="DG115" i="9"/>
  <c r="DG176" i="9"/>
  <c r="BS114" i="9"/>
  <c r="BS55" i="9"/>
  <c r="CY143" i="9"/>
  <c r="CY204" i="9"/>
  <c r="CY206" i="9" s="1"/>
  <c r="O80" i="20" s="1"/>
  <c r="BS54" i="9"/>
  <c r="CA190" i="9"/>
  <c r="CA129" i="9"/>
  <c r="CI54" i="9"/>
  <c r="DG69" i="9"/>
  <c r="DG101" i="9"/>
  <c r="DG162" i="9"/>
  <c r="CY100" i="9"/>
  <c r="CY40" i="9"/>
  <c r="CY162" i="9"/>
  <c r="CY101" i="9"/>
  <c r="CY54" i="9"/>
  <c r="CA176" i="9"/>
  <c r="CA115" i="9"/>
  <c r="CA54" i="9"/>
  <c r="DG143" i="9"/>
  <c r="DG204" i="9"/>
  <c r="CY142" i="9"/>
  <c r="CY85" i="9"/>
  <c r="CY129" i="9"/>
  <c r="CY190" i="9"/>
  <c r="BK40" i="9"/>
  <c r="CA143" i="9"/>
  <c r="CA204" i="9"/>
  <c r="CY128" i="9"/>
  <c r="CY70" i="9"/>
  <c r="BK55" i="9"/>
  <c r="CY114" i="9"/>
  <c r="CY55" i="9"/>
  <c r="CY69" i="9"/>
  <c r="CI39" i="9"/>
  <c r="CI84" i="9"/>
  <c r="CA69" i="9"/>
  <c r="CQ69" i="9"/>
  <c r="AE54" i="9"/>
  <c r="BK39" i="9"/>
  <c r="W115" i="9"/>
  <c r="W176" i="9"/>
  <c r="AE190" i="9"/>
  <c r="AE129" i="9"/>
  <c r="AE101" i="9"/>
  <c r="AE162" i="9"/>
  <c r="AE204" i="9"/>
  <c r="AE143" i="9"/>
  <c r="AE115" i="9"/>
  <c r="AE176" i="9"/>
  <c r="AE39" i="9"/>
  <c r="AE69" i="9"/>
  <c r="W101" i="9"/>
  <c r="W162" i="9"/>
  <c r="W54" i="9"/>
  <c r="W143" i="9"/>
  <c r="W204" i="9"/>
  <c r="AE84" i="9"/>
  <c r="W129" i="9"/>
  <c r="W190" i="9"/>
  <c r="AU114" i="9"/>
  <c r="AU55" i="9"/>
  <c r="AU113" i="9"/>
  <c r="AU174" i="9"/>
  <c r="AU202" i="9"/>
  <c r="AU141" i="9"/>
  <c r="AU127" i="9"/>
  <c r="AU188" i="9"/>
  <c r="AU160" i="9"/>
  <c r="AU99" i="9"/>
  <c r="AU81" i="9"/>
  <c r="AU66" i="9"/>
  <c r="AU36" i="9"/>
  <c r="AU51" i="9"/>
  <c r="AU53" i="9" s="1"/>
  <c r="BC190" i="9"/>
  <c r="BC129" i="9"/>
  <c r="BC143" i="9"/>
  <c r="BC204" i="9"/>
  <c r="BC101" i="9"/>
  <c r="BC162" i="9"/>
  <c r="BK143" i="9"/>
  <c r="BK204" i="9"/>
  <c r="BC84" i="9"/>
  <c r="BK101" i="9"/>
  <c r="BK162" i="9"/>
  <c r="BK176" i="9"/>
  <c r="BK115" i="9"/>
  <c r="BK190" i="9"/>
  <c r="BK129" i="9"/>
  <c r="BC69" i="9"/>
  <c r="BK54" i="9"/>
  <c r="BC115" i="9"/>
  <c r="BC176" i="9"/>
  <c r="N140" i="9"/>
  <c r="N85" i="9"/>
  <c r="N126" i="9"/>
  <c r="N70" i="9"/>
  <c r="N98" i="9"/>
  <c r="N40" i="9"/>
  <c r="O34" i="9"/>
  <c r="O79" i="9"/>
  <c r="O49" i="9"/>
  <c r="O64" i="9"/>
  <c r="N99" i="9"/>
  <c r="N160" i="9"/>
  <c r="N39" i="9"/>
  <c r="N141" i="9"/>
  <c r="N202" i="9"/>
  <c r="N55" i="9"/>
  <c r="N112" i="9"/>
  <c r="N127" i="9"/>
  <c r="N188" i="9"/>
  <c r="N192" i="9" s="1"/>
  <c r="N50" i="20" s="1"/>
  <c r="N174" i="9"/>
  <c r="N113" i="9"/>
  <c r="N69" i="9"/>
  <c r="E24" i="11"/>
  <c r="E50" i="11"/>
  <c r="F59" i="11" l="1"/>
  <c r="E72" i="20"/>
  <c r="E82" i="20" s="1"/>
  <c r="F74" i="11" s="1"/>
  <c r="AU5" i="28"/>
  <c r="R5" i="28"/>
  <c r="G49" i="9"/>
  <c r="G113" i="9" s="1"/>
  <c r="F10" i="9"/>
  <c r="G35" i="9" s="1"/>
  <c r="G100" i="9" s="1"/>
  <c r="G34" i="9"/>
  <c r="G160" i="9" s="1"/>
  <c r="G79" i="9"/>
  <c r="G202" i="9" s="1"/>
  <c r="G64" i="9"/>
  <c r="G188" i="9" s="1"/>
  <c r="AM50" i="9"/>
  <c r="AM55" i="9" s="1"/>
  <c r="F50" i="11"/>
  <c r="AL192" i="9"/>
  <c r="N53" i="20" s="1"/>
  <c r="F131" i="9"/>
  <c r="F49" i="20" s="1"/>
  <c r="AL99" i="9"/>
  <c r="AL39" i="9"/>
  <c r="AL160" i="9"/>
  <c r="AL164" i="9" s="1"/>
  <c r="N15" i="20" s="1"/>
  <c r="AL54" i="9"/>
  <c r="AL174" i="9"/>
  <c r="AL178" i="9" s="1"/>
  <c r="N34" i="20" s="1"/>
  <c r="AL113" i="9"/>
  <c r="AM49" i="9"/>
  <c r="AM64" i="9"/>
  <c r="AM34" i="9"/>
  <c r="AM79" i="9"/>
  <c r="AL84" i="9"/>
  <c r="AL202" i="9"/>
  <c r="AL206" i="9" s="1"/>
  <c r="N72" i="20" s="1"/>
  <c r="AL141" i="9"/>
  <c r="F145" i="9"/>
  <c r="F68" i="20" s="1"/>
  <c r="F103" i="9"/>
  <c r="F22" i="11"/>
  <c r="F73" i="11"/>
  <c r="AL112" i="9"/>
  <c r="AL55" i="9"/>
  <c r="AL53" i="9"/>
  <c r="AL126" i="9"/>
  <c r="AL131" i="9" s="1"/>
  <c r="F53" i="20" s="1"/>
  <c r="AL68" i="9"/>
  <c r="AL70" i="9"/>
  <c r="F82" i="11"/>
  <c r="F84" i="11" s="1"/>
  <c r="AL140" i="9"/>
  <c r="AL83" i="9"/>
  <c r="AL85" i="9"/>
  <c r="F31" i="11"/>
  <c r="AL98" i="9"/>
  <c r="AL40" i="9"/>
  <c r="AL38" i="9"/>
  <c r="N103" i="9"/>
  <c r="F12" i="20" s="1"/>
  <c r="AU68" i="9"/>
  <c r="AU38" i="9"/>
  <c r="CY103" i="9"/>
  <c r="G23" i="20" s="1"/>
  <c r="N131" i="9"/>
  <c r="F50" i="20" s="1"/>
  <c r="BS117" i="9"/>
  <c r="G38" i="20" s="1"/>
  <c r="CQ131" i="9"/>
  <c r="G60" i="20" s="1"/>
  <c r="N206" i="9"/>
  <c r="N69" i="20" s="1"/>
  <c r="W206" i="9"/>
  <c r="O70" i="20" s="1"/>
  <c r="CQ117" i="9"/>
  <c r="G41" i="20" s="1"/>
  <c r="BC192" i="9"/>
  <c r="O55" i="20" s="1"/>
  <c r="W131" i="9"/>
  <c r="G51" i="20" s="1"/>
  <c r="AE192" i="9"/>
  <c r="O52" i="20" s="1"/>
  <c r="DG206" i="9"/>
  <c r="O81" i="20" s="1"/>
  <c r="CA131" i="9"/>
  <c r="G58" i="20" s="1"/>
  <c r="DG117" i="9"/>
  <c r="G43" i="20" s="1"/>
  <c r="CI145" i="9"/>
  <c r="G78" i="20" s="1"/>
  <c r="BK206" i="9"/>
  <c r="O75" i="20" s="1"/>
  <c r="AE178" i="9"/>
  <c r="O33" i="20" s="1"/>
  <c r="W178" i="9"/>
  <c r="O32" i="20" s="1"/>
  <c r="CA206" i="9"/>
  <c r="O77" i="20" s="1"/>
  <c r="DG145" i="9"/>
  <c r="G81" i="20" s="1"/>
  <c r="CY164" i="9"/>
  <c r="O23" i="20" s="1"/>
  <c r="CA192" i="9"/>
  <c r="O58" i="20" s="1"/>
  <c r="CA164" i="9"/>
  <c r="O20" i="20" s="1"/>
  <c r="DG131" i="9"/>
  <c r="G62" i="20" s="1"/>
  <c r="CI206" i="9"/>
  <c r="O78" i="20" s="1"/>
  <c r="CI178" i="9"/>
  <c r="O40" i="20" s="1"/>
  <c r="AE117" i="9"/>
  <c r="G33" i="20" s="1"/>
  <c r="AE145" i="9"/>
  <c r="G71" i="20" s="1"/>
  <c r="BS206" i="9"/>
  <c r="O76" i="20" s="1"/>
  <c r="CQ103" i="9"/>
  <c r="G22" i="20" s="1"/>
  <c r="CQ178" i="9"/>
  <c r="O41" i="20" s="1"/>
  <c r="N145" i="9"/>
  <c r="F69" i="20" s="1"/>
  <c r="BK117" i="9"/>
  <c r="G37" i="20" s="1"/>
  <c r="BC103" i="9"/>
  <c r="G17" i="20" s="1"/>
  <c r="AU84" i="9"/>
  <c r="AU83" i="9"/>
  <c r="AE206" i="9"/>
  <c r="O71" i="20" s="1"/>
  <c r="CY192" i="9"/>
  <c r="O61" i="20" s="1"/>
  <c r="CA178" i="9"/>
  <c r="O39" i="20" s="1"/>
  <c r="DG164" i="9"/>
  <c r="O24" i="20" s="1"/>
  <c r="CY145" i="9"/>
  <c r="G80" i="20" s="1"/>
  <c r="BS145" i="9"/>
  <c r="G76" i="20" s="1"/>
  <c r="BS164" i="9"/>
  <c r="O19" i="20" s="1"/>
  <c r="BS131" i="9"/>
  <c r="G57" i="20" s="1"/>
  <c r="BK131" i="9"/>
  <c r="G56" i="20" s="1"/>
  <c r="CA145" i="9"/>
  <c r="G77" i="20" s="1"/>
  <c r="DG192" i="9"/>
  <c r="O62" i="20" s="1"/>
  <c r="BC164" i="9"/>
  <c r="O17" i="20" s="1"/>
  <c r="W145" i="9"/>
  <c r="G70" i="20" s="1"/>
  <c r="CA117" i="9"/>
  <c r="G39" i="20" s="1"/>
  <c r="BS103" i="9"/>
  <c r="G19" i="20" s="1"/>
  <c r="CQ192" i="9"/>
  <c r="O60" i="20" s="1"/>
  <c r="N117" i="9"/>
  <c r="F31" i="20" s="1"/>
  <c r="BC206" i="9"/>
  <c r="O74" i="20" s="1"/>
  <c r="AE164" i="9"/>
  <c r="O14" i="20" s="1"/>
  <c r="CY131" i="9"/>
  <c r="G61" i="20" s="1"/>
  <c r="DG103" i="9"/>
  <c r="G24" i="20" s="1"/>
  <c r="CY117" i="9"/>
  <c r="G42" i="20" s="1"/>
  <c r="CI131" i="9"/>
  <c r="G59" i="20" s="1"/>
  <c r="BS192" i="9"/>
  <c r="O57" i="20" s="1"/>
  <c r="BS178" i="9"/>
  <c r="O38" i="20" s="1"/>
  <c r="BK192" i="9"/>
  <c r="O56" i="20" s="1"/>
  <c r="W164" i="9"/>
  <c r="O13" i="20" s="1"/>
  <c r="BC178" i="9"/>
  <c r="O36" i="20" s="1"/>
  <c r="BK164" i="9"/>
  <c r="O18" i="20" s="1"/>
  <c r="BC145" i="9"/>
  <c r="G74" i="20" s="1"/>
  <c r="W103" i="9"/>
  <c r="G13" i="20" s="1"/>
  <c r="AE103" i="9"/>
  <c r="G14" i="20" s="1"/>
  <c r="CI192" i="9"/>
  <c r="O59" i="20" s="1"/>
  <c r="CQ206" i="9"/>
  <c r="O79" i="20" s="1"/>
  <c r="CI164" i="9"/>
  <c r="O21" i="20" s="1"/>
  <c r="CY178" i="9"/>
  <c r="O42" i="20" s="1"/>
  <c r="BK145" i="9"/>
  <c r="G75" i="20" s="1"/>
  <c r="W117" i="9"/>
  <c r="G32" i="20" s="1"/>
  <c r="CA103" i="9"/>
  <c r="G20" i="20" s="1"/>
  <c r="CQ164" i="9"/>
  <c r="O22" i="20" s="1"/>
  <c r="BC117" i="9"/>
  <c r="G36" i="20" s="1"/>
  <c r="BK103" i="9"/>
  <c r="G18" i="20" s="1"/>
  <c r="BC131" i="9"/>
  <c r="G55" i="20" s="1"/>
  <c r="W192" i="9"/>
  <c r="O51" i="20" s="1"/>
  <c r="AE131" i="9"/>
  <c r="G52" i="20" s="1"/>
  <c r="DG178" i="9"/>
  <c r="O43" i="20" s="1"/>
  <c r="CQ145" i="9"/>
  <c r="G79" i="20" s="1"/>
  <c r="CI103" i="9"/>
  <c r="G21" i="20" s="1"/>
  <c r="N164" i="9"/>
  <c r="N12" i="20" s="1"/>
  <c r="BK178" i="9"/>
  <c r="O37" i="20" s="1"/>
  <c r="CI117" i="9"/>
  <c r="G40" i="20" s="1"/>
  <c r="N178" i="9"/>
  <c r="N31" i="20" s="1"/>
  <c r="AU142" i="9"/>
  <c r="AU128" i="9"/>
  <c r="AU40" i="9"/>
  <c r="AU115" i="9"/>
  <c r="AU176" i="9"/>
  <c r="AU101" i="9"/>
  <c r="AU162" i="9"/>
  <c r="AU164" i="9" s="1"/>
  <c r="O16" i="20" s="1"/>
  <c r="AU54" i="9"/>
  <c r="AU204" i="9"/>
  <c r="AU143" i="9"/>
  <c r="AU39" i="9"/>
  <c r="AU129" i="9"/>
  <c r="AU190" i="9"/>
  <c r="AU192" i="9" s="1"/>
  <c r="O54" i="20" s="1"/>
  <c r="AU69" i="9"/>
  <c r="O174" i="9"/>
  <c r="O113" i="9"/>
  <c r="O202" i="9"/>
  <c r="O141" i="9"/>
  <c r="O160" i="9"/>
  <c r="O99" i="9"/>
  <c r="O127" i="9"/>
  <c r="O188" i="9"/>
  <c r="O80" i="9"/>
  <c r="O35" i="9"/>
  <c r="O50" i="9"/>
  <c r="O65" i="9"/>
  <c r="O36" i="9"/>
  <c r="O81" i="9"/>
  <c r="O66" i="9"/>
  <c r="O51" i="9"/>
  <c r="F75" i="11" l="1"/>
  <c r="F11" i="20"/>
  <c r="F33" i="11"/>
  <c r="AH5" i="28"/>
  <c r="F24" i="11"/>
  <c r="E5" i="28"/>
  <c r="G80" i="9"/>
  <c r="G142" i="9" s="1"/>
  <c r="G174" i="9"/>
  <c r="G50" i="9"/>
  <c r="G55" i="9" s="1"/>
  <c r="G40" i="9"/>
  <c r="G99" i="9"/>
  <c r="G7" i="9"/>
  <c r="G81" i="9" s="1"/>
  <c r="G204" i="9" s="1"/>
  <c r="G206" i="9" s="1"/>
  <c r="O68" i="20" s="1"/>
  <c r="G65" i="9"/>
  <c r="G70" i="9" s="1"/>
  <c r="F20" i="9"/>
  <c r="G127" i="9"/>
  <c r="G141" i="9"/>
  <c r="AM80" i="9"/>
  <c r="AM35" i="9"/>
  <c r="AM40" i="9" s="1"/>
  <c r="AM65" i="9"/>
  <c r="AM128" i="9" s="1"/>
  <c r="AM114" i="9"/>
  <c r="N63" i="20"/>
  <c r="G58" i="11" s="1"/>
  <c r="AL103" i="9"/>
  <c r="N25" i="20"/>
  <c r="G57" i="11" s="1"/>
  <c r="N82" i="20"/>
  <c r="G83" i="11" s="1"/>
  <c r="AM202" i="9"/>
  <c r="AM141" i="9"/>
  <c r="AM99" i="9"/>
  <c r="AM160" i="9"/>
  <c r="AM66" i="9"/>
  <c r="AM81" i="9"/>
  <c r="AM51" i="9"/>
  <c r="AM36" i="9"/>
  <c r="N44" i="20"/>
  <c r="G32" i="11" s="1"/>
  <c r="AP5" i="28" s="1"/>
  <c r="AM188" i="9"/>
  <c r="AM127" i="9"/>
  <c r="AL117" i="9"/>
  <c r="AM174" i="9"/>
  <c r="AM113" i="9"/>
  <c r="AL145" i="9"/>
  <c r="F63" i="20"/>
  <c r="G49" i="11" s="1"/>
  <c r="AU131" i="9"/>
  <c r="G54" i="20" s="1"/>
  <c r="O38" i="9"/>
  <c r="AU145" i="9"/>
  <c r="G73" i="20" s="1"/>
  <c r="AU178" i="9"/>
  <c r="O35" i="20" s="1"/>
  <c r="O54" i="9"/>
  <c r="O53" i="9"/>
  <c r="AU206" i="9"/>
  <c r="O73" i="20" s="1"/>
  <c r="AU103" i="9"/>
  <c r="G16" i="20" s="1"/>
  <c r="AU117" i="9"/>
  <c r="G35" i="20" s="1"/>
  <c r="O68" i="9"/>
  <c r="O83" i="9"/>
  <c r="O69" i="9"/>
  <c r="O84" i="9"/>
  <c r="O204" i="9"/>
  <c r="O143" i="9"/>
  <c r="O128" i="9"/>
  <c r="O70" i="9"/>
  <c r="O142" i="9"/>
  <c r="O85" i="9"/>
  <c r="O115" i="9"/>
  <c r="O176" i="9"/>
  <c r="O190" i="9"/>
  <c r="O129" i="9"/>
  <c r="O162" i="9"/>
  <c r="O101" i="9"/>
  <c r="O39" i="9"/>
  <c r="O55" i="9"/>
  <c r="O114" i="9"/>
  <c r="O100" i="9"/>
  <c r="O40" i="9"/>
  <c r="F72" i="20" l="1"/>
  <c r="F82" i="20" s="1"/>
  <c r="G74" i="11" s="1"/>
  <c r="F15" i="20"/>
  <c r="F25" i="20" s="1"/>
  <c r="G73" i="11" s="1"/>
  <c r="F34" i="20"/>
  <c r="F44" i="20" s="1"/>
  <c r="G23" i="11" s="1"/>
  <c r="M5" i="28" s="1"/>
  <c r="S5" i="28"/>
  <c r="AV5" i="28"/>
  <c r="G114" i="9"/>
  <c r="G85" i="9"/>
  <c r="G66" i="9"/>
  <c r="G69" i="9" s="1"/>
  <c r="G51" i="9"/>
  <c r="G115" i="9" s="1"/>
  <c r="G84" i="9"/>
  <c r="G143" i="9"/>
  <c r="G145" i="9" s="1"/>
  <c r="G68" i="20" s="1"/>
  <c r="G36" i="9"/>
  <c r="G38" i="9" s="1"/>
  <c r="G83" i="9"/>
  <c r="G128" i="9"/>
  <c r="AM100" i="9"/>
  <c r="AM142" i="9"/>
  <c r="AM85" i="9"/>
  <c r="AM70" i="9"/>
  <c r="G59" i="11"/>
  <c r="G31" i="11"/>
  <c r="G82" i="11"/>
  <c r="G84" i="11" s="1"/>
  <c r="AM115" i="9"/>
  <c r="AM117" i="9" s="1"/>
  <c r="G34" i="20" s="1"/>
  <c r="AM176" i="9"/>
  <c r="AM178" i="9" s="1"/>
  <c r="O34" i="20" s="1"/>
  <c r="AM53" i="9"/>
  <c r="AM54" i="9"/>
  <c r="AM162" i="9"/>
  <c r="AM164" i="9" s="1"/>
  <c r="O15" i="20" s="1"/>
  <c r="AM101" i="9"/>
  <c r="AM38" i="9"/>
  <c r="AM143" i="9"/>
  <c r="AM204" i="9"/>
  <c r="AM206" i="9" s="1"/>
  <c r="O72" i="20" s="1"/>
  <c r="AM84" i="9"/>
  <c r="AM83" i="9"/>
  <c r="AM190" i="9"/>
  <c r="AM192" i="9" s="1"/>
  <c r="O53" i="20" s="1"/>
  <c r="AM68" i="9"/>
  <c r="AM129" i="9"/>
  <c r="AM131" i="9" s="1"/>
  <c r="G53" i="20" s="1"/>
  <c r="AM69" i="9"/>
  <c r="AM39" i="9"/>
  <c r="O117" i="9"/>
  <c r="G31" i="20" s="1"/>
  <c r="O131" i="9"/>
  <c r="G50" i="20" s="1"/>
  <c r="O103" i="9"/>
  <c r="G12" i="20" s="1"/>
  <c r="O145" i="9"/>
  <c r="G69" i="20" s="1"/>
  <c r="O192" i="9"/>
  <c r="O50" i="20" s="1"/>
  <c r="O206" i="9"/>
  <c r="O69" i="20" s="1"/>
  <c r="O178" i="9"/>
  <c r="O31" i="20" s="1"/>
  <c r="O164" i="9"/>
  <c r="O12" i="20" s="1"/>
  <c r="G75" i="11" l="1"/>
  <c r="G48" i="11"/>
  <c r="G50" i="11" s="1"/>
  <c r="G22" i="11"/>
  <c r="F5" i="28" s="1"/>
  <c r="T5" i="28" s="1"/>
  <c r="G33" i="11"/>
  <c r="AI5" i="28"/>
  <c r="G117" i="9"/>
  <c r="G68" i="9"/>
  <c r="G190" i="9"/>
  <c r="G192" i="9" s="1"/>
  <c r="G129" i="9"/>
  <c r="G131" i="9" s="1"/>
  <c r="G53" i="9"/>
  <c r="G176" i="9"/>
  <c r="G178" i="9" s="1"/>
  <c r="G54" i="9"/>
  <c r="G162" i="9"/>
  <c r="G164" i="9" s="1"/>
  <c r="G101" i="9"/>
  <c r="G103" i="9" s="1"/>
  <c r="G39" i="9"/>
  <c r="AM103" i="9"/>
  <c r="G15" i="20" s="1"/>
  <c r="AM145" i="9"/>
  <c r="O82" i="20"/>
  <c r="H83" i="11" s="1"/>
  <c r="K83" i="11" s="1"/>
  <c r="O11" i="20" l="1"/>
  <c r="O25" i="20" s="1"/>
  <c r="O49" i="20"/>
  <c r="O63" i="20" s="1"/>
  <c r="H58" i="11" s="1"/>
  <c r="K58" i="11" s="1"/>
  <c r="O30" i="20"/>
  <c r="O44" i="20" s="1"/>
  <c r="H32" i="11" s="1"/>
  <c r="AQ5" i="28" s="1"/>
  <c r="AR5" i="28" s="1"/>
  <c r="G72" i="20"/>
  <c r="G82" i="20" s="1"/>
  <c r="H74" i="11" s="1"/>
  <c r="K74" i="11" s="1"/>
  <c r="G49" i="20"/>
  <c r="G63" i="20" s="1"/>
  <c r="H49" i="11" s="1"/>
  <c r="K49" i="11" s="1"/>
  <c r="G11" i="20"/>
  <c r="G25" i="20" s="1"/>
  <c r="H48" i="11" s="1"/>
  <c r="K48" i="11" s="1"/>
  <c r="G24" i="11"/>
  <c r="G30" i="20"/>
  <c r="G44" i="20" s="1"/>
  <c r="H23" i="11" s="1"/>
  <c r="AW5" i="28"/>
  <c r="H82" i="11"/>
  <c r="K82" i="11" s="1"/>
  <c r="H31" i="11" l="1"/>
  <c r="H33" i="11" s="1"/>
  <c r="K33" i="11" s="1"/>
  <c r="H57" i="11"/>
  <c r="K57" i="11" s="1"/>
  <c r="K32" i="11"/>
  <c r="K23" i="11"/>
  <c r="N5" i="28"/>
  <c r="O5" i="28" s="1"/>
  <c r="H73" i="11"/>
  <c r="K73" i="11" s="1"/>
  <c r="H50" i="11"/>
  <c r="I50" i="11" s="1"/>
  <c r="H22" i="11"/>
  <c r="H84" i="11"/>
  <c r="I84" i="11" s="1"/>
  <c r="H59" i="11" l="1"/>
  <c r="I59" i="11" s="1"/>
  <c r="I33" i="11"/>
  <c r="I50" i="27" s="1"/>
  <c r="AJ5" i="28"/>
  <c r="K31" i="11"/>
  <c r="K22" i="11"/>
  <c r="G5" i="28"/>
  <c r="H5" i="28" s="1"/>
  <c r="V5" i="28" s="1"/>
  <c r="H75" i="11"/>
  <c r="I75" i="11" s="1"/>
  <c r="H24" i="11"/>
  <c r="K50" i="11"/>
  <c r="K84" i="11"/>
  <c r="K59" i="11" l="1"/>
  <c r="AK5" i="28"/>
  <c r="AY5" i="28" s="1"/>
  <c r="AX5" i="28"/>
  <c r="U5" i="28"/>
  <c r="K24" i="11"/>
  <c r="K75" i="11"/>
  <c r="I24" i="11"/>
  <c r="I20"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D79" authorId="0" shapeId="0" xr:uid="{D4E78677-F06A-4056-977D-7A5B46396085}">
      <text>
        <r>
          <rPr>
            <b/>
            <sz val="9"/>
            <color rgb="FF000000"/>
            <rFont val="Segoe UI"/>
            <family val="2"/>
            <charset val="1"/>
          </rPr>
          <t>Ludmila Peres Gargano:</t>
        </r>
        <r>
          <rPr>
            <sz val="9"/>
            <color rgb="FF000000"/>
            <rFont val="Segoe UI"/>
            <family val="2"/>
            <charset val="1"/>
          </rPr>
          <t xml:space="preserve">
</t>
        </r>
        <r>
          <rPr>
            <sz val="9"/>
            <color rgb="FF000000"/>
            <rFont val="Segoe UI"/>
            <family val="2"/>
            <charset val="1"/>
          </rPr>
          <t>Fill in the epidemiological parameters that make up the funnel, informing the percentages (%) in the cells of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Ludmila Peres Gargano</author>
  </authors>
  <commentList>
    <comment ref="G31" authorId="0" shapeId="0" xr:uid="{6620B4E6-6CD7-40C0-BE1E-680C7F9BA564}">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APÖS a descontinuação do tratamento e são comuns para todas as tecnologias avaliadas (por exemplo, custos de pós progressão)</t>
        </r>
      </text>
    </comment>
    <comment ref="G200" authorId="1" shapeId="0" xr:uid="{FB677AFC-A758-F541-99DD-232DC37DEBB4}">
      <text>
        <r>
          <rPr>
            <b/>
            <sz val="10"/>
            <color rgb="FF000000"/>
            <rFont val="Tahoma"/>
            <family val="2"/>
          </rPr>
          <t xml:space="preserve">Ludmila Peres Gargano: </t>
        </r>
        <r>
          <rPr>
            <sz val="10"/>
            <color rgb="FF000000"/>
            <rFont val="Tahoma"/>
            <family val="2"/>
          </rPr>
          <t xml:space="preserve">For general costs, fill in only the first row, since these costs will be applied equally across all technologies.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rgb="FF000000"/>
            <rFont val="Segoe UI"/>
            <family val="2"/>
            <charset val="1"/>
          </rPr>
          <t>Ludmila Peres Gargano:</t>
        </r>
        <r>
          <rPr>
            <sz val="9"/>
            <color rgb="FF000000"/>
            <rFont val="Segoe UI"/>
            <family val="2"/>
            <charset val="1"/>
          </rPr>
          <t xml:space="preserve">
</t>
        </r>
        <r>
          <rPr>
            <b/>
            <sz val="9"/>
            <color rgb="FF000000"/>
            <rFont val="Calibri"/>
            <family val="2"/>
          </rPr>
          <t>Example 1:</t>
        </r>
        <r>
          <rPr>
            <sz val="9"/>
            <color rgb="FF000000"/>
            <rFont val="Calibri"/>
            <family val="2"/>
          </rPr>
          <t xml:space="preserve"> According to the product label, if the treatment should be provided for two years, then enter 12 months for 1st year, 12 months for 2nd year, and 0 months for the remaining years.
</t>
        </r>
        <r>
          <rPr>
            <sz val="9"/>
            <color rgb="FF000000"/>
            <rFont val="Calibri"/>
            <family val="2"/>
          </rPr>
          <t xml:space="preserve">
</t>
        </r>
        <r>
          <rPr>
            <b/>
            <sz val="9"/>
            <color rgb="FF000000"/>
            <rFont val="Calibri"/>
            <family val="2"/>
          </rPr>
          <t>Example 2:</t>
        </r>
        <r>
          <rPr>
            <sz val="9"/>
            <color rgb="FF000000"/>
            <rFont val="Calibri"/>
            <family val="2"/>
          </rPr>
          <t xml:space="preserve"> According to the product label, induction treatment is administered during the first two months, and maintenance treatment is continuous until disease progression. Enter 10 months for 1st year (excluding the 2-month induction phase), and 12 months for the subsequent years.</t>
        </r>
      </text>
    </comment>
    <comment ref="C37" authorId="0" shapeId="0" xr:uid="{3E5809A4-CE7E-450D-861B-64E5FBBDAA21}">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 xml:space="preserve">Idealmente, deve-se utilizar a mediana de uso do tratamento (tempo em meses) ou a taxa anual de descontinuação.
</t>
        </r>
        <r>
          <rPr>
            <sz val="9"/>
            <color rgb="FF000000"/>
            <rFont val="Segoe UI"/>
            <family val="2"/>
            <charset val="1"/>
          </rPr>
          <t>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<sst xmlns="http://schemas.openxmlformats.org/spreadsheetml/2006/main" count="3595" uniqueCount="370">
  <si>
    <t>Sim</t>
  </si>
  <si>
    <t>Não</t>
  </si>
  <si>
    <t>4.Market share</t>
  </si>
  <si>
    <t>População estimada em cada tratamento conforme market</t>
  </si>
  <si>
    <t xml:space="preserve">Exibir </t>
  </si>
  <si>
    <t>Total</t>
  </si>
  <si>
    <t>Final</t>
  </si>
  <si>
    <t>-</t>
  </si>
  <si>
    <t>Descontinuação por mês</t>
  </si>
  <si>
    <t>h</t>
  </si>
  <si>
    <t>Óbito por mês</t>
  </si>
  <si>
    <t>Min</t>
  </si>
  <si>
    <t>Max</t>
  </si>
  <si>
    <t>Beta</t>
  </si>
  <si>
    <t>DSA</t>
  </si>
  <si>
    <t>ci_int1</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</si>
  <si>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</si>
  <si>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</si>
  <si>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</si>
  <si>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</si>
  <si>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</si>
  <si>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</si>
  <si>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</si>
  <si>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</si>
  <si>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</si>
  <si>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</si>
  <si>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</si>
  <si>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</si>
  <si>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</si>
  <si>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</si>
  <si>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</si>
  <si>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</si>
  <si>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</si>
  <si>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</si>
  <si>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</si>
  <si>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</si>
  <si>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</si>
  <si>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</si>
  <si>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</si>
  <si>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</si>
  <si>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</si>
  <si>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</si>
  <si>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</si>
  <si>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</si>
  <si>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</si>
  <si>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</si>
  <si>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</si>
  <si>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</si>
  <si>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</si>
  <si>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</si>
  <si>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</si>
  <si>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</si>
  <si>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</si>
  <si>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</si>
  <si>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</si>
  <si>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</si>
  <si>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</si>
  <si>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</si>
  <si>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</si>
  <si>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</si>
  <si>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Budget Impact Calculator - Blank Template</t>
  </si>
  <si>
    <t>1. Starting a new budget impact analysis</t>
  </si>
  <si>
    <t>When starting a new analysis, save a copy of this document and then complete the following fields.</t>
  </si>
  <si>
    <t>Fields in blue will be automatically filled in after definition in the next steps.</t>
  </si>
  <si>
    <t>Document Version</t>
  </si>
  <si>
    <t>Date</t>
  </si>
  <si>
    <t>Responsible Team</t>
  </si>
  <si>
    <t>2. Research question</t>
  </si>
  <si>
    <t>2.1. Population</t>
  </si>
  <si>
    <t>2.2. Proposed Technology(ies)</t>
  </si>
  <si>
    <t>2.3. Comparator(s)</t>
  </si>
  <si>
    <t>Describe the technologies currently available for the condition</t>
  </si>
  <si>
    <t>Proposed technologies are the "interventions" being evaluated for listing/reimbursement.</t>
  </si>
  <si>
    <t>Comparators are the medications/technologies currently available (on the list) for the condition under analysis.</t>
  </si>
  <si>
    <t>The reference scenario refers to the current scenario, in which the interventions are not available.</t>
  </si>
  <si>
    <t>Alternative scenarios refer to the scenarios in which the intervention under analysis will be available.</t>
  </si>
  <si>
    <t>Different alternative scenarios can be chosen to vary the expected diffusion rates.</t>
  </si>
  <si>
    <t>This spreadsheet is intended solely for educational and non-commercial purposes. Reproduction, distribution, or use for commercial gain is strictly prohibited without prior written permission.</t>
  </si>
  <si>
    <t>3. Time horizon</t>
  </si>
  <si>
    <t>5 years</t>
  </si>
  <si>
    <t>Time horizon</t>
  </si>
  <si>
    <t>Technology</t>
  </si>
  <si>
    <t>Alternative scenario 1:</t>
  </si>
  <si>
    <t>Reference scenario:</t>
  </si>
  <si>
    <t>Establish the period of the analysis.</t>
  </si>
  <si>
    <t>Write in 20xx format the first year of the budget impact analysis (e.g., 2025).</t>
  </si>
  <si>
    <t>By definition, this tool evaluates a five-year time horizon.</t>
  </si>
  <si>
    <t>What is the first year of the analysis?</t>
  </si>
  <si>
    <t>Establish the diffusion rate of the technology considering the scenarios previously reported (reference scenario and proposed scenarios).</t>
  </si>
  <si>
    <t>Alternative scenario 2:</t>
  </si>
  <si>
    <t>Alternative scenario 3:</t>
  </si>
  <si>
    <t>Intervention</t>
  </si>
  <si>
    <t>Comparators</t>
  </si>
  <si>
    <t>Fill in lines only for the technologies under analysis</t>
  </si>
  <si>
    <t>The sum of the percentages must result in 100%</t>
  </si>
  <si>
    <t>It is assumed that interventions are not available in the reference scenario, and therefore, 0% in all years</t>
  </si>
  <si>
    <t>Value (%)</t>
  </si>
  <si>
    <t>Reference</t>
  </si>
  <si>
    <t>Calculation method</t>
  </si>
  <si>
    <t>Does the eligible population refer to the number of new cases?</t>
  </si>
  <si>
    <t>Select this option if you want to manually enter the total number of eligible patients, and complete section 5.1. below.</t>
  </si>
  <si>
    <t>Description</t>
  </si>
  <si>
    <t>Select whether the population should be estimated based on the annual average or a linear trend.</t>
  </si>
  <si>
    <t>*Adjustment for population growth in the period</t>
  </si>
  <si>
    <t>5. Estimating the Total Number of Eligible Patients</t>
  </si>
  <si>
    <t>Select the method to be used to estimate the number of eligible patients.</t>
  </si>
  <si>
    <t>5.1. Manual Data Entry</t>
  </si>
  <si>
    <t>Use this section if you prefer to manually enter the final estimate of eligible patients, without applying the calculation strategies.</t>
  </si>
  <si>
    <t>5.2. Estimation Using the Observed Demand Method</t>
  </si>
  <si>
    <t>Use this section if you prefer to estimate the eligible population based on projections from historical data.</t>
  </si>
  <si>
    <t>If the estimate depends on more than one procedure, enter the number for each in a separate row.</t>
  </si>
  <si>
    <t>Start year of data</t>
  </si>
  <si>
    <t>End year of data</t>
  </si>
  <si>
    <t>Data interval</t>
  </si>
  <si>
    <t>Sum</t>
  </si>
  <si>
    <t>Projection calculation strategy</t>
  </si>
  <si>
    <t>Selected observed demand</t>
  </si>
  <si>
    <r>
      <t>Population projection for the time horizon of the analysis (</t>
    </r>
    <r>
      <rPr>
        <b/>
        <sz val="11"/>
        <color theme="8"/>
        <rFont val="Calibri (Corpo)"/>
      </rPr>
      <t>linear projection</t>
    </r>
    <r>
      <rPr>
        <b/>
        <sz val="11"/>
        <color rgb="FF0EB1BA"/>
        <rFont val="Calibri"/>
        <family val="2"/>
        <scheme val="minor"/>
      </rPr>
      <t>)</t>
    </r>
  </si>
  <si>
    <r>
      <t>Population projection for the time horizon of the analysis (</t>
    </r>
    <r>
      <rPr>
        <b/>
        <sz val="11"/>
        <color theme="8"/>
        <rFont val="Calibri (Corpo)"/>
      </rPr>
      <t>mean projection</t>
    </r>
    <r>
      <rPr>
        <b/>
        <sz val="11"/>
        <color rgb="FF0EB1BA"/>
        <rFont val="Calibri"/>
        <family val="2"/>
        <scheme val="minor"/>
      </rPr>
      <t>)</t>
    </r>
  </si>
  <si>
    <t>Parameters</t>
  </si>
  <si>
    <t>In use</t>
  </si>
  <si>
    <t>Base line</t>
  </si>
  <si>
    <t>Probabilistic</t>
  </si>
  <si>
    <t>Variation</t>
  </si>
  <si>
    <t>SE</t>
  </si>
  <si>
    <t>Distribuition</t>
  </si>
  <si>
    <t>Alpha</t>
  </si>
  <si>
    <t>Estimate</t>
  </si>
  <si>
    <t>5.3. Estimation Using the Epidemiological Method</t>
  </si>
  <si>
    <t>Use this section if you wish to estimate the eligible population based on the epidemiological parameters from the literature.</t>
  </si>
  <si>
    <t>This section can also be used if you wish to apply epidemiological parameters to the population projected through the “Observed Demand” method.</t>
  </si>
  <si>
    <t>Enter the first year for which data are available.</t>
  </si>
  <si>
    <t>Enter the last year for which data are available.</t>
  </si>
  <si>
    <t>The chart must be adjusted to include only the years for which data are available.</t>
  </si>
  <si>
    <t>Parameter</t>
  </si>
  <si>
    <t>Title of the Analysis</t>
  </si>
  <si>
    <t>Expected annual growth</t>
  </si>
  <si>
    <t>Intervention 1</t>
  </si>
  <si>
    <t>Intervention 2</t>
  </si>
  <si>
    <t>Intervention 3</t>
  </si>
  <si>
    <t>Intervention 4</t>
  </si>
  <si>
    <t>Comparator 1</t>
  </si>
  <si>
    <t>Comparator 2</t>
  </si>
  <si>
    <t>Comparator 3</t>
  </si>
  <si>
    <t>Comparator 4</t>
  </si>
  <si>
    <t>Comparator 5</t>
  </si>
  <si>
    <t>Comparator 6</t>
  </si>
  <si>
    <t>Comparator 7</t>
  </si>
  <si>
    <t>Comparator 8</t>
  </si>
  <si>
    <t>Comparator 9</t>
  </si>
  <si>
    <t>Comparator 10</t>
  </si>
  <si>
    <t>Applied for any technology</t>
  </si>
  <si>
    <t>Select the technology</t>
  </si>
  <si>
    <t>Description of resource</t>
  </si>
  <si>
    <t>% of patients using</t>
  </si>
  <si>
    <t>Quantity</t>
  </si>
  <si>
    <t>Unit cost</t>
  </si>
  <si>
    <t>Final cost</t>
  </si>
  <si>
    <t>6.1. Calculating Treatment Costs</t>
  </si>
  <si>
    <t>The table below presents the annual total cost per intervention, as reported in the sections below.</t>
  </si>
  <si>
    <r>
      <rPr>
        <b/>
        <sz val="11"/>
        <rFont val="Calibri"/>
        <family val="2"/>
      </rPr>
      <t>Do not make changes directly in this table</t>
    </r>
    <r>
      <rPr>
        <sz val="11"/>
        <rFont val="Calibri"/>
        <family val="2"/>
      </rPr>
      <t>; use the sections below to enter each type of cost.</t>
    </r>
  </si>
  <si>
    <t>6.1.1 Initial Treatment Costs – One-Time Cost at the Start of the Analysis (PER TECHNOLOGY)</t>
  </si>
  <si>
    <t>In this section, report the treatment costs that are incurred only ONCE, at the time the patient enters the analysis.</t>
  </si>
  <si>
    <t>Examples of one-time costs: induction therapy.</t>
  </si>
  <si>
    <t>Model Calculations</t>
  </si>
  <si>
    <t>Cohort 1</t>
  </si>
  <si>
    <t>Cohort 2</t>
  </si>
  <si>
    <t>Cohort 3</t>
  </si>
  <si>
    <t>Cohort 4</t>
  </si>
  <si>
    <t>Cohort 5</t>
  </si>
  <si>
    <t>Cohort 1 on treat.</t>
  </si>
  <si>
    <t>Cohort 2 on treat.</t>
  </si>
  <si>
    <t>Cohort 3 on treat.</t>
  </si>
  <si>
    <t>Cohort 4 on treat.</t>
  </si>
  <si>
    <t>Cohort 5 on treat.</t>
  </si>
  <si>
    <t>Cohort 1 off treat.</t>
  </si>
  <si>
    <t>Cohort 2 off treat.</t>
  </si>
  <si>
    <t>Cohort 3 off treat.</t>
  </si>
  <si>
    <t>Cohort 4 off treat.</t>
  </si>
  <si>
    <t>Cohort 5 off treat.</t>
  </si>
  <si>
    <t>Population estimate adjusted by market share</t>
  </si>
  <si>
    <t>Calculations considering all associated costs</t>
  </si>
  <si>
    <t>Calculations considering only acquisition costs</t>
  </si>
  <si>
    <t>8. Results</t>
  </si>
  <si>
    <t>In observed demand, the number of eligible patients is estimated based on data obtained from previous years on the service. Complete section 5.2 below.</t>
  </si>
  <si>
    <t>In epidemiological methods, population data are used to estimate the total number of eligible patients (e.g. prevalence). Complete section 5.3 below.</t>
  </si>
  <si>
    <t>to</t>
  </si>
  <si>
    <t>Incremental budget impact</t>
  </si>
  <si>
    <t>Adoption rate ranging from</t>
  </si>
  <si>
    <t>8.1. Final population used in the calculations</t>
  </si>
  <si>
    <t>Annual mean</t>
  </si>
  <si>
    <t>Full-cost results</t>
  </si>
  <si>
    <t>Technology cost–only results</t>
  </si>
  <si>
    <t>1st year</t>
  </si>
  <si>
    <t>2nd year</t>
  </si>
  <si>
    <t>3rd year</t>
  </si>
  <si>
    <t>5th year</t>
  </si>
  <si>
    <t>4th year</t>
  </si>
  <si>
    <t>7.1 Reporting Treatment Duration According to the Product Label</t>
  </si>
  <si>
    <t>Use this section to specify the number of months per year that each technology is expected to be used, based on the approved product label.</t>
  </si>
  <si>
    <t>This duration refers solely to the recommended usage and does not account for discontinuation due to disease progression or other reasons (which will be reported in the following sections).</t>
  </si>
  <si>
    <t>If the treatment includes both an induction and a maintenance phase, report only the number of months recommended for the maintenance phase.</t>
  </si>
  <si>
    <t xml:space="preserve">For how many months will each intervention be used per patient?
</t>
  </si>
  <si>
    <t>For how many months will each comparator be used per patient?</t>
  </si>
  <si>
    <t>months</t>
  </si>
  <si>
    <t>Entry</t>
  </si>
  <si>
    <t>On treatment</t>
  </si>
  <si>
    <t>Deaths</t>
  </si>
  <si>
    <t>Discontinued</t>
  </si>
  <si>
    <t>Code</t>
  </si>
  <si>
    <t>HTA Submission Number</t>
  </si>
  <si>
    <t>Describe the target population, interventions, and comparators (alternative treatments or technologies).</t>
  </si>
  <si>
    <t>Describe the population under evaluation (clinical condition)</t>
  </si>
  <si>
    <t>Describe the technology(ies) under assessment for listing/reimbursment</t>
  </si>
  <si>
    <t>Number of technologies under assessment</t>
  </si>
  <si>
    <t>Name of the technology</t>
  </si>
  <si>
    <t>Name of the comparator</t>
  </si>
  <si>
    <t>Number of comparators</t>
  </si>
  <si>
    <t>2.4. Assessed Scenarios</t>
  </si>
  <si>
    <t>Provide names to identify the scenarios under evaluation</t>
  </si>
  <si>
    <t>Name of reference scenario</t>
  </si>
  <si>
    <t>Name of alternative scenario 1</t>
  </si>
  <si>
    <t>Name of alternative scenario 2</t>
  </si>
  <si>
    <t>Name of alternative scenario 3</t>
  </si>
  <si>
    <t>This spreadsheet is intended solely for educational and non-commercial purposes. Reproduction, distribution, or use for commercial gain without prior written permission is strictly prohibited.</t>
  </si>
  <si>
    <t>Tip: If the R² value of the linear projection is less than 0.5, you should consider to use the mean.</t>
  </si>
  <si>
    <t>Technology-Specific Costs</t>
  </si>
  <si>
    <t>Initial treatment cost (one-time)</t>
  </si>
  <si>
    <t>Ongoing monthly treatment cost</t>
  </si>
  <si>
    <t>Additional ongoing monthly costs</t>
  </si>
  <si>
    <t>Initial general costs</t>
  </si>
  <si>
    <t>General Costs (common to all patients)</t>
  </si>
  <si>
    <t>Monthly costs during treatment</t>
  </si>
  <si>
    <t>Monthly costs after treatment</t>
  </si>
  <si>
    <r>
      <t xml:space="preserve">Ongoing </t>
    </r>
    <r>
      <rPr>
        <b/>
        <u/>
        <sz val="11"/>
        <color theme="0"/>
        <rFont val="Calibri"/>
        <family val="2"/>
      </rPr>
      <t>annual</t>
    </r>
    <r>
      <rPr>
        <b/>
        <sz val="11"/>
        <color theme="0"/>
        <rFont val="Calibri"/>
        <family val="2"/>
      </rPr>
      <t xml:space="preserve"> treatment cost</t>
    </r>
  </si>
  <si>
    <r>
      <t xml:space="preserve">Additional ongoing </t>
    </r>
    <r>
      <rPr>
        <b/>
        <u/>
        <sz val="11"/>
        <color theme="0"/>
        <rFont val="Calibri"/>
        <family val="2"/>
      </rPr>
      <t>annual</t>
    </r>
    <r>
      <rPr>
        <b/>
        <sz val="11"/>
        <color theme="0"/>
        <rFont val="Calibri"/>
        <family val="2"/>
      </rPr>
      <t xml:space="preserve"> costs</t>
    </r>
  </si>
  <si>
    <r>
      <rPr>
        <b/>
        <u/>
        <sz val="11"/>
        <color theme="0"/>
        <rFont val="Calibri"/>
        <family val="2"/>
      </rPr>
      <t>Annual</t>
    </r>
    <r>
      <rPr>
        <b/>
        <sz val="11"/>
        <color theme="0"/>
        <rFont val="Calibri"/>
        <family val="2"/>
      </rPr>
      <t xml:space="preserve"> costs during treatment</t>
    </r>
  </si>
  <si>
    <r>
      <rPr>
        <b/>
        <u/>
        <sz val="11"/>
        <color theme="0"/>
        <rFont val="Calibri"/>
        <family val="2"/>
      </rPr>
      <t>Annual</t>
    </r>
    <r>
      <rPr>
        <b/>
        <sz val="11"/>
        <color theme="0"/>
        <rFont val="Calibri"/>
        <family val="2"/>
      </rPr>
      <t xml:space="preserve"> costs after treatment</t>
    </r>
  </si>
  <si>
    <t>6.1.2 Ongoing Monthly Treatment Costs – Recurrent or Continuous (PER TECHNOLOGY)</t>
  </si>
  <si>
    <t>In this section, enter the costs related to each intervention/comparator that occur more than once during the year.</t>
  </si>
  <si>
    <t>Examples of recurring costs: maintenance therapy, continuous treatment, periodic monitoring tests (e.g., every x months).</t>
  </si>
  <si>
    <t>6.1.3 Associated Monthly Costs (Treatment-Related) – Recurrent or Continuous (PER TECHNOLOGY)</t>
  </si>
  <si>
    <t>In this section, enter any additional costs related to each intervention/comparator that occur throughout the treatment period, such as exam or monitoring costs.</t>
  </si>
  <si>
    <t>These costs will be considered in the analysis for the entire duration in which the patient is receiving the technology.</t>
  </si>
  <si>
    <t>Examples of recurring associated costs: specific monitoring of adverse events related to the treatment.</t>
  </si>
  <si>
    <t>6.1.4 Initial General Costs (Common to All Technologies)</t>
  </si>
  <si>
    <t>In this section, enter any initial costs that apply to all patients at the start of the analysis (e.g., diagnostic or molecular testing).</t>
  </si>
  <si>
    <t>6.1.5 Monthly Costs DURING Treatment (Common to All Technologies)</t>
  </si>
  <si>
    <t xml:space="preserve">In this section, enter any additional costs that apply while the patient is receiving treatment (e.g., routine follow-up or monitoring visits).
</t>
  </si>
  <si>
    <t>6.1.6 Monthly Costs AFTER Treatment (Common to All Technologies)</t>
  </si>
  <si>
    <t>In this section, enter any additional costs that apply after the patient discontinues treatment (e.g., costs related to disease progression).</t>
  </si>
  <si>
    <t>6.2. Cost Support Table</t>
  </si>
  <si>
    <t>Use this section only if it is not possible to estimate the costs of each intervention using the structured steps above.</t>
  </si>
  <si>
    <t>These values should be used only as a last resort, when calculating costs through the standard tables is not feasible.</t>
  </si>
  <si>
    <t>Using the 'Cost Support Table'?</t>
  </si>
  <si>
    <t xml:space="preserve">Please keep "No" selected if costs are being calculated using the Section 6.1 tables.
</t>
  </si>
  <si>
    <t>No</t>
  </si>
  <si>
    <t>If the cost applies only during the first year or only in certain years of the analysis, you should still enter the monthly frequency here. The number of months per year or the number of years in which the cost applies should be defined later in the "Time on treatment" tab.</t>
  </si>
  <si>
    <t>7.2. Estimating Patient Discontinuation and Number of Patients on Treatment</t>
  </si>
  <si>
    <t>Use this section if it is important to indicate the percentage of patients who remain on treatment or discontinue treatment over the course of the year.</t>
  </si>
  <si>
    <t>Treatment discontinuation can be estimated using different parameters: median treatment duration, discontinuation rate, or disease progression.</t>
  </si>
  <si>
    <t>Do you wish to consider treatment discontinuation?</t>
  </si>
  <si>
    <t>Select the method to estimate treatment discontinuation:</t>
  </si>
  <si>
    <t>Enter data period:</t>
  </si>
  <si>
    <t>This option does not apply if the "median usage time" is entered.</t>
  </si>
  <si>
    <t>If "Other data frequency" is selected  complete the following tab -&gt;</t>
  </si>
  <si>
    <t>If you wish to report the monthly or semi-annual discontinuation rate, please use the table below.</t>
  </si>
  <si>
    <t>If you wish to report progression-free survival monthly or semi-annually, use the table below.</t>
  </si>
  <si>
    <t>If you wish to report the monthly death rate by month or half-year, use the table below.</t>
  </si>
  <si>
    <t>If you wish to report overall survival monthly or semi-annually, use the table below.</t>
  </si>
  <si>
    <t>MONTHLY death rate (%)</t>
  </si>
  <si>
    <t>Overall MONTHLY survival (%)</t>
  </si>
  <si>
    <t>In this spreadsheet, median survival is extrapolated monthly using an exponential distribution. Do not make any changes here.</t>
  </si>
  <si>
    <t>In this spreadsheet, the median treatment time is extrapolated monthly using an exponential distribution. Do not make any changes here.</t>
  </si>
  <si>
    <t>MONTHLY progression-free survival (%)</t>
  </si>
  <si>
    <t>MONTHLY discontinuation rate (%)</t>
  </si>
  <si>
    <t>Do not fill in this table</t>
  </si>
  <si>
    <t>7.2.1. Table of median time of use of treatments</t>
  </si>
  <si>
    <t>Time (in months)</t>
  </si>
  <si>
    <t>Comparators (inform in %)</t>
  </si>
  <si>
    <t>Interventions (inform in %)</t>
  </si>
  <si>
    <t>Data applied to the analysis - percentage of patients who discontinue the technology each year</t>
  </si>
  <si>
    <t>Extrapolation - percentage of patients who discontinue based on the median time of use</t>
  </si>
  <si>
    <t>Calculation table - percentage of patients who discontinue based on progression-free survival</t>
  </si>
  <si>
    <t>Calculation table - percentage of patients who discontinue based on the discontinuation rate</t>
  </si>
  <si>
    <t>12 months</t>
  </si>
  <si>
    <t>24 months</t>
  </si>
  <si>
    <t>36 months</t>
  </si>
  <si>
    <t>48 months</t>
  </si>
  <si>
    <t>7.3. Patient Exit from the Analysis Due to Death</t>
  </si>
  <si>
    <t>Use this section if it is important to account for patient attrition in the budget impact analysis based on the occurrence of deaths.</t>
  </si>
  <si>
    <t>Do you wish to consider patient exit from the analysis due to death?</t>
  </si>
  <si>
    <t>Select “No” if 100% of patients are expected to remain on treatment for the entire period specified in the previous section.</t>
  </si>
  <si>
    <t>Data source for patient exit information</t>
  </si>
  <si>
    <t>Specify data period</t>
  </si>
  <si>
    <t>If “Other data periodicity” is selected, complete the following tab →</t>
  </si>
  <si>
    <t>This option does not apply if “Median survival” is provided.</t>
  </si>
  <si>
    <t>7.3.1. Table of median survival</t>
  </si>
  <si>
    <t>7.3.2. Table of mortality rate and overall survival</t>
  </si>
  <si>
    <t>Yes</t>
  </si>
  <si>
    <t>Data applied to the analysis – percentage of patients exiting the model due to death</t>
  </si>
  <si>
    <t>Extrapolation – percentage of patients dying based on median survival</t>
  </si>
  <si>
    <t>Calculation table – percentage of patients dying based on overall survival</t>
  </si>
  <si>
    <t>Calculation table – percentage of patients discontinuing based on mortality rate</t>
  </si>
  <si>
    <t>Year 1</t>
  </si>
  <si>
    <t>Year 2</t>
  </si>
  <si>
    <t>Year 3</t>
  </si>
  <si>
    <t>Year 4</t>
  </si>
  <si>
    <t>Year 5</t>
  </si>
  <si>
    <t>Lower limit of the graph</t>
  </si>
  <si>
    <t>Upper limit of the graph</t>
  </si>
  <si>
    <t>Central value of the graph</t>
  </si>
  <si>
    <t>9. Deterministic sensitivity analysis (DSA)</t>
  </si>
  <si>
    <t>Cumulative</t>
  </si>
  <si>
    <t>Select “No” if all patients are expected to remain on treatment for the entire period specified in the previous section, or until death (next section).</t>
  </si>
  <si>
    <t>Annual data</t>
  </si>
  <si>
    <t>Mean projection</t>
  </si>
  <si>
    <t>Discontinuation data includes deaths?</t>
  </si>
  <si>
    <t>Does the reported prevalence refer to a specific line of treatment?</t>
  </si>
  <si>
    <t>If Yes, patients who progress in one year will be removed from the eligible prevalent population in the next year.</t>
  </si>
  <si>
    <t>Range</t>
  </si>
  <si>
    <t>Lower limit</t>
  </si>
  <si>
    <t>Upper limit</t>
  </si>
  <si>
    <t>p</t>
  </si>
  <si>
    <t>Reference scenario</t>
  </si>
  <si>
    <t>Alternative scenario 1</t>
  </si>
  <si>
    <t>Mean</t>
  </si>
  <si>
    <t>Scenario diference</t>
  </si>
  <si>
    <t>95% CI (lower)</t>
  </si>
  <si>
    <t>95% CI (upper)</t>
  </si>
  <si>
    <t>Parameters - Scenario 1 (technology cost–only)</t>
  </si>
  <si>
    <t>Parameters - Scenario 1 (full-cost)</t>
  </si>
  <si>
    <t>Gamma</t>
  </si>
  <si>
    <t>Is it necessary to use dynamic cohorts to project the population?</t>
  </si>
  <si>
    <t>If Yes, patients whil trasition between cohorts based on the data to be provided in the "time to treatment" tab.</t>
  </si>
  <si>
    <t>Cohort on treat.</t>
  </si>
  <si>
    <t>Cohort  on treat.</t>
  </si>
  <si>
    <t>Yes, it represents incidence</t>
  </si>
  <si>
    <t>Median usage time</t>
  </si>
  <si>
    <t>Cumulative mortality rate</t>
  </si>
  <si>
    <t xml:space="preserve">Enter market share assumptions according to the best available evidence and the applicable BIA guidelines. </t>
  </si>
  <si>
    <t>Linear, non-linear, S-shaped, or other uptake patterns may be used, provided they are appropriately justified.</t>
  </si>
  <si>
    <t>point estimate</t>
  </si>
  <si>
    <t>yes</t>
  </si>
  <si>
    <t xml:space="preserve">Initial costs </t>
  </si>
  <si>
    <t xml:space="preserve">Treatment costs </t>
  </si>
  <si>
    <t xml:space="preserve">Additional costs </t>
  </si>
  <si>
    <t>Recommendation Report No. 858</t>
  </si>
  <si>
    <t>small-cell lung cancer</t>
  </si>
  <si>
    <t>PET-CT</t>
  </si>
  <si>
    <t>Without PET-CT</t>
  </si>
  <si>
    <t>With PET-CT 20-100%</t>
  </si>
  <si>
    <t>With PET-CT 10-50%</t>
  </si>
  <si>
    <t>Epidemiological method</t>
  </si>
  <si>
    <t>Brazilian population</t>
  </si>
  <si>
    <t>Individuals with lung cancer (0.015%)</t>
  </si>
  <si>
    <t>Individuals with SCLC (15%)</t>
  </si>
  <si>
    <t>Positron emission tomography (PET-CT) - 02.06.01.009-
5</t>
  </si>
  <si>
    <t>Equipment usage cost</t>
  </si>
  <si>
    <t>Brain MRI</t>
  </si>
  <si>
    <t>Chest computed tomography</t>
  </si>
  <si>
    <t>Abdominal computed tomography</t>
  </si>
  <si>
    <t>Scintilography</t>
  </si>
  <si>
    <t>CT scan + scintigraphy</t>
  </si>
  <si>
    <t>Initial costs PET-CT</t>
  </si>
  <si>
    <t>Initial costs CT scan + scintigraphy</t>
  </si>
  <si>
    <t>Treatment costs PET-CT</t>
  </si>
  <si>
    <t>Treatment costs CT scan + scintigraphy</t>
  </si>
  <si>
    <t>Additional costs PET-CT</t>
  </si>
  <si>
    <t>Additional costs CT scan + scintigraphy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</si>
</sst>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R$&quot;\ #,##0;\-&quot;R$&quot;\ #,##0"/>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
    <numFmt numFmtId="170" formatCode="#,##0.000"/>
    <numFmt numFmtId="171" formatCode="_-[$$-409]* #,##0.00_ ;_-[$$-409]* \-#,##0.00\ ;_-[$$-409]* &quot;-&quot;??_ ;_-@_ "/>
    <numFmt numFmtId="172" formatCode="_-[$$-409]* #,##0_ ;_-[$$-409]* \-#,##0\ ;_-[$$-409]* &quot;-&quot;??_ ;_-@_ "/>
    <numFmt numFmtId="173" formatCode="_(* #,##0.00_);_(* \(#,##0.00\);_(* &quot;-&quot;??_);_(@_)"/>
    <numFmt numFmtId="174" formatCode="0.0000000"/>
    <numFmt numFmtId="175" formatCode="[$$-409]#,##0.00"/>
  </numFmts>
  <fonts count="93">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i/>
      <sz val="14"/>
      <color theme="4"/>
      <name val="Calibri"/>
      <family val="2"/>
    </font>
    <font>
      <b/>
      <i/>
      <sz val="12"/>
      <color theme="4"/>
      <name val="Calibri"/>
      <family val="2"/>
    </font>
    <font>
      <sz val="14"/>
      <color theme="1"/>
      <name val="Calibri"/>
      <family val="2"/>
    </font>
    <font>
      <sz val="12"/>
      <color theme="1"/>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i/>
      <sz val="11"/>
      <color theme="1"/>
      <name val="Calibri"/>
      <family val="2"/>
    </font>
    <font>
      <sz val="9"/>
      <color indexed="81"/>
      <name val="Segoe UI"/>
      <family val="2"/>
    </font>
    <font>
      <b/>
      <sz val="9"/>
      <color indexed="81"/>
      <name val="Segoe U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i/>
      <sz val="9"/>
      <color rgb="FF726C5A"/>
      <name val="Calibri"/>
      <family val="2"/>
    </font>
    <font>
      <b/>
      <i/>
      <sz val="14"/>
      <color rgb="FFFF0000"/>
      <name val="Calibri"/>
      <family val="2"/>
    </font>
    <font>
      <b/>
      <sz val="14"/>
      <color theme="3" tint="-0.249977111117893"/>
      <name val="Calibri"/>
      <family val="2"/>
      <scheme val="minor"/>
    </font>
    <font>
      <b/>
      <sz val="14"/>
      <color rgb="FF686A10"/>
      <name val="Calibri"/>
      <family val="2"/>
      <scheme val="minor"/>
    </font>
    <font>
      <b/>
      <i/>
      <sz val="11"/>
      <color theme="8"/>
      <name val="Calibri"/>
      <family val="2"/>
    </font>
    <font>
      <b/>
      <i/>
      <sz val="11"/>
      <color theme="4"/>
      <name val="Calibri"/>
      <family val="2"/>
    </font>
    <font>
      <sz val="10"/>
      <color theme="9"/>
      <name val="Calibri"/>
      <family val="2"/>
    </font>
    <font>
      <b/>
      <i/>
      <sz val="11"/>
      <color theme="1"/>
      <name val="Calibri"/>
      <family val="2"/>
    </font>
    <font>
      <b/>
      <sz val="10"/>
      <color theme="8"/>
      <name val="Calibri"/>
      <family val="2"/>
    </font>
    <font>
      <b/>
      <i/>
      <sz val="10"/>
      <color rgb="FF726C5A"/>
      <name val="Calibri"/>
      <family val="2"/>
    </font>
    <font>
      <b/>
      <sz val="9"/>
      <color rgb="FF000000"/>
      <name val="Segoe UI"/>
      <family val="2"/>
      <charset val="1"/>
    </font>
    <font>
      <sz val="9"/>
      <color rgb="FF000000"/>
      <name val="Segoe UI"/>
      <family val="2"/>
      <charset val="1"/>
    </font>
    <font>
      <b/>
      <sz val="11"/>
      <color theme="4"/>
      <name val="Calibri"/>
      <family val="2"/>
    </font>
    <font>
      <b/>
      <sz val="11"/>
      <color theme="8"/>
      <name val="Calibri (Corpo)"/>
    </font>
    <font>
      <i/>
      <sz val="11"/>
      <color theme="1"/>
      <name val="Calibri"/>
      <family val="2"/>
      <scheme val="minor"/>
    </font>
    <font>
      <b/>
      <sz val="11"/>
      <name val="Calibri"/>
      <family val="2"/>
    </font>
    <font>
      <sz val="11"/>
      <color theme="8"/>
      <name val="Calibri (Corpo)"/>
    </font>
    <font>
      <b/>
      <sz val="13.5"/>
      <color theme="1"/>
      <name val="Calibri"/>
      <family val="2"/>
      <scheme val="minor"/>
    </font>
    <font>
      <b/>
      <sz val="11"/>
      <color theme="1"/>
      <name val="Calibri"/>
      <family val="2"/>
      <scheme val="minor"/>
    </font>
    <font>
      <sz val="10"/>
      <color rgb="FF000000"/>
      <name val="Tahoma"/>
      <family val="2"/>
    </font>
    <font>
      <b/>
      <u/>
      <sz val="11"/>
      <color theme="0"/>
      <name val="Calibri"/>
      <family val="2"/>
    </font>
    <font>
      <b/>
      <sz val="10"/>
      <color rgb="FF000000"/>
      <name val="Tahoma"/>
      <family val="2"/>
    </font>
    <font>
      <b/>
      <sz val="9"/>
      <color rgb="FF000000"/>
      <name val="Calibri"/>
      <family val="2"/>
    </font>
    <font>
      <sz val="9"/>
      <color rgb="FF000000"/>
      <name val="Calibri"/>
      <family val="2"/>
    </font>
    <font>
      <b/>
      <i/>
      <sz val="10"/>
      <color theme="8"/>
      <name val="Calibri"/>
      <family val="2"/>
    </font>
    <font>
      <sz val="11"/>
      <color theme="7"/>
      <name val="Calibri"/>
      <family val="2"/>
    </font>
    <font>
      <b/>
      <sz val="10"/>
      <color rgb="FFC00000"/>
      <name val="Calibri"/>
      <family val="2"/>
    </font>
    <font>
      <b/>
      <sz val="11"/>
      <color theme="5"/>
      <name val="Calibri"/>
      <family val="2"/>
      <scheme val="minor"/>
    </font>
    <font>
      <sz val="12"/>
      <color theme="1"/>
      <name val="Calibri"/>
      <family val="2"/>
      <scheme val="minor"/>
    </font>
    <font>
      <i/>
      <sz val="9"/>
      <color rgb="FFF8F1DF"/>
      <name val="Calibri"/>
      <family val="2"/>
    </font>
    <font>
      <b/>
      <i/>
      <sz val="14"/>
      <color rgb="FFF8F1DF"/>
      <name val="Calibri"/>
      <family val="2"/>
      <scheme val="minor"/>
    </font>
    <font>
      <sz val="11"/>
      <color rgb="FFF8F1DF"/>
      <name val="Calibri"/>
      <family val="2"/>
      <scheme val="minor"/>
    </font>
    <font>
      <sz val="11"/>
      <color rgb="FFF8F1DF"/>
      <name val="Calibri"/>
      <family val="2"/>
    </font>
    <font>
      <b/>
      <sz val="12"/>
      <color rgb="FF726C5A"/>
      <name val="Calibri"/>
      <family val="2"/>
    </font>
    <font>
      <sz val="10"/>
      <color rgb="FFFF0000"/>
      <name val="Calibri"/>
      <family val="2"/>
    </font>
  </fonts>
  <fills count="14">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
      <patternFill patternType="solid">
        <fgColor rgb="FF1F6180"/>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
      <left style="dotted">
        <color indexed="64"/>
      </left>
      <right style="dotted">
        <color indexed="64"/>
      </right>
      <top style="dotted">
        <color indexed="64"/>
      </top>
      <bottom style="dotted">
        <color indexed="64"/>
      </bottom>
      <diagonal/>
    </border>
    <border>
      <left/>
      <right style="dotted">
        <color rgb="FF726C5A"/>
      </right>
      <top/>
      <bottom style="dotted">
        <color rgb="FF726C5A"/>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theme="0"/>
      </left>
      <right style="thin">
        <color theme="0"/>
      </right>
      <top style="thin">
        <color theme="0"/>
      </top>
      <bottom/>
      <diagonal/>
    </border>
    <border>
      <left style="dotted">
        <color indexed="64"/>
      </left>
      <right/>
      <top/>
      <bottom/>
      <diagonal/>
    </border>
    <border>
      <left/>
      <right/>
      <top style="thin">
        <color rgb="FF726C5A"/>
      </top>
      <bottom/>
      <diagonal/>
    </border>
    <border>
      <left/>
      <right/>
      <top/>
      <bottom style="medium">
        <color rgb="FF726C5A"/>
      </bottom>
      <diagonal/>
    </border>
    <border>
      <left style="medium">
        <color rgb="FF726C5A"/>
      </left>
      <right/>
      <top style="medium">
        <color rgb="FF726C5A"/>
      </top>
      <bottom/>
      <diagonal/>
    </border>
    <border>
      <left/>
      <right/>
      <top style="medium">
        <color rgb="FF726C5A"/>
      </top>
      <bottom/>
      <diagonal/>
    </border>
    <border>
      <left/>
      <right style="medium">
        <color rgb="FF726C5A"/>
      </right>
      <top style="medium">
        <color rgb="FF726C5A"/>
      </top>
      <bottom/>
      <diagonal/>
    </border>
    <border>
      <left style="medium">
        <color rgb="FF726C5A"/>
      </left>
      <right/>
      <top/>
      <bottom/>
      <diagonal/>
    </border>
    <border>
      <left/>
      <right style="medium">
        <color rgb="FF726C5A"/>
      </right>
      <top/>
      <bottom/>
      <diagonal/>
    </border>
    <border>
      <left style="medium">
        <color rgb="FF726C5A"/>
      </left>
      <right/>
      <top/>
      <bottom style="medium">
        <color rgb="FF726C5A"/>
      </bottom>
      <diagonal/>
    </border>
    <border>
      <left/>
      <right style="medium">
        <color rgb="FF726C5A"/>
      </right>
      <top/>
      <bottom style="medium">
        <color rgb="FF726C5A"/>
      </bottom>
      <diagonal/>
    </border>
    <border>
      <left style="dotted">
        <color rgb="FF726C5A"/>
      </left>
      <right/>
      <top style="thin">
        <color theme="0"/>
      </top>
      <bottom style="dotted">
        <color rgb="FF726C5A"/>
      </bottom>
      <diagonal/>
    </border>
    <border>
      <left/>
      <right style="dotted">
        <color rgb="FF726C5A"/>
      </right>
      <top style="thin">
        <color theme="0"/>
      </top>
      <bottom style="dotted">
        <color rgb="FF726C5A"/>
      </bottom>
      <diagonal/>
    </border>
  </borders>
  <cellStyleXfs count="7">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7" fillId="4" borderId="15" applyNumberFormat="0" applyAlignment="0" applyProtection="0"/>
    <xf numFmtId="0" fontId="86" fillId="0" borderId="0"/>
    <xf numFmtId="173" fontId="86" fillId="0" borderId="0" applyFont="0" applyFill="0" applyBorder="0" applyAlignment="0" applyProtection="0"/>
  </cellStyleXfs>
  <cellXfs count="516">
    <xf numFmtId="0" fontId="0" fillId="0" borderId="0" xfId="0"/>
    <xf numFmtId="0" fontId="6" fillId="0" borderId="0" xfId="0" applyFont="1" applyProtection="1">
      <protection locked="0"/>
    </xf>
    <xf numFmtId="0" fontId="8" fillId="2" borderId="0" xfId="0" applyFont="1" applyFill="1"/>
    <xf numFmtId="0" fontId="6" fillId="0" borderId="0" xfId="0" applyFont="1"/>
    <xf numFmtId="0" fontId="9" fillId="0" borderId="0" xfId="0" applyFont="1"/>
    <xf numFmtId="0" fontId="9" fillId="0" borderId="13" xfId="0" applyFont="1" applyBorder="1" applyAlignment="1">
      <alignment horizontal="left"/>
    </xf>
    <xf numFmtId="0" fontId="1" fillId="2" borderId="0" xfId="0" applyFont="1" applyFill="1" applyProtection="1">
      <protection locked="0"/>
    </xf>
    <xf numFmtId="0" fontId="1" fillId="2" borderId="0" xfId="0" applyFont="1" applyFill="1"/>
    <xf numFmtId="0" fontId="1" fillId="0" borderId="0" xfId="0" applyFont="1" applyProtection="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0" fillId="4" borderId="0" xfId="0" applyFont="1" applyFill="1" applyProtection="1">
      <protection locked="0"/>
    </xf>
    <xf numFmtId="0" fontId="21" fillId="4" borderId="0" xfId="0" applyFont="1" applyFill="1" applyProtection="1">
      <protection locked="0"/>
    </xf>
    <xf numFmtId="0" fontId="23" fillId="0" borderId="0" xfId="0" applyFont="1"/>
    <xf numFmtId="0" fontId="24" fillId="0" borderId="0" xfId="0" applyFont="1"/>
    <xf numFmtId="0" fontId="1" fillId="4"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2" fillId="4" borderId="0" xfId="0" applyFont="1" applyFill="1" applyAlignment="1" applyProtection="1">
      <alignment horizontal="left"/>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6" fillId="4" borderId="0" xfId="0" applyFont="1" applyFill="1" applyAlignment="1" applyProtection="1">
      <alignment vertical="center"/>
      <protection locked="0"/>
    </xf>
    <xf numFmtId="0" fontId="21"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0" fillId="4" borderId="0" xfId="0" applyFont="1" applyFill="1" applyAlignment="1" applyProtection="1">
      <alignment vertical="center"/>
      <protection locked="0"/>
    </xf>
    <xf numFmtId="0" fontId="22"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18" fillId="0" borderId="0" xfId="0" applyFont="1" applyAlignment="1" applyProtection="1">
      <alignment vertical="center"/>
      <protection locked="0"/>
    </xf>
    <xf numFmtId="0" fontId="18" fillId="0" borderId="0" xfId="0" applyFont="1" applyAlignment="1" applyProtection="1">
      <alignment horizontal="center" vertical="center"/>
      <protection locked="0"/>
    </xf>
    <xf numFmtId="0" fontId="23" fillId="0" borderId="0" xfId="0" applyFont="1" applyAlignment="1">
      <alignment horizontal="right" vertical="center"/>
    </xf>
    <xf numFmtId="0" fontId="27" fillId="0" borderId="0" xfId="0" applyFont="1" applyAlignment="1">
      <alignment vertical="center"/>
    </xf>
    <xf numFmtId="0" fontId="26" fillId="4" borderId="15" xfId="4" applyFont="1" applyAlignment="1" applyProtection="1">
      <alignment horizontal="center" vertical="center"/>
      <protection locked="0"/>
    </xf>
    <xf numFmtId="0" fontId="28" fillId="5" borderId="0" xfId="0" applyFont="1" applyFill="1" applyProtection="1">
      <protection locked="0"/>
    </xf>
    <xf numFmtId="0" fontId="28" fillId="5" borderId="0" xfId="0" applyFont="1" applyFill="1" applyAlignment="1" applyProtection="1">
      <alignment horizontal="center"/>
      <protection locked="0"/>
    </xf>
    <xf numFmtId="0" fontId="20" fillId="0" borderId="0" xfId="0" applyFont="1" applyAlignment="1" applyProtection="1">
      <alignment vertical="center"/>
      <protection locked="0"/>
    </xf>
    <xf numFmtId="0" fontId="29" fillId="0" borderId="0" xfId="0" applyFont="1" applyAlignment="1">
      <alignment horizontal="right" vertical="center"/>
    </xf>
    <xf numFmtId="0" fontId="1" fillId="4" borderId="15" xfId="0" applyFont="1" applyFill="1" applyBorder="1" applyAlignment="1" applyProtection="1">
      <alignment horizontal="center"/>
      <protection locked="0"/>
    </xf>
    <xf numFmtId="9" fontId="26" fillId="4" borderId="15" xfId="1" applyFont="1" applyFill="1" applyBorder="1" applyAlignment="1" applyProtection="1">
      <alignment horizontal="center" vertical="center"/>
      <protection locked="0"/>
    </xf>
    <xf numFmtId="9" fontId="26" fillId="6" borderId="15" xfId="1" applyFont="1" applyFill="1" applyBorder="1" applyAlignment="1" applyProtection="1">
      <alignment horizontal="center" vertical="center"/>
      <protection locked="0"/>
    </xf>
    <xf numFmtId="0" fontId="14" fillId="7" borderId="20" xfId="0" applyFont="1" applyFill="1" applyBorder="1" applyAlignment="1" applyProtection="1">
      <alignment horizontal="center"/>
      <protection locked="0"/>
    </xf>
    <xf numFmtId="3" fontId="26" fillId="4" borderId="15" xfId="1" applyNumberFormat="1" applyFont="1" applyFill="1" applyBorder="1" applyAlignment="1" applyProtection="1">
      <alignment horizontal="center" vertical="center"/>
      <protection locked="0"/>
    </xf>
    <xf numFmtId="3" fontId="26" fillId="6" borderId="15" xfId="1" applyNumberFormat="1" applyFont="1" applyFill="1" applyBorder="1" applyAlignment="1" applyProtection="1">
      <alignment horizontal="center" vertical="center"/>
      <protection locked="0"/>
    </xf>
    <xf numFmtId="0" fontId="15" fillId="4" borderId="0" xfId="0" applyFont="1" applyFill="1" applyAlignment="1" applyProtection="1">
      <alignment vertical="center"/>
      <protection locked="0"/>
    </xf>
    <xf numFmtId="0" fontId="37" fillId="5" borderId="0" xfId="0" applyFont="1" applyFill="1" applyProtection="1">
      <protection locked="0"/>
    </xf>
    <xf numFmtId="0" fontId="20" fillId="0" borderId="0" xfId="0" applyFont="1" applyAlignment="1" applyProtection="1">
      <alignment horizontal="right" vertical="center"/>
      <protection locked="0"/>
    </xf>
    <xf numFmtId="0" fontId="1" fillId="0" borderId="16" xfId="0" applyFont="1" applyBorder="1" applyProtection="1">
      <protection locked="0"/>
    </xf>
    <xf numFmtId="164" fontId="26" fillId="4" borderId="15" xfId="1" applyNumberFormat="1" applyFont="1" applyFill="1" applyBorder="1" applyAlignment="1" applyProtection="1">
      <alignment horizontal="center" vertical="center"/>
      <protection locked="0"/>
    </xf>
    <xf numFmtId="164" fontId="26" fillId="6" borderId="15" xfId="1" applyNumberFormat="1" applyFont="1" applyFill="1" applyBorder="1" applyAlignment="1" applyProtection="1">
      <alignment horizontal="center" vertical="center"/>
      <protection locked="0"/>
    </xf>
    <xf numFmtId="9" fontId="26" fillId="4" borderId="24" xfId="1" applyFont="1" applyFill="1" applyBorder="1" applyAlignment="1" applyProtection="1">
      <alignment horizontal="center" vertical="center"/>
      <protection locked="0"/>
    </xf>
    <xf numFmtId="2" fontId="26" fillId="4" borderId="15" xfId="1" applyNumberFormat="1" applyFont="1" applyFill="1" applyBorder="1" applyAlignment="1" applyProtection="1">
      <alignment horizontal="center" vertical="center"/>
      <protection locked="0"/>
    </xf>
    <xf numFmtId="0" fontId="23" fillId="0" borderId="0" xfId="0" applyFont="1" applyAlignment="1">
      <alignment horizontal="right" vertical="center" wrapText="1"/>
    </xf>
    <xf numFmtId="0" fontId="23" fillId="0" borderId="16" xfId="0" applyFont="1" applyBorder="1" applyAlignment="1">
      <alignment horizontal="right" vertical="center" wrapText="1"/>
    </xf>
    <xf numFmtId="0" fontId="1" fillId="2" borderId="16" xfId="0" applyFont="1" applyFill="1" applyBorder="1"/>
    <xf numFmtId="0" fontId="25" fillId="0" borderId="0" xfId="0" applyFont="1" applyAlignment="1" applyProtection="1">
      <alignment horizontal="center" vertical="center"/>
      <protection locked="0"/>
    </xf>
    <xf numFmtId="0" fontId="6" fillId="4" borderId="0" xfId="0" applyFont="1" applyFill="1" applyAlignment="1" applyProtection="1">
      <alignment horizontal="center" vertical="center"/>
      <protection locked="0"/>
    </xf>
    <xf numFmtId="9" fontId="26" fillId="4" borderId="37" xfId="1" applyFont="1" applyFill="1" applyBorder="1" applyAlignment="1" applyProtection="1">
      <alignment horizontal="center" vertical="center"/>
      <protection locked="0"/>
    </xf>
    <xf numFmtId="9" fontId="26" fillId="4" borderId="16" xfId="1" applyFont="1" applyFill="1" applyBorder="1" applyAlignment="1" applyProtection="1">
      <alignment horizontal="center" vertical="center"/>
      <protection locked="0"/>
    </xf>
    <xf numFmtId="9" fontId="26" fillId="4" borderId="26" xfId="1" applyFont="1" applyFill="1" applyBorder="1" applyAlignment="1" applyProtection="1">
      <alignment horizontal="center" vertical="center"/>
      <protection locked="0"/>
    </xf>
    <xf numFmtId="0" fontId="25" fillId="0" borderId="0" xfId="0" applyFont="1" applyAlignment="1" applyProtection="1">
      <alignment horizontal="center" vertical="center" textRotation="180"/>
      <protection locked="0"/>
    </xf>
    <xf numFmtId="0" fontId="21"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textRotation="180"/>
      <protection locked="0"/>
    </xf>
    <xf numFmtId="0" fontId="18" fillId="5" borderId="0" xfId="0" applyFont="1" applyFill="1" applyAlignment="1" applyProtection="1">
      <alignment horizontal="center" vertical="center"/>
      <protection locked="0"/>
    </xf>
    <xf numFmtId="0" fontId="25" fillId="5" borderId="0" xfId="0" applyFont="1" applyFill="1" applyAlignment="1" applyProtection="1">
      <alignment horizontal="center" vertical="center" textRotation="180"/>
      <protection locked="0"/>
    </xf>
    <xf numFmtId="0" fontId="44" fillId="0" borderId="0" xfId="0" applyFont="1" applyAlignment="1">
      <alignment horizontal="center" vertical="center"/>
    </xf>
    <xf numFmtId="0" fontId="25" fillId="0" borderId="0" xfId="0" applyFont="1" applyAlignment="1">
      <alignment horizontal="center" vertical="center" textRotation="180"/>
    </xf>
    <xf numFmtId="0" fontId="31" fillId="0" borderId="0" xfId="0" applyFont="1" applyAlignment="1">
      <alignment horizontal="center" vertical="center"/>
    </xf>
    <xf numFmtId="0" fontId="6" fillId="0" borderId="0" xfId="0" applyFont="1" applyAlignment="1">
      <alignment horizontal="center" vertical="center"/>
    </xf>
    <xf numFmtId="3" fontId="1" fillId="0" borderId="0" xfId="0" applyNumberFormat="1" applyFont="1" applyAlignment="1">
      <alignment horizontal="center" vertical="center"/>
    </xf>
    <xf numFmtId="0" fontId="6" fillId="0" borderId="16" xfId="0" applyFont="1" applyBorder="1" applyAlignment="1">
      <alignment horizontal="center" vertical="center"/>
    </xf>
    <xf numFmtId="0" fontId="25"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4" fillId="5" borderId="1" xfId="0" applyFont="1" applyFill="1" applyBorder="1" applyAlignment="1">
      <alignment horizontal="center"/>
    </xf>
    <xf numFmtId="3" fontId="7" fillId="0" borderId="2" xfId="0" applyNumberFormat="1" applyFont="1" applyBorder="1" applyAlignment="1">
      <alignment horizontal="center" vertical="center"/>
    </xf>
    <xf numFmtId="3" fontId="25" fillId="0" borderId="4" xfId="0" applyNumberFormat="1" applyFont="1" applyBorder="1" applyAlignment="1">
      <alignment horizontal="center" vertical="center" textRotation="180"/>
    </xf>
    <xf numFmtId="3" fontId="25"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39" fillId="0" borderId="0" xfId="0" applyFont="1" applyAlignment="1">
      <alignment horizontal="center" vertical="center"/>
    </xf>
    <xf numFmtId="0" fontId="39" fillId="0" borderId="9" xfId="0" applyFont="1" applyBorder="1" applyAlignment="1">
      <alignment horizontal="center" vertical="center"/>
    </xf>
    <xf numFmtId="3" fontId="1" fillId="9" borderId="0" xfId="0" applyNumberFormat="1" applyFont="1" applyFill="1" applyAlignment="1">
      <alignment horizontal="center" vertical="center"/>
    </xf>
    <xf numFmtId="0" fontId="21" fillId="4" borderId="0" xfId="0" applyFont="1" applyFill="1" applyAlignment="1" applyProtection="1">
      <alignment horizontal="left" vertical="center"/>
      <protection locked="0"/>
    </xf>
    <xf numFmtId="3" fontId="52" fillId="0" borderId="0" xfId="0" applyNumberFormat="1" applyFont="1" applyAlignment="1">
      <alignment horizontal="center" vertical="center"/>
    </xf>
    <xf numFmtId="3" fontId="52" fillId="0" borderId="9" xfId="0" applyNumberFormat="1" applyFont="1" applyBorder="1" applyAlignment="1">
      <alignment horizontal="center" vertical="center"/>
    </xf>
    <xf numFmtId="0" fontId="45" fillId="0" borderId="0" xfId="0" applyFont="1" applyAlignment="1">
      <alignment vertical="center"/>
    </xf>
    <xf numFmtId="0" fontId="44" fillId="0" borderId="0" xfId="0" applyFont="1" applyAlignment="1">
      <alignment vertical="center"/>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5"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5" fillId="0" borderId="0" xfId="0" applyFont="1" applyAlignment="1">
      <alignment horizontal="right"/>
    </xf>
    <xf numFmtId="0" fontId="56" fillId="4" borderId="0" xfId="0" applyFont="1" applyFill="1" applyAlignment="1" applyProtection="1">
      <alignment vertical="center"/>
      <protection locked="0"/>
    </xf>
    <xf numFmtId="0" fontId="57" fillId="5" borderId="0" xfId="0" applyFont="1" applyFill="1" applyProtection="1">
      <protection locked="0"/>
    </xf>
    <xf numFmtId="0" fontId="56" fillId="0" borderId="0" xfId="0" applyFont="1" applyProtection="1">
      <protection locked="0"/>
    </xf>
    <xf numFmtId="168" fontId="1" fillId="0" borderId="0" xfId="0" applyNumberFormat="1" applyFont="1" applyProtection="1">
      <protection locked="0"/>
    </xf>
    <xf numFmtId="0" fontId="1" fillId="0" borderId="16" xfId="0" applyFont="1" applyBorder="1" applyAlignment="1">
      <alignment horizontal="center" vertical="center"/>
    </xf>
    <xf numFmtId="0" fontId="14" fillId="11"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protection locked="0"/>
    </xf>
    <xf numFmtId="0" fontId="14" fillId="11" borderId="20" xfId="0" applyFont="1" applyFill="1" applyBorder="1" applyAlignment="1" applyProtection="1">
      <alignment horizontal="center"/>
      <protection locked="0"/>
    </xf>
    <xf numFmtId="14" fontId="26" fillId="4" borderId="15" xfId="4" applyNumberFormat="1" applyFont="1" applyAlignment="1" applyProtection="1">
      <alignment horizontal="center" vertical="center"/>
      <protection locked="0"/>
    </xf>
    <xf numFmtId="0" fontId="14" fillId="11" borderId="21" xfId="0" applyFont="1" applyFill="1" applyBorder="1" applyAlignment="1" applyProtection="1">
      <alignment horizontal="center" vertical="center"/>
      <protection locked="0"/>
    </xf>
    <xf numFmtId="0" fontId="1" fillId="4" borderId="0" xfId="0" applyFont="1" applyFill="1" applyAlignment="1">
      <alignment vertical="center"/>
    </xf>
    <xf numFmtId="0" fontId="21" fillId="4" borderId="0" xfId="0" applyFont="1" applyFill="1" applyAlignment="1">
      <alignment vertical="center"/>
    </xf>
    <xf numFmtId="0" fontId="1" fillId="4" borderId="0" xfId="0" applyFont="1" applyFill="1" applyAlignment="1">
      <alignment horizontal="center" vertical="center"/>
    </xf>
    <xf numFmtId="0" fontId="6" fillId="4" borderId="0" xfId="0" applyFont="1" applyFill="1" applyAlignment="1">
      <alignment vertical="center"/>
    </xf>
    <xf numFmtId="0" fontId="20" fillId="4" borderId="0" xfId="0" applyFont="1" applyFill="1" applyAlignment="1">
      <alignment vertical="center"/>
    </xf>
    <xf numFmtId="0" fontId="22" fillId="4" borderId="0" xfId="0" applyFont="1" applyFill="1" applyAlignment="1">
      <alignment horizontal="left" vertical="center"/>
    </xf>
    <xf numFmtId="0" fontId="7" fillId="4" borderId="0" xfId="0" applyFont="1" applyFill="1" applyAlignment="1">
      <alignment vertical="center"/>
    </xf>
    <xf numFmtId="0" fontId="28" fillId="5" borderId="0" xfId="0" applyFont="1" applyFill="1"/>
    <xf numFmtId="0" fontId="28" fillId="5" borderId="0" xfId="0" applyFont="1" applyFill="1" applyAlignment="1">
      <alignment horizontal="center"/>
    </xf>
    <xf numFmtId="0" fontId="1" fillId="0" borderId="0" xfId="0" applyFont="1" applyAlignment="1">
      <alignment vertical="center"/>
    </xf>
    <xf numFmtId="0" fontId="18" fillId="0" borderId="0" xfId="0" applyFont="1" applyAlignment="1">
      <alignment vertical="center"/>
    </xf>
    <xf numFmtId="0" fontId="18" fillId="0" borderId="0" xfId="0" applyFont="1" applyAlignment="1">
      <alignment horizontal="center" vertical="center"/>
    </xf>
    <xf numFmtId="0" fontId="16" fillId="0" borderId="0" xfId="0" applyFont="1" applyAlignment="1">
      <alignment vertical="center"/>
    </xf>
    <xf numFmtId="0" fontId="20" fillId="0" borderId="0" xfId="0" applyFont="1" applyAlignment="1">
      <alignment vertical="center"/>
    </xf>
    <xf numFmtId="0" fontId="19" fillId="0" borderId="0" xfId="0" applyFont="1" applyAlignment="1">
      <alignment vertical="center"/>
    </xf>
    <xf numFmtId="0" fontId="6" fillId="0" borderId="0" xfId="0" applyFont="1" applyAlignment="1">
      <alignment vertical="center"/>
    </xf>
    <xf numFmtId="0" fontId="0" fillId="0" borderId="0" xfId="0" applyAlignment="1">
      <alignment vertical="center"/>
    </xf>
    <xf numFmtId="0" fontId="23" fillId="0" borderId="0" xfId="0" applyFont="1" applyAlignment="1">
      <alignment horizontal="right" vertical="top"/>
    </xf>
    <xf numFmtId="0" fontId="23" fillId="0" borderId="0" xfId="0" applyFont="1" applyAlignment="1">
      <alignment vertical="center"/>
    </xf>
    <xf numFmtId="0" fontId="1" fillId="6" borderId="15" xfId="0" applyFont="1" applyFill="1" applyBorder="1" applyAlignment="1">
      <alignment horizontal="center" vertical="center" wrapText="1"/>
    </xf>
    <xf numFmtId="0" fontId="25" fillId="0" borderId="0" xfId="0" applyFont="1" applyAlignment="1">
      <alignment vertical="center"/>
    </xf>
    <xf numFmtId="0" fontId="27" fillId="0" borderId="0" xfId="0" applyFont="1" applyAlignment="1">
      <alignment vertical="top"/>
    </xf>
    <xf numFmtId="0" fontId="64" fillId="0" borderId="0" xfId="0" applyFont="1" applyAlignment="1" applyProtection="1">
      <alignment vertical="center"/>
      <protection locked="0" hidden="1"/>
    </xf>
    <xf numFmtId="0" fontId="16" fillId="0" borderId="0" xfId="0" applyFont="1" applyAlignment="1" applyProtection="1">
      <alignment vertical="center"/>
      <protection locked="0" hidden="1"/>
    </xf>
    <xf numFmtId="0" fontId="25" fillId="0" borderId="0" xfId="0" applyFont="1" applyAlignment="1" applyProtection="1">
      <alignment vertical="center"/>
      <protection locked="0" hidden="1"/>
    </xf>
    <xf numFmtId="0" fontId="1" fillId="2" borderId="0" xfId="0" applyFont="1" applyFill="1" applyProtection="1">
      <protection locked="0" hidden="1"/>
    </xf>
    <xf numFmtId="0" fontId="1" fillId="4" borderId="0" xfId="0" applyFont="1" applyFill="1"/>
    <xf numFmtId="0" fontId="21" fillId="4" borderId="0" xfId="0" applyFont="1" applyFill="1"/>
    <xf numFmtId="0" fontId="1" fillId="4" borderId="0" xfId="0" applyFont="1" applyFill="1" applyAlignment="1">
      <alignment horizontal="center"/>
    </xf>
    <xf numFmtId="0" fontId="1" fillId="4" borderId="0" xfId="0" applyFont="1" applyFill="1" applyAlignment="1">
      <alignment horizontal="left" vertical="center"/>
    </xf>
    <xf numFmtId="0" fontId="6" fillId="4" borderId="0" xfId="0" applyFont="1" applyFill="1"/>
    <xf numFmtId="0" fontId="20" fillId="4" borderId="0" xfId="0" applyFont="1" applyFill="1"/>
    <xf numFmtId="0" fontId="22" fillId="4" borderId="0" xfId="0" applyFont="1" applyFill="1" applyAlignment="1">
      <alignment horizontal="left"/>
    </xf>
    <xf numFmtId="0" fontId="7" fillId="4" borderId="0" xfId="0" applyFont="1" applyFill="1"/>
    <xf numFmtId="0" fontId="7" fillId="4" borderId="0" xfId="0" applyFont="1" applyFill="1" applyAlignment="1">
      <alignment horizontal="left" vertical="center"/>
    </xf>
    <xf numFmtId="0" fontId="28" fillId="5" borderId="0" xfId="0" applyFont="1" applyFill="1" applyAlignment="1">
      <alignment horizontal="left" vertical="center"/>
    </xf>
    <xf numFmtId="0" fontId="9" fillId="0" borderId="0" xfId="0" applyFont="1" applyAlignment="1">
      <alignment horizontal="center" vertical="center"/>
    </xf>
    <xf numFmtId="1" fontId="26" fillId="6" borderId="15" xfId="1" applyNumberFormat="1" applyFont="1" applyFill="1" applyBorder="1" applyAlignment="1" applyProtection="1">
      <alignment horizontal="center" vertical="center"/>
    </xf>
    <xf numFmtId="0" fontId="33" fillId="0" borderId="0" xfId="0" applyFont="1" applyAlignment="1">
      <alignment horizontal="left" vertical="center"/>
    </xf>
    <xf numFmtId="0" fontId="34" fillId="0" borderId="0" xfId="0" applyFont="1"/>
    <xf numFmtId="0" fontId="32" fillId="0" borderId="0" xfId="0" applyFont="1" applyAlignment="1">
      <alignment horizontal="right" vertical="center"/>
    </xf>
    <xf numFmtId="0" fontId="32" fillId="0" borderId="0" xfId="0" applyFont="1" applyAlignment="1">
      <alignment vertical="center"/>
    </xf>
    <xf numFmtId="0" fontId="59" fillId="0" borderId="0" xfId="0" applyFont="1" applyAlignment="1">
      <alignment vertical="center"/>
    </xf>
    <xf numFmtId="0" fontId="40" fillId="0" borderId="0" xfId="0" applyFont="1" applyAlignment="1">
      <alignment horizontal="left" vertical="center"/>
    </xf>
    <xf numFmtId="0" fontId="33" fillId="0" borderId="0" xfId="0" applyFont="1" applyAlignment="1">
      <alignment vertical="center"/>
    </xf>
    <xf numFmtId="0" fontId="16" fillId="0" borderId="0" xfId="0" applyFont="1"/>
    <xf numFmtId="0" fontId="30" fillId="0" borderId="0" xfId="0" applyFont="1" applyAlignment="1">
      <alignment horizontal="left" vertical="center"/>
    </xf>
    <xf numFmtId="0" fontId="14" fillId="7" borderId="0" xfId="0" applyFont="1" applyFill="1" applyAlignment="1">
      <alignment horizontal="center"/>
    </xf>
    <xf numFmtId="0" fontId="39" fillId="0" borderId="0" xfId="0" applyFont="1" applyAlignment="1">
      <alignment horizontal="center"/>
    </xf>
    <xf numFmtId="0" fontId="25" fillId="0" borderId="0" xfId="0" applyFont="1"/>
    <xf numFmtId="0" fontId="1" fillId="0" borderId="0" xfId="0" applyFont="1" applyAlignment="1">
      <alignment horizontal="left" vertical="center"/>
    </xf>
    <xf numFmtId="9" fontId="30" fillId="0" borderId="0" xfId="0" applyNumberFormat="1" applyFont="1" applyAlignment="1">
      <alignment horizontal="center"/>
    </xf>
    <xf numFmtId="0" fontId="30" fillId="0" borderId="0" xfId="0" applyFont="1" applyAlignment="1">
      <alignment horizontal="center"/>
    </xf>
    <xf numFmtId="0" fontId="6" fillId="2" borderId="0" xfId="0" applyFont="1" applyFill="1"/>
    <xf numFmtId="0" fontId="35" fillId="0" borderId="0" xfId="0" applyFont="1"/>
    <xf numFmtId="0" fontId="6" fillId="0" borderId="0" xfId="0" applyFont="1" applyAlignment="1">
      <alignment horizontal="left" vertical="center"/>
    </xf>
    <xf numFmtId="169" fontId="26" fillId="4" borderId="15" xfId="1" applyNumberFormat="1" applyFont="1" applyFill="1" applyBorder="1" applyAlignment="1" applyProtection="1">
      <alignment horizontal="center" vertical="center"/>
      <protection locked="0"/>
    </xf>
    <xf numFmtId="170" fontId="26" fillId="4" borderId="15" xfId="1" applyNumberFormat="1" applyFont="1" applyFill="1" applyBorder="1" applyAlignment="1" applyProtection="1">
      <alignment horizontal="center" vertical="center"/>
      <protection locked="0"/>
    </xf>
    <xf numFmtId="171" fontId="26" fillId="4" borderId="15" xfId="1" applyNumberFormat="1" applyFont="1" applyFill="1" applyBorder="1" applyAlignment="1" applyProtection="1">
      <alignment horizontal="center" vertical="center"/>
      <protection locked="0"/>
    </xf>
    <xf numFmtId="171" fontId="26" fillId="6" borderId="15" xfId="1" applyNumberFormat="1" applyFont="1" applyFill="1" applyBorder="1" applyAlignment="1" applyProtection="1">
      <alignment horizontal="center" vertical="center"/>
      <protection locked="0"/>
    </xf>
    <xf numFmtId="0" fontId="9" fillId="0" borderId="0" xfId="0" applyFont="1" applyAlignment="1">
      <alignment vertical="center"/>
    </xf>
    <xf numFmtId="0" fontId="30" fillId="0" borderId="0" xfId="0" applyFont="1" applyAlignment="1">
      <alignment vertical="top" wrapText="1"/>
    </xf>
    <xf numFmtId="0" fontId="14" fillId="7" borderId="20" xfId="0" applyFont="1" applyFill="1" applyBorder="1" applyAlignment="1">
      <alignment horizontal="center"/>
    </xf>
    <xf numFmtId="0" fontId="72" fillId="0" borderId="0" xfId="0" applyFont="1"/>
    <xf numFmtId="0" fontId="9" fillId="2" borderId="0" xfId="0" applyFont="1" applyFill="1" applyAlignment="1">
      <alignment horizontal="center"/>
    </xf>
    <xf numFmtId="0" fontId="30" fillId="2" borderId="0" xfId="0" applyFont="1" applyFill="1"/>
    <xf numFmtId="0" fontId="1" fillId="2" borderId="0" xfId="0" applyFont="1" applyFill="1" applyAlignment="1">
      <alignment horizontal="right"/>
    </xf>
    <xf numFmtId="0" fontId="16" fillId="2" borderId="0" xfId="0" applyFont="1" applyFill="1" applyAlignment="1">
      <alignment horizontal="right"/>
    </xf>
    <xf numFmtId="0" fontId="63" fillId="2" borderId="0" xfId="0" applyFont="1" applyFill="1"/>
    <xf numFmtId="0" fontId="16" fillId="2" borderId="0" xfId="0" applyFont="1" applyFill="1"/>
    <xf numFmtId="0" fontId="26" fillId="6" borderId="15" xfId="1" applyNumberFormat="1" applyFont="1" applyFill="1" applyBorder="1" applyAlignment="1" applyProtection="1">
      <alignment horizontal="center" vertical="center"/>
    </xf>
    <xf numFmtId="0" fontId="45" fillId="2" borderId="0" xfId="0" applyFont="1" applyFill="1" applyAlignment="1">
      <alignment horizontal="right"/>
    </xf>
    <xf numFmtId="3" fontId="26" fillId="6" borderId="15" xfId="1" applyNumberFormat="1" applyFont="1" applyFill="1" applyBorder="1" applyAlignment="1" applyProtection="1">
      <alignment horizontal="center" vertical="center"/>
    </xf>
    <xf numFmtId="0" fontId="70" fillId="2" borderId="0" xfId="0" applyFont="1" applyFill="1" applyAlignment="1">
      <alignment horizontal="right"/>
    </xf>
    <xf numFmtId="0" fontId="31" fillId="2" borderId="0" xfId="0" applyFont="1" applyFill="1" applyAlignment="1">
      <alignment horizontal="right"/>
    </xf>
    <xf numFmtId="0" fontId="74" fillId="0" borderId="0" xfId="0" applyFont="1" applyAlignment="1">
      <alignment vertical="center"/>
    </xf>
    <xf numFmtId="0" fontId="71" fillId="0" borderId="0" xfId="0" applyFont="1" applyAlignment="1">
      <alignment horizontal="right" vertical="center"/>
    </xf>
    <xf numFmtId="0" fontId="74" fillId="2" borderId="0" xfId="0" applyFont="1" applyFill="1"/>
    <xf numFmtId="0" fontId="74" fillId="0" borderId="0" xfId="0" applyFont="1"/>
    <xf numFmtId="171" fontId="1" fillId="0" borderId="0" xfId="0" applyNumberFormat="1" applyFont="1"/>
    <xf numFmtId="0" fontId="28" fillId="5" borderId="0" xfId="0" applyFont="1" applyFill="1" applyAlignment="1">
      <alignment vertical="center"/>
    </xf>
    <xf numFmtId="0" fontId="28" fillId="5" borderId="0" xfId="0" applyFont="1" applyFill="1" applyAlignment="1">
      <alignment horizontal="center" vertical="center"/>
    </xf>
    <xf numFmtId="9" fontId="10" fillId="4" borderId="15" xfId="1" applyFont="1" applyFill="1" applyBorder="1" applyAlignment="1" applyProtection="1">
      <alignment horizontal="center" vertical="center"/>
      <protection locked="0"/>
    </xf>
    <xf numFmtId="0" fontId="11" fillId="4" borderId="15" xfId="0" applyFont="1" applyFill="1" applyBorder="1" applyAlignment="1" applyProtection="1">
      <alignment vertical="center"/>
      <protection locked="0"/>
    </xf>
    <xf numFmtId="0" fontId="8" fillId="4" borderId="15" xfId="0" applyFont="1" applyFill="1" applyBorder="1" applyAlignment="1" applyProtection="1">
      <alignment vertical="center"/>
      <protection locked="0"/>
    </xf>
    <xf numFmtId="1" fontId="26" fillId="4" borderId="15" xfId="1" applyNumberFormat="1" applyFont="1" applyFill="1" applyBorder="1" applyAlignment="1" applyProtection="1">
      <alignment horizontal="center" vertical="center"/>
      <protection locked="0"/>
    </xf>
    <xf numFmtId="171" fontId="26" fillId="6" borderId="24" xfId="1" applyNumberFormat="1" applyFont="1" applyFill="1" applyBorder="1" applyAlignment="1" applyProtection="1">
      <alignment horizontal="center" vertical="center"/>
      <protection locked="0"/>
    </xf>
    <xf numFmtId="171" fontId="1" fillId="0" borderId="0" xfId="0" applyNumberFormat="1" applyFont="1" applyAlignment="1">
      <alignment horizontal="center"/>
    </xf>
    <xf numFmtId="171" fontId="9" fillId="0" borderId="0" xfId="0" applyNumberFormat="1" applyFont="1"/>
    <xf numFmtId="171" fontId="45" fillId="0" borderId="0" xfId="0" applyNumberFormat="1" applyFont="1" applyAlignment="1">
      <alignment horizontal="right"/>
    </xf>
    <xf numFmtId="0" fontId="9" fillId="4" borderId="0" xfId="0" applyFont="1" applyFill="1" applyAlignment="1">
      <alignment vertical="center"/>
    </xf>
    <xf numFmtId="0" fontId="42" fillId="5" borderId="0" xfId="0" applyFont="1" applyFill="1"/>
    <xf numFmtId="0" fontId="49" fillId="0" borderId="0" xfId="0" applyFont="1"/>
    <xf numFmtId="0" fontId="14" fillId="7" borderId="24" xfId="0" applyFont="1" applyFill="1" applyBorder="1" applyAlignment="1">
      <alignment horizontal="center" vertical="center" wrapText="1"/>
    </xf>
    <xf numFmtId="0" fontId="14" fillId="7" borderId="15" xfId="0" applyFont="1" applyFill="1" applyBorder="1" applyAlignment="1">
      <alignment horizontal="center" vertical="top" wrapText="1"/>
    </xf>
    <xf numFmtId="0" fontId="14" fillId="7" borderId="23" xfId="0" applyFont="1" applyFill="1" applyBorder="1" applyAlignment="1">
      <alignment horizontal="center" vertical="top" wrapText="1"/>
    </xf>
    <xf numFmtId="166" fontId="26" fillId="6" borderId="24" xfId="1" applyNumberFormat="1" applyFont="1" applyFill="1" applyBorder="1" applyAlignment="1" applyProtection="1">
      <alignment horizontal="center" vertical="center"/>
    </xf>
    <xf numFmtId="0" fontId="14" fillId="7" borderId="37" xfId="0" applyFont="1" applyFill="1" applyBorder="1" applyAlignment="1">
      <alignment horizontal="center" vertical="center" wrapText="1"/>
    </xf>
    <xf numFmtId="9" fontId="26" fillId="6" borderId="37" xfId="1" applyFont="1" applyFill="1" applyBorder="1" applyAlignment="1" applyProtection="1">
      <alignment horizontal="center" vertical="center"/>
    </xf>
    <xf numFmtId="9" fontId="26" fillId="6" borderId="16" xfId="1" applyFont="1" applyFill="1" applyBorder="1" applyAlignment="1" applyProtection="1">
      <alignment horizontal="center" vertical="center"/>
    </xf>
    <xf numFmtId="9" fontId="26" fillId="6" borderId="24" xfId="1" applyFont="1" applyFill="1" applyBorder="1" applyAlignment="1" applyProtection="1">
      <alignment horizontal="center" vertical="center"/>
    </xf>
    <xf numFmtId="9" fontId="26" fillId="6" borderId="26" xfId="1" applyFont="1" applyFill="1" applyBorder="1" applyAlignment="1" applyProtection="1">
      <alignment horizontal="center" vertical="center"/>
    </xf>
    <xf numFmtId="0" fontId="0" fillId="0" borderId="16" xfId="0" applyBorder="1"/>
    <xf numFmtId="10" fontId="26" fillId="4" borderId="24" xfId="1" applyNumberFormat="1" applyFont="1" applyFill="1" applyBorder="1" applyAlignment="1" applyProtection="1">
      <alignment horizontal="center" vertical="center"/>
      <protection locked="0"/>
    </xf>
    <xf numFmtId="0" fontId="15" fillId="4" borderId="0" xfId="0" applyFont="1" applyFill="1" applyAlignment="1">
      <alignment vertical="center"/>
    </xf>
    <xf numFmtId="0" fontId="37" fillId="5" borderId="0" xfId="0" applyFont="1" applyFill="1"/>
    <xf numFmtId="0" fontId="3" fillId="0" borderId="0" xfId="0" applyFont="1"/>
    <xf numFmtId="9" fontId="3" fillId="0" borderId="0" xfId="1" applyFont="1" applyFill="1" applyAlignment="1" applyProtection="1">
      <alignment horizontal="center"/>
    </xf>
    <xf numFmtId="1" fontId="3" fillId="0" borderId="0" xfId="0" applyNumberFormat="1" applyFont="1"/>
    <xf numFmtId="164" fontId="3" fillId="0" borderId="0" xfId="0" applyNumberFormat="1" applyFont="1"/>
    <xf numFmtId="164" fontId="3" fillId="0" borderId="0" xfId="0" applyNumberFormat="1" applyFont="1" applyAlignment="1">
      <alignment horizontal="center"/>
    </xf>
    <xf numFmtId="0" fontId="15" fillId="0" borderId="0" xfId="0" applyFont="1"/>
    <xf numFmtId="0" fontId="46" fillId="0" borderId="0" xfId="0" applyFont="1" applyAlignment="1">
      <alignment horizontal="left"/>
    </xf>
    <xf numFmtId="0" fontId="75" fillId="0" borderId="0" xfId="0" applyFont="1"/>
    <xf numFmtId="0" fontId="76" fillId="0" borderId="0" xfId="0" applyFont="1"/>
    <xf numFmtId="0" fontId="15" fillId="0" borderId="0" xfId="0" applyFont="1" applyAlignment="1">
      <alignment vertical="center"/>
    </xf>
    <xf numFmtId="0" fontId="61" fillId="0" borderId="0" xfId="0" applyFont="1" applyAlignment="1">
      <alignment horizontal="left" vertical="center"/>
    </xf>
    <xf numFmtId="0" fontId="53" fillId="0" borderId="0" xfId="0" applyFont="1"/>
    <xf numFmtId="0" fontId="35" fillId="0" borderId="0" xfId="0" applyFont="1" applyAlignment="1">
      <alignment horizontal="center"/>
    </xf>
    <xf numFmtId="9" fontId="53" fillId="0" borderId="0" xfId="1" applyFont="1" applyFill="1" applyAlignment="1" applyProtection="1">
      <alignment horizontal="center"/>
    </xf>
    <xf numFmtId="1" fontId="53" fillId="0" borderId="0" xfId="0" applyNumberFormat="1" applyFont="1"/>
    <xf numFmtId="164" fontId="53" fillId="0" borderId="0" xfId="0" applyNumberFormat="1" applyFont="1"/>
    <xf numFmtId="164" fontId="53" fillId="0" borderId="0" xfId="0" applyNumberFormat="1" applyFont="1" applyAlignment="1">
      <alignment horizontal="center"/>
    </xf>
    <xf numFmtId="0" fontId="54" fillId="0" borderId="0" xfId="0" applyFont="1"/>
    <xf numFmtId="0" fontId="60" fillId="0" borderId="0" xfId="0" applyFont="1" applyAlignment="1">
      <alignment horizontal="left" vertical="center"/>
    </xf>
    <xf numFmtId="9" fontId="30" fillId="0" borderId="0" xfId="1" applyFont="1" applyFill="1" applyAlignment="1" applyProtection="1">
      <alignment horizontal="left"/>
    </xf>
    <xf numFmtId="0" fontId="3" fillId="0" borderId="0" xfId="0" applyFont="1" applyAlignment="1">
      <alignment horizontal="center" vertical="center"/>
    </xf>
    <xf numFmtId="1"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15" fillId="0" borderId="0" xfId="0" applyFont="1" applyAlignment="1">
      <alignment horizontal="center" vertical="center"/>
    </xf>
    <xf numFmtId="0" fontId="62" fillId="0" borderId="0" xfId="0" applyFont="1"/>
    <xf numFmtId="164" fontId="6" fillId="2" borderId="0" xfId="0" applyNumberFormat="1" applyFont="1" applyFill="1"/>
    <xf numFmtId="1" fontId="6" fillId="2" borderId="0" xfId="0" applyNumberFormat="1" applyFont="1" applyFill="1"/>
    <xf numFmtId="164" fontId="6" fillId="2" borderId="0" xfId="0" applyNumberFormat="1" applyFont="1" applyFill="1" applyAlignment="1">
      <alignment horizontal="center"/>
    </xf>
    <xf numFmtId="0" fontId="15" fillId="2" borderId="0" xfId="0" applyFont="1" applyFill="1"/>
    <xf numFmtId="0" fontId="6" fillId="2" borderId="0" xfId="0" applyFont="1" applyFill="1" applyAlignment="1">
      <alignment horizontal="center"/>
    </xf>
    <xf numFmtId="9" fontId="6" fillId="2" borderId="0" xfId="1" applyFont="1" applyFill="1" applyAlignment="1" applyProtection="1">
      <alignment horizontal="center"/>
    </xf>
    <xf numFmtId="0" fontId="8" fillId="6" borderId="15" xfId="0" applyFont="1" applyFill="1" applyBorder="1" applyAlignment="1" applyProtection="1">
      <alignment horizontal="left" vertical="center"/>
      <protection locked="0"/>
    </xf>
    <xf numFmtId="166" fontId="8" fillId="6" borderId="15"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horizontal="center" vertical="center"/>
      <protection locked="0"/>
    </xf>
    <xf numFmtId="3" fontId="8" fillId="6" borderId="15" xfId="0" applyNumberFormat="1" applyFont="1" applyFill="1" applyBorder="1" applyAlignment="1" applyProtection="1">
      <alignment horizontal="left" vertical="center"/>
      <protection locked="0"/>
    </xf>
    <xf numFmtId="0" fontId="8" fillId="6" borderId="15" xfId="0" applyFont="1" applyFill="1" applyBorder="1" applyAlignment="1" applyProtection="1">
      <alignment vertical="center"/>
      <protection locked="0"/>
    </xf>
    <xf numFmtId="0" fontId="1" fillId="0" borderId="16" xfId="0" applyFont="1" applyBorder="1"/>
    <xf numFmtId="0" fontId="27" fillId="0" borderId="16" xfId="0" applyFont="1" applyBorder="1" applyAlignment="1">
      <alignment vertical="center"/>
    </xf>
    <xf numFmtId="0" fontId="20" fillId="0" borderId="0" xfId="0" applyFont="1" applyAlignment="1">
      <alignment horizontal="right" vertical="center"/>
    </xf>
    <xf numFmtId="0" fontId="27" fillId="0" borderId="0" xfId="0" applyFont="1" applyAlignment="1" applyProtection="1">
      <alignment vertical="center"/>
      <protection locked="0"/>
    </xf>
    <xf numFmtId="0" fontId="27" fillId="0" borderId="16" xfId="0" applyFont="1" applyBorder="1" applyAlignment="1" applyProtection="1">
      <alignment vertical="center"/>
      <protection locked="0"/>
    </xf>
    <xf numFmtId="0" fontId="12" fillId="0" borderId="0" xfId="0" applyFont="1"/>
    <xf numFmtId="0" fontId="38" fillId="0" borderId="0" xfId="0" applyFont="1" applyAlignment="1">
      <alignment horizontal="right" vertical="center"/>
    </xf>
    <xf numFmtId="43" fontId="13" fillId="0" borderId="0" xfId="3" applyNumberFormat="1" applyFont="1" applyFill="1" applyBorder="1" applyAlignment="1" applyProtection="1">
      <alignment horizontal="center" vertical="center"/>
    </xf>
    <xf numFmtId="9" fontId="26" fillId="6" borderId="15" xfId="1" applyFont="1" applyFill="1" applyBorder="1" applyAlignment="1" applyProtection="1">
      <alignment horizontal="center" vertical="center"/>
    </xf>
    <xf numFmtId="0" fontId="38" fillId="0" borderId="0" xfId="0" applyFont="1" applyAlignment="1">
      <alignment horizontal="center" vertical="center"/>
    </xf>
    <xf numFmtId="0" fontId="39" fillId="0" borderId="20" xfId="0" applyFont="1" applyBorder="1" applyAlignment="1">
      <alignment horizontal="right"/>
    </xf>
    <xf numFmtId="0" fontId="1" fillId="0" borderId="42" xfId="0" applyFont="1" applyBorder="1"/>
    <xf numFmtId="0" fontId="39" fillId="0" borderId="44" xfId="0" applyFont="1" applyBorder="1" applyAlignment="1">
      <alignment horizontal="right"/>
    </xf>
    <xf numFmtId="0" fontId="39" fillId="0" borderId="28" xfId="0" applyFont="1" applyBorder="1" applyAlignment="1">
      <alignment horizontal="right"/>
    </xf>
    <xf numFmtId="0" fontId="41" fillId="0" borderId="0" xfId="0" applyFont="1"/>
    <xf numFmtId="0" fontId="0" fillId="0" borderId="0" xfId="0" applyAlignment="1">
      <alignment horizontal="center"/>
    </xf>
    <xf numFmtId="0" fontId="58" fillId="0" borderId="0" xfId="0" applyFont="1" applyAlignment="1">
      <alignment horizontal="right"/>
    </xf>
    <xf numFmtId="0" fontId="30" fillId="0" borderId="0" xfId="0" applyFont="1" applyAlignment="1">
      <alignment horizontal="left"/>
    </xf>
    <xf numFmtId="0" fontId="1" fillId="2" borderId="0" xfId="0" applyFont="1" applyFill="1" applyAlignment="1">
      <alignment horizontal="center"/>
    </xf>
    <xf numFmtId="0" fontId="55" fillId="2" borderId="0" xfId="0" applyFont="1" applyFill="1" applyAlignment="1">
      <alignment horizontal="left"/>
    </xf>
    <xf numFmtId="0" fontId="9" fillId="2" borderId="0" xfId="0" applyFont="1" applyFill="1"/>
    <xf numFmtId="0" fontId="43" fillId="2" borderId="0" xfId="0" applyFont="1" applyFill="1" applyAlignment="1">
      <alignment horizontal="left"/>
    </xf>
    <xf numFmtId="0" fontId="50" fillId="2" borderId="0" xfId="0" applyFont="1" applyFill="1" applyAlignment="1">
      <alignment horizontal="left"/>
    </xf>
    <xf numFmtId="0" fontId="82" fillId="2" borderId="0" xfId="0" applyFont="1" applyFill="1" applyAlignment="1">
      <alignment horizontal="left"/>
    </xf>
    <xf numFmtId="0" fontId="29" fillId="0" borderId="0" xfId="0" applyFont="1" applyAlignment="1">
      <alignment horizontal="left" vertical="center"/>
    </xf>
    <xf numFmtId="0" fontId="14" fillId="7" borderId="29" xfId="0" applyFont="1" applyFill="1" applyBorder="1" applyAlignment="1">
      <alignment horizontal="center" vertical="center" wrapText="1"/>
    </xf>
    <xf numFmtId="0" fontId="14" fillId="7" borderId="20" xfId="0" applyFont="1" applyFill="1" applyBorder="1" applyAlignment="1">
      <alignment horizontal="center" vertical="center" wrapText="1"/>
    </xf>
    <xf numFmtId="0" fontId="14" fillId="7" borderId="29" xfId="0" applyFont="1" applyFill="1" applyBorder="1" applyAlignment="1">
      <alignment vertical="center" wrapText="1"/>
    </xf>
    <xf numFmtId="0" fontId="14" fillId="7" borderId="30" xfId="0" applyFont="1" applyFill="1" applyBorder="1"/>
    <xf numFmtId="0" fontId="14" fillId="7" borderId="31" xfId="0" applyFont="1" applyFill="1" applyBorder="1"/>
    <xf numFmtId="0" fontId="14" fillId="7" borderId="34" xfId="0" applyFont="1" applyFill="1" applyBorder="1" applyAlignment="1">
      <alignment vertical="center" wrapText="1"/>
    </xf>
    <xf numFmtId="0" fontId="1" fillId="0" borderId="15" xfId="0" applyFont="1" applyBorder="1" applyAlignment="1">
      <alignment horizontal="center"/>
    </xf>
    <xf numFmtId="0" fontId="26" fillId="6" borderId="24" xfId="1" applyNumberFormat="1" applyFont="1" applyFill="1" applyBorder="1" applyAlignment="1" applyProtection="1">
      <alignment horizontal="center" vertical="center"/>
    </xf>
    <xf numFmtId="0" fontId="14" fillId="7" borderId="15" xfId="0" applyFont="1" applyFill="1" applyBorder="1" applyAlignment="1">
      <alignment horizontal="center" vertical="center" wrapText="1"/>
    </xf>
    <xf numFmtId="0" fontId="14" fillId="7" borderId="33" xfId="0" applyFont="1" applyFill="1" applyBorder="1" applyAlignment="1">
      <alignment vertical="center"/>
    </xf>
    <xf numFmtId="0" fontId="14" fillId="7" borderId="31" xfId="0" applyFont="1" applyFill="1" applyBorder="1" applyAlignment="1">
      <alignment vertical="center"/>
    </xf>
    <xf numFmtId="0" fontId="6" fillId="0" borderId="0" xfId="0" applyFont="1" applyAlignment="1">
      <alignment horizontal="center"/>
    </xf>
    <xf numFmtId="0" fontId="1" fillId="2" borderId="0" xfId="0" applyFont="1" applyFill="1" applyAlignment="1">
      <alignment horizontal="center" wrapText="1"/>
    </xf>
    <xf numFmtId="0" fontId="27" fillId="0" borderId="0" xfId="0" applyFont="1" applyAlignment="1">
      <alignment vertical="top" wrapText="1"/>
    </xf>
    <xf numFmtId="0" fontId="83" fillId="0" borderId="0" xfId="0" applyFont="1" applyAlignment="1">
      <alignment horizontal="center" vertical="center"/>
    </xf>
    <xf numFmtId="10" fontId="26" fillId="4" borderId="37" xfId="1" applyNumberFormat="1" applyFont="1" applyFill="1" applyBorder="1" applyAlignment="1" applyProtection="1">
      <alignment horizontal="center" vertical="center"/>
      <protection locked="0"/>
    </xf>
    <xf numFmtId="10" fontId="26" fillId="4" borderId="47" xfId="1" applyNumberFormat="1" applyFont="1" applyFill="1" applyBorder="1" applyAlignment="1" applyProtection="1">
      <alignment horizontal="center" vertical="center"/>
      <protection locked="0"/>
    </xf>
    <xf numFmtId="0" fontId="14" fillId="7" borderId="51" xfId="0" applyFont="1" applyFill="1" applyBorder="1" applyAlignment="1">
      <alignment horizontal="center" vertical="center" wrapText="1"/>
    </xf>
    <xf numFmtId="0" fontId="84" fillId="2" borderId="0" xfId="0" applyFont="1" applyFill="1"/>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11" xfId="0" applyNumberFormat="1" applyFont="1" applyBorder="1" applyAlignment="1">
      <alignment horizontal="center" vertical="center"/>
    </xf>
    <xf numFmtId="0" fontId="43" fillId="2" borderId="0" xfId="0" applyFont="1" applyFill="1" applyAlignment="1">
      <alignment wrapText="1"/>
    </xf>
    <xf numFmtId="172" fontId="26" fillId="6" borderId="15" xfId="1" applyNumberFormat="1" applyFont="1" applyFill="1" applyBorder="1" applyAlignment="1" applyProtection="1">
      <alignment horizontal="center" vertical="center"/>
      <protection locked="0"/>
    </xf>
    <xf numFmtId="172" fontId="26" fillId="6" borderId="15" xfId="1" applyNumberFormat="1" applyFont="1" applyFill="1" applyBorder="1" applyAlignment="1" applyProtection="1">
      <alignment horizontal="center" vertical="center"/>
    </xf>
    <xf numFmtId="172" fontId="1" fillId="0" borderId="0" xfId="0" applyNumberFormat="1" applyFont="1"/>
    <xf numFmtId="172" fontId="26" fillId="6" borderId="45" xfId="1" applyNumberFormat="1" applyFont="1" applyFill="1" applyBorder="1" applyAlignment="1" applyProtection="1">
      <alignment horizontal="center" vertical="center"/>
    </xf>
    <xf numFmtId="172" fontId="1" fillId="0" borderId="42" xfId="0" applyNumberFormat="1" applyFont="1" applyBorder="1"/>
    <xf numFmtId="172" fontId="26" fillId="6" borderId="43" xfId="1" applyNumberFormat="1" applyFont="1" applyFill="1" applyBorder="1" applyAlignment="1" applyProtection="1">
      <alignment horizontal="center" vertical="center"/>
    </xf>
    <xf numFmtId="172" fontId="6" fillId="0" borderId="0" xfId="0" applyNumberFormat="1" applyFont="1"/>
    <xf numFmtId="0" fontId="0" fillId="13" borderId="0" xfId="0" applyFill="1"/>
    <xf numFmtId="167" fontId="0" fillId="0" borderId="0" xfId="0" applyNumberFormat="1"/>
    <xf numFmtId="0" fontId="88" fillId="4" borderId="0" xfId="0" applyFont="1" applyFill="1" applyAlignment="1">
      <alignment horizontal="left" vertical="center"/>
    </xf>
    <xf numFmtId="0" fontId="89" fillId="4" borderId="0" xfId="0" applyFont="1" applyFill="1"/>
    <xf numFmtId="0" fontId="0" fillId="4" borderId="0" xfId="0" applyFill="1"/>
    <xf numFmtId="0" fontId="0" fillId="2" borderId="0" xfId="0" applyFill="1"/>
    <xf numFmtId="167" fontId="0" fillId="4" borderId="0" xfId="0" applyNumberFormat="1" applyFill="1"/>
    <xf numFmtId="167" fontId="0" fillId="2" borderId="0" xfId="0" applyNumberFormat="1" applyFill="1"/>
    <xf numFmtId="0" fontId="29" fillId="2" borderId="0" xfId="0" applyFont="1" applyFill="1" applyAlignment="1">
      <alignment horizontal="center"/>
    </xf>
    <xf numFmtId="0" fontId="87" fillId="4" borderId="53" xfId="0" applyFont="1" applyFill="1" applyBorder="1" applyAlignment="1" applyProtection="1">
      <alignment vertical="center"/>
      <protection locked="0"/>
    </xf>
    <xf numFmtId="0" fontId="21" fillId="4" borderId="53" xfId="0" applyFont="1" applyFill="1" applyBorder="1" applyAlignment="1" applyProtection="1">
      <alignment vertical="center"/>
      <protection locked="0"/>
    </xf>
    <xf numFmtId="0" fontId="1" fillId="4" borderId="53" xfId="0" applyFont="1" applyFill="1" applyBorder="1" applyAlignment="1" applyProtection="1">
      <alignment horizontal="center" vertical="center"/>
      <protection locked="0"/>
    </xf>
    <xf numFmtId="0" fontId="1" fillId="4" borderId="53" xfId="0" applyFont="1" applyFill="1" applyBorder="1" applyAlignment="1" applyProtection="1">
      <alignment vertical="center"/>
      <protection locked="0"/>
    </xf>
    <xf numFmtId="0" fontId="6" fillId="4" borderId="53" xfId="0" applyFont="1" applyFill="1" applyBorder="1" applyAlignment="1" applyProtection="1">
      <alignment vertical="center"/>
      <protection locked="0"/>
    </xf>
    <xf numFmtId="0" fontId="0" fillId="4" borderId="53" xfId="0" applyFill="1" applyBorder="1"/>
    <xf numFmtId="0" fontId="87" fillId="4" borderId="54" xfId="0" applyFont="1" applyFill="1" applyBorder="1" applyAlignment="1" applyProtection="1">
      <alignment vertical="center"/>
      <protection locked="0"/>
    </xf>
    <xf numFmtId="0" fontId="6" fillId="4" borderId="54" xfId="0" applyFont="1" applyFill="1" applyBorder="1" applyAlignment="1" applyProtection="1">
      <alignment vertical="center"/>
      <protection locked="0"/>
    </xf>
    <xf numFmtId="0" fontId="0" fillId="4" borderId="54" xfId="0" applyFill="1" applyBorder="1"/>
    <xf numFmtId="0" fontId="76" fillId="2" borderId="55" xfId="0" applyFont="1" applyFill="1" applyBorder="1" applyAlignment="1">
      <alignment horizontal="center"/>
    </xf>
    <xf numFmtId="0" fontId="0" fillId="2" borderId="56" xfId="0" applyFill="1" applyBorder="1"/>
    <xf numFmtId="0" fontId="76" fillId="2" borderId="58" xfId="0" applyFont="1" applyFill="1" applyBorder="1" applyAlignment="1">
      <alignment horizontal="center"/>
    </xf>
    <xf numFmtId="1" fontId="29" fillId="2" borderId="0" xfId="0" applyNumberFormat="1" applyFont="1" applyFill="1" applyAlignment="1">
      <alignment horizontal="center"/>
    </xf>
    <xf numFmtId="0" fontId="76" fillId="2" borderId="0" xfId="0" applyFont="1" applyFill="1" applyAlignment="1">
      <alignment horizontal="center" wrapText="1"/>
    </xf>
    <xf numFmtId="167" fontId="29" fillId="2" borderId="0" xfId="0" applyNumberFormat="1" applyFont="1" applyFill="1" applyAlignment="1">
      <alignment horizontal="center"/>
    </xf>
    <xf numFmtId="175" fontId="0" fillId="6" borderId="0" xfId="0" quotePrefix="1" applyNumberFormat="1" applyFill="1" applyAlignment="1">
      <alignment horizontal="center"/>
    </xf>
    <xf numFmtId="175" fontId="0" fillId="2" borderId="0" xfId="0" quotePrefix="1" applyNumberFormat="1" applyFill="1" applyAlignment="1">
      <alignment horizontal="center"/>
    </xf>
    <xf numFmtId="175" fontId="0" fillId="6" borderId="0" xfId="0" applyNumberFormat="1" applyFill="1" applyAlignment="1">
      <alignment horizontal="center"/>
    </xf>
    <xf numFmtId="0" fontId="29" fillId="2" borderId="58" xfId="0" applyFont="1" applyFill="1" applyBorder="1" applyAlignment="1">
      <alignment horizontal="center"/>
    </xf>
    <xf numFmtId="0" fontId="76" fillId="2" borderId="60" xfId="0" applyFont="1" applyFill="1" applyBorder="1" applyAlignment="1">
      <alignment horizontal="center"/>
    </xf>
    <xf numFmtId="0" fontId="89" fillId="2" borderId="0" xfId="0" applyFont="1" applyFill="1"/>
    <xf numFmtId="0" fontId="56" fillId="2" borderId="0" xfId="0" applyFont="1" applyFill="1" applyProtection="1">
      <protection locked="0"/>
    </xf>
    <xf numFmtId="0" fontId="6" fillId="2" borderId="0" xfId="0" applyFont="1" applyFill="1" applyProtection="1">
      <protection locked="0"/>
    </xf>
    <xf numFmtId="0" fontId="6" fillId="2" borderId="0" xfId="0" applyFont="1" applyFill="1" applyAlignment="1">
      <alignment vertical="center"/>
    </xf>
    <xf numFmtId="174" fontId="76" fillId="6" borderId="0" xfId="5" applyNumberFormat="1" applyFont="1" applyFill="1" applyAlignment="1" applyProtection="1">
      <alignment horizontal="center"/>
      <protection locked="0"/>
    </xf>
    <xf numFmtId="0" fontId="0" fillId="2" borderId="57" xfId="0" applyFill="1" applyBorder="1"/>
    <xf numFmtId="0" fontId="4" fillId="4" borderId="0" xfId="5" applyFont="1" applyFill="1" applyProtection="1">
      <protection locked="0"/>
    </xf>
    <xf numFmtId="0" fontId="85" fillId="4" borderId="0" xfId="5" applyFont="1" applyFill="1" applyProtection="1">
      <protection locked="0"/>
    </xf>
    <xf numFmtId="0" fontId="39" fillId="0" borderId="0" xfId="0" applyFont="1" applyAlignment="1">
      <alignment horizontal="right"/>
    </xf>
    <xf numFmtId="0" fontId="29" fillId="2" borderId="0" xfId="5" applyFont="1" applyFill="1" applyAlignment="1" applyProtection="1">
      <alignment horizontal="right"/>
      <protection locked="0"/>
    </xf>
    <xf numFmtId="2" fontId="91" fillId="0" borderId="15" xfId="0" applyNumberFormat="1" applyFont="1" applyBorder="1" applyAlignment="1">
      <alignment horizontal="center" vertical="center"/>
    </xf>
    <xf numFmtId="0" fontId="91" fillId="0" borderId="15" xfId="0" applyFont="1" applyBorder="1" applyAlignment="1">
      <alignment horizontal="center" vertical="center"/>
    </xf>
    <xf numFmtId="0" fontId="0" fillId="2" borderId="0" xfId="0" applyFill="1" applyAlignment="1">
      <alignment horizontal="center"/>
    </xf>
    <xf numFmtId="0" fontId="0" fillId="2" borderId="59" xfId="0" applyFill="1" applyBorder="1" applyAlignment="1">
      <alignment horizontal="center"/>
    </xf>
    <xf numFmtId="0" fontId="4" fillId="4" borderId="0" xfId="5" applyFont="1" applyFill="1" applyAlignment="1" applyProtection="1">
      <alignment horizontal="center"/>
      <protection locked="0"/>
    </xf>
    <xf numFmtId="175" fontId="0" fillId="0" borderId="0" xfId="0" applyNumberFormat="1" applyAlignment="1">
      <alignment horizontal="center"/>
    </xf>
    <xf numFmtId="175" fontId="0" fillId="2" borderId="0" xfId="0" applyNumberFormat="1" applyFill="1" applyAlignment="1">
      <alignment horizontal="center"/>
    </xf>
    <xf numFmtId="175" fontId="4" fillId="6" borderId="0" xfId="6" applyNumberFormat="1" applyFont="1" applyFill="1" applyBorder="1" applyAlignment="1" applyProtection="1">
      <alignment horizontal="center"/>
      <protection locked="0"/>
    </xf>
    <xf numFmtId="167" fontId="0" fillId="2" borderId="0" xfId="0" applyNumberFormat="1" applyFill="1" applyAlignment="1">
      <alignment horizontal="center"/>
    </xf>
    <xf numFmtId="175" fontId="4" fillId="6" borderId="0" xfId="5" applyNumberFormat="1" applyFont="1" applyFill="1" applyAlignment="1" applyProtection="1">
      <alignment horizontal="center"/>
      <protection locked="0"/>
    </xf>
    <xf numFmtId="167" fontId="0" fillId="2" borderId="54" xfId="0" applyNumberFormat="1" applyFill="1" applyBorder="1" applyAlignment="1">
      <alignment horizontal="center"/>
    </xf>
    <xf numFmtId="0" fontId="0" fillId="2" borderId="54" xfId="0" applyFill="1" applyBorder="1" applyAlignment="1">
      <alignment horizontal="center"/>
    </xf>
    <xf numFmtId="0" fontId="0" fillId="2" borderId="61" xfId="0" applyFill="1" applyBorder="1" applyAlignment="1">
      <alignment horizontal="center"/>
    </xf>
    <xf numFmtId="0" fontId="0" fillId="4" borderId="0" xfId="0" applyFill="1" applyAlignment="1">
      <alignment horizontal="center"/>
    </xf>
    <xf numFmtId="0" fontId="4" fillId="6" borderId="0" xfId="5" applyFont="1" applyFill="1" applyAlignment="1" applyProtection="1">
      <alignment horizontal="center"/>
      <protection locked="0"/>
    </xf>
    <xf numFmtId="0" fontId="65" fillId="0" borderId="0" xfId="0" applyFont="1" applyAlignment="1">
      <alignment vertical="center" wrapText="1"/>
    </xf>
    <xf numFmtId="0" fontId="7" fillId="2" borderId="0" xfId="0" applyFont="1" applyFill="1"/>
    <xf numFmtId="0" fontId="1" fillId="4" borderId="46" xfId="0" applyFont="1" applyFill="1" applyBorder="1" applyAlignment="1" applyProtection="1">
      <alignment horizontal="center" vertical="center"/>
      <protection locked="0"/>
    </xf>
    <xf numFmtId="0" fontId="1" fillId="4" borderId="46" xfId="0" applyFont="1" applyFill="1" applyBorder="1" applyAlignment="1" applyProtection="1">
      <alignment horizontal="center"/>
      <protection locked="0"/>
    </xf>
    <xf numFmtId="3" fontId="26" fillId="6" borderId="26" xfId="1" quotePrefix="1" applyNumberFormat="1" applyFont="1" applyFill="1" applyBorder="1" applyAlignment="1" applyProtection="1">
      <alignment horizontal="center" vertical="center"/>
      <protection locked="0"/>
    </xf>
    <xf numFmtId="3" fontId="36" fillId="6" borderId="15" xfId="1" applyNumberFormat="1" applyFont="1" applyFill="1" applyBorder="1" applyAlignment="1" applyProtection="1">
      <alignment horizontal="center" vertical="center"/>
      <protection locked="0"/>
    </xf>
    <xf numFmtId="2" fontId="8" fillId="4" borderId="15" xfId="0" applyNumberFormat="1" applyFont="1" applyFill="1" applyBorder="1" applyAlignment="1" applyProtection="1">
      <alignment horizontal="center" vertical="center"/>
      <protection locked="0"/>
    </xf>
    <xf numFmtId="10" fontId="26" fillId="4" borderId="15" xfId="1" applyNumberFormat="1" applyFont="1" applyFill="1" applyBorder="1" applyAlignment="1" applyProtection="1">
      <alignment horizontal="center" vertical="center"/>
      <protection locked="0"/>
    </xf>
    <xf numFmtId="3" fontId="1" fillId="0" borderId="10" xfId="0" applyNumberFormat="1" applyFont="1" applyBorder="1" applyAlignment="1">
      <alignment horizontal="center" vertical="center"/>
    </xf>
    <xf numFmtId="3" fontId="1" fillId="0" borderId="12" xfId="0" applyNumberFormat="1" applyFont="1" applyBorder="1" applyAlignment="1">
      <alignment horizontal="center" vertical="center"/>
    </xf>
    <xf numFmtId="5" fontId="1" fillId="0" borderId="11" xfId="0" applyNumberFormat="1" applyFont="1" applyBorder="1" applyAlignment="1">
      <alignment horizontal="center" vertical="center"/>
    </xf>
    <xf numFmtId="5" fontId="1" fillId="0" borderId="12" xfId="0" applyNumberFormat="1" applyFont="1" applyBorder="1" applyAlignment="1">
      <alignment horizontal="center" vertical="center"/>
    </xf>
    <xf numFmtId="172" fontId="26" fillId="0" borderId="0" xfId="1" applyNumberFormat="1" applyFont="1" applyFill="1" applyBorder="1" applyAlignment="1" applyProtection="1">
      <alignment horizontal="center" vertical="center"/>
    </xf>
    <xf numFmtId="0" fontId="11" fillId="4" borderId="15" xfId="0" applyFont="1" applyFill="1" applyBorder="1" applyAlignment="1" applyProtection="1">
      <alignment horizontal="center" vertical="center"/>
      <protection locked="0"/>
    </xf>
    <xf numFmtId="0" fontId="8" fillId="4" borderId="15" xfId="0" applyFont="1" applyFill="1" applyBorder="1" applyAlignment="1" applyProtection="1">
      <alignment horizontal="center" vertical="center"/>
      <protection locked="0"/>
    </xf>
    <xf numFmtId="0" fontId="8" fillId="6" borderId="15" xfId="0" applyFont="1" applyFill="1" applyBorder="1" applyAlignment="1">
      <alignment horizontal="left" vertical="center"/>
    </xf>
    <xf numFmtId="165" fontId="8" fillId="6" borderId="15" xfId="0" applyNumberFormat="1" applyFont="1" applyFill="1" applyBorder="1" applyAlignment="1">
      <alignment horizontal="center" vertical="center"/>
    </xf>
    <xf numFmtId="2" fontId="8" fillId="6" borderId="15" xfId="0" applyNumberFormat="1" applyFont="1" applyFill="1" applyBorder="1" applyAlignment="1">
      <alignment horizontal="center" vertical="center"/>
    </xf>
    <xf numFmtId="0" fontId="10" fillId="6" borderId="15" xfId="0" applyFont="1" applyFill="1" applyBorder="1" applyAlignment="1">
      <alignment horizontal="center" vertical="center"/>
    </xf>
    <xf numFmtId="166" fontId="10" fillId="6" borderId="15" xfId="0" applyNumberFormat="1" applyFont="1" applyFill="1" applyBorder="1" applyAlignment="1">
      <alignment horizontal="center" vertical="center"/>
    </xf>
    <xf numFmtId="165" fontId="10" fillId="6" borderId="15" xfId="0" applyNumberFormat="1" applyFont="1" applyFill="1" applyBorder="1" applyAlignment="1">
      <alignment horizontal="center" vertical="center"/>
    </xf>
    <xf numFmtId="175" fontId="8" fillId="6" borderId="15" xfId="0" applyNumberFormat="1" applyFont="1" applyFill="1" applyBorder="1" applyAlignment="1">
      <alignment horizontal="center" vertical="center"/>
    </xf>
    <xf numFmtId="0" fontId="8" fillId="6" borderId="15" xfId="0" applyFont="1" applyFill="1" applyBorder="1" applyAlignment="1">
      <alignment vertical="center"/>
    </xf>
    <xf numFmtId="0" fontId="90" fillId="4" borderId="0" xfId="0" applyFont="1" applyFill="1" applyAlignment="1" applyProtection="1">
      <alignment horizontal="center" vertical="center"/>
      <protection locked="0"/>
    </xf>
    <xf numFmtId="0" fontId="42" fillId="5" borderId="0" xfId="0" applyFont="1" applyFill="1" applyAlignment="1">
      <alignment vertical="center"/>
    </xf>
    <xf numFmtId="166" fontId="92" fillId="0" borderId="0" xfId="0" applyNumberFormat="1" applyFont="1" applyAlignment="1" applyProtection="1">
      <alignment horizontal="center" vertical="center"/>
      <protection locked="0"/>
    </xf>
    <xf numFmtId="0" fontId="9" fillId="0" borderId="0" xfId="0" applyFont="1" applyProtection="1">
      <protection locked="0"/>
    </xf>
    <xf numFmtId="0" fontId="23" fillId="0" borderId="0" xfId="0" applyFont="1" applyAlignment="1">
      <alignment horizontal="center"/>
    </xf>
    <xf numFmtId="0" fontId="65" fillId="0" borderId="0" xfId="0" applyFont="1" applyAlignment="1">
      <alignment horizontal="center" vertical="center" wrapText="1"/>
    </xf>
    <xf numFmtId="0" fontId="29" fillId="0" borderId="0" xfId="0" applyFont="1" applyAlignment="1">
      <alignment horizontal="right" vertical="top" wrapText="1"/>
    </xf>
    <xf numFmtId="0" fontId="27" fillId="0" borderId="35"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67" fillId="0" borderId="35" xfId="0" applyFont="1" applyBorder="1" applyAlignment="1">
      <alignment horizontal="left" vertical="top" wrapText="1"/>
    </xf>
    <xf numFmtId="0" fontId="66" fillId="0" borderId="0" xfId="0" applyFont="1" applyAlignment="1">
      <alignment horizontal="right" textRotation="90" wrapText="1"/>
    </xf>
    <xf numFmtId="0" fontId="66" fillId="0" borderId="0" xfId="0" applyFont="1" applyAlignment="1">
      <alignment horizontal="right" vertical="center" textRotation="90" wrapText="1"/>
    </xf>
    <xf numFmtId="3" fontId="26" fillId="4" borderId="15" xfId="1" applyNumberFormat="1" applyFont="1" applyFill="1" applyBorder="1" applyAlignment="1" applyProtection="1">
      <alignment horizontal="center" vertical="center"/>
      <protection locked="0"/>
    </xf>
    <xf numFmtId="0" fontId="14" fillId="7" borderId="25" xfId="0" applyFont="1" applyFill="1" applyBorder="1" applyAlignment="1">
      <alignment horizontal="center"/>
    </xf>
    <xf numFmtId="0" fontId="14" fillId="7" borderId="0" xfId="0" applyFont="1" applyFill="1" applyAlignment="1">
      <alignment horizontal="center"/>
    </xf>
    <xf numFmtId="0" fontId="23" fillId="0" borderId="0" xfId="0" applyFont="1" applyAlignment="1">
      <alignment horizontal="right" vertical="center" wrapText="1"/>
    </xf>
    <xf numFmtId="0" fontId="1" fillId="4" borderId="23" xfId="0" applyFont="1" applyFill="1" applyBorder="1" applyAlignment="1" applyProtection="1">
      <alignment horizontal="center"/>
      <protection locked="0"/>
    </xf>
    <xf numFmtId="0" fontId="1" fillId="4" borderId="24" xfId="0" applyFont="1" applyFill="1" applyBorder="1" applyAlignment="1" applyProtection="1">
      <alignment horizontal="center"/>
      <protection locked="0"/>
    </xf>
    <xf numFmtId="0" fontId="26" fillId="4" borderId="17" xfId="4" applyFont="1" applyBorder="1" applyAlignment="1" applyProtection="1">
      <alignment horizontal="center" vertical="center"/>
      <protection locked="0"/>
    </xf>
    <xf numFmtId="0" fontId="26" fillId="4" borderId="18" xfId="4" applyFont="1" applyBorder="1" applyAlignment="1" applyProtection="1">
      <alignment horizontal="center" vertical="center"/>
      <protection locked="0"/>
    </xf>
    <xf numFmtId="0" fontId="26" fillId="4" borderId="19" xfId="4" applyFont="1" applyBorder="1" applyAlignment="1" applyProtection="1">
      <alignment horizontal="center" vertical="center"/>
      <protection locked="0"/>
    </xf>
    <xf numFmtId="0" fontId="30" fillId="0" borderId="16" xfId="0" applyFont="1" applyBorder="1" applyAlignment="1">
      <alignment horizontal="center" vertical="top" wrapText="1"/>
    </xf>
    <xf numFmtId="0" fontId="30" fillId="0" borderId="0" xfId="0" applyFont="1" applyAlignment="1">
      <alignment horizontal="center" vertical="top" wrapText="1"/>
    </xf>
    <xf numFmtId="0" fontId="14" fillId="7" borderId="27" xfId="0" applyFont="1" applyFill="1" applyBorder="1" applyAlignment="1">
      <alignment horizontal="center" vertical="center"/>
    </xf>
    <xf numFmtId="0" fontId="14" fillId="7" borderId="32" xfId="0" applyFont="1" applyFill="1" applyBorder="1" applyAlignment="1">
      <alignment horizontal="center" vertical="center"/>
    </xf>
    <xf numFmtId="0" fontId="23" fillId="0" borderId="0" xfId="0" applyFont="1" applyAlignment="1">
      <alignment horizontal="right" wrapText="1"/>
    </xf>
    <xf numFmtId="0" fontId="14" fillId="5" borderId="0" xfId="0" applyFont="1" applyFill="1" applyAlignment="1" applyProtection="1">
      <alignment horizontal="center" vertical="center"/>
      <protection locked="0"/>
    </xf>
    <xf numFmtId="0" fontId="14" fillId="5" borderId="40" xfId="0" applyFont="1" applyFill="1" applyBorder="1" applyAlignment="1" applyProtection="1">
      <alignment horizontal="center" vertical="center"/>
      <protection locked="0"/>
    </xf>
    <xf numFmtId="0" fontId="14" fillId="7" borderId="0" xfId="0" applyFont="1" applyFill="1" applyAlignment="1" applyProtection="1">
      <alignment horizontal="center" vertical="center" wrapText="1"/>
      <protection locked="0"/>
    </xf>
    <xf numFmtId="0" fontId="14" fillId="7" borderId="29" xfId="0" applyFont="1" applyFill="1" applyBorder="1" applyAlignment="1" applyProtection="1">
      <alignment horizontal="center" vertical="center" wrapText="1"/>
      <protection locked="0"/>
    </xf>
    <xf numFmtId="0" fontId="14" fillId="7" borderId="40" xfId="0" applyFont="1" applyFill="1" applyBorder="1" applyAlignment="1" applyProtection="1">
      <alignment horizontal="center" vertical="center" wrapText="1"/>
      <protection locked="0"/>
    </xf>
    <xf numFmtId="0" fontId="14" fillId="7" borderId="41" xfId="0" applyFont="1" applyFill="1" applyBorder="1" applyAlignment="1" applyProtection="1">
      <alignment horizontal="center" vertical="center" wrapText="1"/>
      <protection locked="0"/>
    </xf>
    <xf numFmtId="0" fontId="26" fillId="6" borderId="15" xfId="4" applyFont="1" applyFill="1" applyAlignment="1" applyProtection="1">
      <alignment horizontal="center" vertical="center"/>
      <protection locked="0"/>
    </xf>
    <xf numFmtId="0" fontId="26" fillId="4" borderId="15" xfId="4" applyFont="1" applyAlignment="1" applyProtection="1">
      <alignment horizontal="center" vertical="center"/>
      <protection locked="0"/>
    </xf>
    <xf numFmtId="0" fontId="26" fillId="4" borderId="23" xfId="4" applyFont="1" applyBorder="1" applyAlignment="1" applyProtection="1">
      <alignment horizontal="center" vertical="center"/>
      <protection locked="0"/>
    </xf>
    <xf numFmtId="0" fontId="26" fillId="4" borderId="24" xfId="4" applyFont="1" applyBorder="1" applyAlignment="1" applyProtection="1">
      <alignment horizontal="center" vertical="center"/>
      <protection locked="0"/>
    </xf>
    <xf numFmtId="0" fontId="14" fillId="12" borderId="21" xfId="0" applyFont="1" applyFill="1" applyBorder="1" applyAlignment="1" applyProtection="1">
      <alignment horizontal="center"/>
      <protection locked="0"/>
    </xf>
    <xf numFmtId="0" fontId="14" fillId="12" borderId="22" xfId="0" applyFont="1" applyFill="1" applyBorder="1" applyAlignment="1" applyProtection="1">
      <alignment horizontal="center"/>
      <protection locked="0"/>
    </xf>
    <xf numFmtId="0" fontId="26" fillId="4" borderId="62" xfId="4" applyFont="1" applyBorder="1" applyAlignment="1" applyProtection="1">
      <alignment horizontal="center" vertical="center"/>
      <protection locked="0"/>
    </xf>
    <xf numFmtId="0" fontId="26" fillId="4" borderId="63" xfId="4" applyFont="1" applyBorder="1" applyAlignment="1" applyProtection="1">
      <alignment horizontal="center" vertical="center"/>
      <protection locked="0"/>
    </xf>
    <xf numFmtId="0" fontId="14" fillId="12" borderId="39" xfId="0" applyFont="1" applyFill="1" applyBorder="1" applyAlignment="1" applyProtection="1">
      <alignment horizontal="center" vertical="center" wrapText="1"/>
      <protection locked="0"/>
    </xf>
    <xf numFmtId="0" fontId="14" fillId="12" borderId="40" xfId="0" applyFont="1" applyFill="1" applyBorder="1" applyAlignment="1" applyProtection="1">
      <alignment horizontal="center" vertical="center" wrapText="1"/>
      <protection locked="0"/>
    </xf>
    <xf numFmtId="0" fontId="14" fillId="11" borderId="21" xfId="0" applyFont="1" applyFill="1" applyBorder="1" applyAlignment="1" applyProtection="1">
      <alignment horizontal="center"/>
      <protection locked="0"/>
    </xf>
    <xf numFmtId="0" fontId="14" fillId="11" borderId="22" xfId="0" applyFont="1" applyFill="1" applyBorder="1" applyAlignment="1" applyProtection="1">
      <alignment horizontal="center"/>
      <protection locked="0"/>
    </xf>
    <xf numFmtId="0" fontId="14" fillId="11" borderId="39" xfId="0" applyFont="1" applyFill="1" applyBorder="1" applyAlignment="1" applyProtection="1">
      <alignment horizontal="center" vertical="center" wrapText="1"/>
      <protection locked="0"/>
    </xf>
    <xf numFmtId="0" fontId="14" fillId="11" borderId="40" xfId="0" applyFont="1" applyFill="1" applyBorder="1" applyAlignment="1" applyProtection="1">
      <alignment horizontal="center" vertical="center" wrapText="1"/>
      <protection locked="0"/>
    </xf>
    <xf numFmtId="0" fontId="23" fillId="0" borderId="0" xfId="0" applyFont="1" applyAlignment="1">
      <alignment horizontal="left" vertical="top" wrapText="1"/>
    </xf>
    <xf numFmtId="0" fontId="14" fillId="7" borderId="29" xfId="0" applyFont="1" applyFill="1" applyBorder="1" applyAlignment="1">
      <alignment horizontal="center" vertical="center" wrapText="1"/>
    </xf>
    <xf numFmtId="0" fontId="14" fillId="7" borderId="34" xfId="0" applyFont="1" applyFill="1" applyBorder="1" applyAlignment="1">
      <alignment horizontal="center" vertical="center" wrapText="1"/>
    </xf>
    <xf numFmtId="0" fontId="1" fillId="0" borderId="23" xfId="0" applyFont="1" applyBorder="1" applyAlignment="1">
      <alignment horizontal="center"/>
    </xf>
    <xf numFmtId="0" fontId="1" fillId="0" borderId="24" xfId="0" applyFont="1" applyBorder="1" applyAlignment="1">
      <alignment horizontal="center"/>
    </xf>
    <xf numFmtId="0" fontId="29" fillId="0" borderId="3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0" xfId="0" applyFont="1" applyAlignment="1">
      <alignment horizontal="center" vertical="center" wrapText="1"/>
    </xf>
    <xf numFmtId="0" fontId="29" fillId="0" borderId="36" xfId="0" applyFont="1" applyBorder="1" applyAlignment="1">
      <alignment horizontal="center" vertical="center" wrapText="1"/>
    </xf>
    <xf numFmtId="0" fontId="14" fillId="7" borderId="35" xfId="0" applyFont="1" applyFill="1" applyBorder="1" applyAlignment="1">
      <alignment horizontal="center" vertical="center" wrapText="1"/>
    </xf>
    <xf numFmtId="0" fontId="14" fillId="7" borderId="36" xfId="0" applyFont="1" applyFill="1" applyBorder="1" applyAlignment="1">
      <alignment horizontal="center" vertical="center" wrapText="1"/>
    </xf>
    <xf numFmtId="2" fontId="26" fillId="4" borderId="23" xfId="1" applyNumberFormat="1" applyFont="1" applyFill="1" applyBorder="1" applyAlignment="1" applyProtection="1">
      <alignment horizontal="center" vertical="center"/>
      <protection locked="0"/>
    </xf>
    <xf numFmtId="2" fontId="26" fillId="4" borderId="24" xfId="1" applyNumberFormat="1" applyFont="1" applyFill="1" applyBorder="1" applyAlignment="1" applyProtection="1">
      <alignment horizontal="center" vertical="center"/>
      <protection locked="0"/>
    </xf>
    <xf numFmtId="0" fontId="14" fillId="7" borderId="21" xfId="0" applyFont="1" applyFill="1" applyBorder="1" applyAlignment="1">
      <alignment horizontal="center" vertical="center" wrapText="1"/>
    </xf>
    <xf numFmtId="0" fontId="14" fillId="7" borderId="22" xfId="0" applyFont="1" applyFill="1" applyBorder="1" applyAlignment="1">
      <alignment horizontal="center" vertical="center" wrapText="1"/>
    </xf>
    <xf numFmtId="0" fontId="23" fillId="0" borderId="0" xfId="0" applyFont="1" applyAlignment="1">
      <alignment horizontal="right" vertical="top" wrapText="1"/>
    </xf>
    <xf numFmtId="0" fontId="26" fillId="4" borderId="26" xfId="4" applyFont="1" applyBorder="1" applyAlignment="1" applyProtection="1">
      <alignment horizontal="center" vertical="center"/>
      <protection locked="0"/>
    </xf>
    <xf numFmtId="0" fontId="14" fillId="7" borderId="0" xfId="0" applyFont="1" applyFill="1" applyAlignment="1">
      <alignment horizontal="center" vertical="center" wrapText="1"/>
    </xf>
    <xf numFmtId="0" fontId="14" fillId="7" borderId="32" xfId="0" applyFont="1" applyFill="1" applyBorder="1" applyAlignment="1">
      <alignment horizontal="center" vertical="center" wrapText="1"/>
    </xf>
    <xf numFmtId="0" fontId="14" fillId="7" borderId="27" xfId="0" applyFont="1" applyFill="1" applyBorder="1" applyAlignment="1">
      <alignment horizontal="center" vertical="center" wrapText="1"/>
    </xf>
    <xf numFmtId="0" fontId="1" fillId="0" borderId="15" xfId="0" applyFont="1" applyBorder="1" applyAlignment="1">
      <alignment horizontal="center"/>
    </xf>
    <xf numFmtId="0" fontId="14" fillId="7" borderId="21" xfId="0" applyFont="1" applyFill="1" applyBorder="1" applyAlignment="1" applyProtection="1">
      <alignment horizontal="center" vertical="center" wrapText="1"/>
      <protection locked="0"/>
    </xf>
    <xf numFmtId="0" fontId="14" fillId="7" borderId="22" xfId="0" applyFont="1" applyFill="1" applyBorder="1" applyAlignment="1" applyProtection="1">
      <alignment horizontal="center" vertical="center" wrapText="1"/>
      <protection locked="0"/>
    </xf>
    <xf numFmtId="0" fontId="14" fillId="7" borderId="32" xfId="0" applyFont="1" applyFill="1" applyBorder="1" applyAlignment="1" applyProtection="1">
      <alignment horizontal="center" vertical="center" wrapText="1"/>
      <protection locked="0"/>
    </xf>
    <xf numFmtId="0" fontId="14" fillId="7" borderId="27" xfId="0" applyFont="1" applyFill="1" applyBorder="1" applyAlignment="1" applyProtection="1">
      <alignment horizontal="center" vertical="center" wrapText="1"/>
      <protection locked="0"/>
    </xf>
    <xf numFmtId="0" fontId="14" fillId="7" borderId="33"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0" xfId="0" applyFont="1" applyFill="1" applyBorder="1" applyAlignment="1">
      <alignment horizontal="center"/>
    </xf>
    <xf numFmtId="0" fontId="14" fillId="7" borderId="31" xfId="0" applyFont="1" applyFill="1" applyBorder="1" applyAlignment="1">
      <alignment horizontal="center"/>
    </xf>
    <xf numFmtId="0" fontId="29" fillId="0" borderId="0" xfId="0" applyFont="1" applyAlignment="1">
      <alignment horizontal="left" vertical="center" wrapText="1"/>
    </xf>
    <xf numFmtId="0" fontId="29" fillId="0" borderId="32" xfId="0" applyFont="1" applyBorder="1" applyAlignment="1">
      <alignment horizontal="left" vertical="center" wrapText="1"/>
    </xf>
    <xf numFmtId="0" fontId="43" fillId="2" borderId="52" xfId="0" applyFont="1" applyFill="1" applyBorder="1" applyAlignment="1">
      <alignment horizontal="left" vertical="top" wrapText="1"/>
    </xf>
    <xf numFmtId="0" fontId="43" fillId="2" borderId="0" xfId="0" applyFont="1" applyFill="1" applyAlignment="1">
      <alignment horizontal="left" vertical="top" wrapText="1"/>
    </xf>
    <xf numFmtId="0" fontId="14" fillId="7" borderId="48" xfId="0" applyFont="1" applyFill="1" applyBorder="1" applyAlignment="1">
      <alignment horizontal="center" vertical="center"/>
    </xf>
    <xf numFmtId="0" fontId="14" fillId="7" borderId="49"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48" xfId="0" applyFont="1" applyFill="1" applyBorder="1" applyAlignment="1">
      <alignment horizontal="center"/>
    </xf>
    <xf numFmtId="0" fontId="14" fillId="7" borderId="49" xfId="0" applyFont="1" applyFill="1" applyBorder="1" applyAlignment="1">
      <alignment horizontal="center"/>
    </xf>
    <xf numFmtId="0" fontId="14" fillId="7" borderId="50" xfId="0" applyFont="1" applyFill="1" applyBorder="1" applyAlignment="1">
      <alignment horizontal="center"/>
    </xf>
    <xf numFmtId="0" fontId="9" fillId="0" borderId="0" xfId="0" applyFont="1" applyAlignment="1">
      <alignment horizontal="center" wrapText="1"/>
    </xf>
    <xf numFmtId="0" fontId="1" fillId="0" borderId="0" xfId="0" applyFont="1" applyAlignment="1">
      <alignment horizontal="center"/>
    </xf>
    <xf numFmtId="0" fontId="14" fillId="7" borderId="0" xfId="0" applyFont="1" applyFill="1" applyAlignment="1">
      <alignment horizontal="right"/>
    </xf>
    <xf numFmtId="0" fontId="14" fillId="7" borderId="29" xfId="0" applyFont="1" applyFill="1" applyBorder="1" applyAlignment="1">
      <alignment horizontal="right"/>
    </xf>
    <xf numFmtId="0" fontId="9" fillId="0" borderId="0" xfId="0" applyFont="1" applyAlignment="1" applyProtection="1">
      <alignment horizontal="center" wrapText="1"/>
      <protection locked="0"/>
    </xf>
    <xf numFmtId="0" fontId="65" fillId="2" borderId="0" xfId="0" applyFont="1" applyFill="1" applyAlignment="1">
      <alignment horizontal="center" vertical="center" wrapText="1"/>
    </xf>
    <xf numFmtId="0" fontId="23" fillId="2" borderId="0" xfId="0" applyFont="1" applyFill="1" applyAlignment="1">
      <alignment horizontal="center"/>
    </xf>
    <xf numFmtId="167" fontId="29" fillId="2" borderId="56" xfId="0" applyNumberFormat="1" applyFont="1" applyFill="1" applyBorder="1" applyAlignment="1">
      <alignment horizontal="center"/>
    </xf>
    <xf numFmtId="0" fontId="29" fillId="2" borderId="56" xfId="0" applyFont="1" applyFill="1" applyBorder="1" applyAlignment="1">
      <alignment horizontal="center"/>
    </xf>
    <xf numFmtId="0" fontId="14" fillId="7" borderId="16" xfId="0" applyFont="1" applyFill="1" applyBorder="1" applyAlignment="1">
      <alignment horizontal="center" vertical="center" wrapText="1"/>
    </xf>
    <xf numFmtId="0" fontId="14" fillId="7" borderId="23" xfId="0" applyFont="1" applyFill="1" applyBorder="1" applyAlignment="1">
      <alignment horizontal="center" vertical="center" wrapText="1"/>
    </xf>
    <xf numFmtId="0" fontId="14" fillId="7" borderId="26" xfId="0" applyFont="1" applyFill="1" applyBorder="1" applyAlignment="1">
      <alignment horizontal="center" vertical="center" wrapText="1"/>
    </xf>
    <xf numFmtId="0" fontId="14" fillId="7" borderId="24" xfId="0" applyFont="1" applyFill="1" applyBorder="1" applyAlignment="1">
      <alignment horizontal="center" vertical="center" wrapText="1"/>
    </xf>
    <xf numFmtId="0" fontId="44" fillId="0" borderId="0" xfId="0" applyFont="1" applyAlignment="1">
      <alignment horizontal="center" vertical="center"/>
    </xf>
    <xf numFmtId="0" fontId="51" fillId="8" borderId="0" xfId="0" applyFont="1" applyFill="1" applyAlignment="1" applyProtection="1">
      <alignment horizontal="center" vertical="center"/>
      <protection locked="0"/>
    </xf>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14" fillId="5" borderId="4" xfId="0" applyFont="1" applyFill="1" applyBorder="1" applyAlignment="1">
      <alignment horizontal="center" vertical="center"/>
    </xf>
    <xf numFmtId="3" fontId="14" fillId="5" borderId="2" xfId="0" applyNumberFormat="1" applyFont="1" applyFill="1" applyBorder="1" applyAlignment="1">
      <alignment horizontal="center" vertical="center"/>
    </xf>
    <xf numFmtId="3" fontId="14" fillId="5" borderId="3" xfId="0" applyNumberFormat="1" applyFont="1" applyFill="1" applyBorder="1" applyAlignment="1">
      <alignment horizontal="center" vertical="center"/>
    </xf>
    <xf numFmtId="3" fontId="14" fillId="5" borderId="4" xfId="0" applyNumberFormat="1" applyFont="1" applyFill="1" applyBorder="1" applyAlignment="1">
      <alignment horizontal="center" vertical="center"/>
    </xf>
    <xf numFmtId="3" fontId="25" fillId="0" borderId="7" xfId="0" applyNumberFormat="1" applyFont="1" applyBorder="1" applyAlignment="1">
      <alignment horizontal="center" vertical="center" textRotation="180"/>
    </xf>
    <xf numFmtId="3" fontId="25" fillId="0" borderId="9" xfId="0" applyNumberFormat="1" applyFont="1" applyBorder="1" applyAlignment="1">
      <alignment horizontal="center" vertical="center" textRotation="180"/>
    </xf>
    <xf numFmtId="3" fontId="25" fillId="0" borderId="12" xfId="0" applyNumberFormat="1" applyFont="1" applyBorder="1" applyAlignment="1">
      <alignment horizontal="center" vertical="center" textRotation="180"/>
    </xf>
    <xf numFmtId="0" fontId="14" fillId="8" borderId="0" xfId="0" applyFont="1" applyFill="1" applyAlignment="1">
      <alignment horizontal="center"/>
    </xf>
    <xf numFmtId="3" fontId="26" fillId="4" borderId="15" xfId="1" applyNumberFormat="1" applyFont="1" applyFill="1" applyBorder="1" applyAlignment="1" applyProtection="1">
      <alignment horizontal="center" vertical="center" wrapText="1"/>
      <protection locked="0"/>
    </xf>
    <xf numFmtId="0" fontId="26" fillId="4" borderId="15" xfId="4" applyFont="1" applyAlignment="1" applyProtection="1">
      <alignment horizontal="center" vertical="center" wrapText="1"/>
      <protection locked="0"/>
    </xf>
  </cellXfs>
  <cellStyles count="7">
    <cellStyle name="Cálculo" xfId="3" builtinId="22"/>
    <cellStyle name="Entrada" xfId="4" builtinId="20" customBuiltin="1"/>
    <cellStyle name="Normal" xfId="0" builtinId="0"/>
    <cellStyle name="Normal 5" xfId="5" xr:uid="{46FD9549-BD3B-45D1-9D2E-5A3363463DD1}"/>
    <cellStyle name="Porcentagem" xfId="1" builtinId="5"/>
    <cellStyle name="Vírgula" xfId="2" builtinId="3"/>
    <cellStyle name="Vírgula 4" xfId="6" xr:uid="{2E58E311-254D-4A8A-9ED6-CCD312F23488}"/>
  </cellStyles>
  <dxfs count="107">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u val="none"/>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u val="none"/>
        <color theme="0"/>
      </font>
      <fill>
        <patternFill>
          <fgColor theme="0"/>
          <bgColor theme="0"/>
        </patternFill>
      </fill>
      <border>
        <left/>
        <right/>
        <top/>
        <bottom/>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dxf>
    <dxf>
      <font>
        <color rgb="FF9C0006"/>
      </font>
    </dxf>
    <dxf>
      <font>
        <color rgb="FF9C0006"/>
      </font>
    </dxf>
    <dxf>
      <font>
        <color rgb="FF9C0006"/>
      </font>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8F1DF"/>
      <color rgb="FF726C5A"/>
      <color rgb="FF0EB1BA"/>
      <color rgb="FFDDCFAD"/>
      <color rgb="FF5D7646"/>
      <color rgb="FF686A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the Current Scenario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CT scan + scintigraphy</c:v>
                </c:pt>
              </c:strCache>
            </c:strRef>
          </c:tx>
          <c:spPr>
            <a:solidFill>
              <a:schemeClr val="accent1"/>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share'!$C$26:$G$26</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share'!$C$27:$G$27</c:f>
              <c:numCache>
                <c:formatCode>0.00%</c:formatCode>
                <c:ptCount val="5"/>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share'!$C$28:$G$28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share'!$C$29:$G$29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share'!$C$30:$G$30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share'!$C$31:$G$31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share'!$C$32:$G$32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share'!$C$33:$G$33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share'!$C$34:$G$34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PET-CT</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share'!$C$22:$G$22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share'!$C$23:$G$23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share'!$C$24:$G$24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share'!$C$25:$G$25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CT scan + scintigraphy</c:v>
                </c:pt>
              </c:strCache>
            </c:strRef>
          </c:tx>
          <c:spPr>
            <a:solidFill>
              <a:schemeClr val="accent1"/>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share'!$C$46:$G$46</c:f>
              <c:numCache>
                <c:formatCode>0.00%</c:formatCode>
                <c:ptCount val="5"/>
                <c:pt idx="0">
                  <c:v>0.8</c:v>
                </c:pt>
                <c:pt idx="1">
                  <c:v>0.6</c:v>
                </c:pt>
                <c:pt idx="2">
                  <c:v>0.4</c:v>
                </c:pt>
                <c:pt idx="3">
                  <c:v>0.19999999999999996</c:v>
                </c:pt>
                <c:pt idx="4">
                  <c:v>0</c:v>
                </c:pt>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share'!$C$47:$G$47</c:f>
              <c:numCache>
                <c:formatCode>0.00%</c:formatCode>
                <c:ptCount val="5"/>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share'!$C$48:$G$48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share'!$C$49:$G$49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share'!$C$50:$G$50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share'!$C$51:$G$51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share'!$C$52:$G$52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share'!$C$53:$G$53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share'!$C$54:$G$54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PET-CT</c:v>
                </c:pt>
              </c:strCache>
            </c:strRef>
          </c:tx>
          <c:spPr>
            <a:solidFill>
              <a:schemeClr val="accent5">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share'!$C$42:$G$42</c:f>
              <c:numCache>
                <c:formatCode>0.00%</c:formatCode>
                <c:ptCount val="5"/>
                <c:pt idx="0">
                  <c:v>0.2</c:v>
                </c:pt>
                <c:pt idx="1">
                  <c:v>0.4</c:v>
                </c:pt>
                <c:pt idx="2">
                  <c:v>0.6</c:v>
                </c:pt>
                <c:pt idx="3">
                  <c:v>0.8</c:v>
                </c:pt>
                <c:pt idx="4">
                  <c:v>1</c:v>
                </c:pt>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share'!$C$43:$G$43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share'!$C$44:$G$44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extLst xmlns:c15="http://schemas.microsoft.com/office/drawing/2012/chart"/>
            </c:numRef>
          </c:cat>
          <c:val>
            <c:numRef>
              <c:f>'Mkt share'!$C$45:$G$45</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CT scan + scintigraphy</c:v>
                </c:pt>
              </c:strCache>
            </c:strRef>
          </c:tx>
          <c:spPr>
            <a:solidFill>
              <a:schemeClr val="accent1"/>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share'!$C$66:$G$66</c:f>
              <c:numCache>
                <c:formatCode>0.00%</c:formatCode>
                <c:ptCount val="5"/>
                <c:pt idx="0">
                  <c:v>0.9</c:v>
                </c:pt>
                <c:pt idx="1">
                  <c:v>0.8</c:v>
                </c:pt>
                <c:pt idx="2">
                  <c:v>0.7</c:v>
                </c:pt>
                <c:pt idx="3">
                  <c:v>0.6</c:v>
                </c:pt>
                <c:pt idx="4">
                  <c:v>0.5</c:v>
                </c:pt>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share'!$C$67:$G$67</c:f>
              <c:numCache>
                <c:formatCode>0.00%</c:formatCode>
                <c:ptCount val="5"/>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share'!$C$68:$G$68</c:f>
              <c:numCache>
                <c:formatCode>0.00%</c:formatCode>
                <c:ptCount val="5"/>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share'!$C$69:$G$69</c:f>
              <c:numCache>
                <c:formatCode>0.00%</c:formatCode>
                <c:ptCount val="5"/>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share'!$C$70:$G$70</c:f>
              <c:numCache>
                <c:formatCode>0.00%</c:formatCode>
                <c:ptCount val="5"/>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share'!$C$71:$G$71</c:f>
              <c:numCache>
                <c:formatCode>0.00%</c:formatCode>
                <c:ptCount val="5"/>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share'!$C$72:$G$72</c:f>
              <c:numCache>
                <c:formatCode>0.00%</c:formatCode>
                <c:ptCount val="5"/>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share'!$C$73:$G$73</c:f>
              <c:numCache>
                <c:formatCode>0.00%</c:formatCode>
                <c:ptCount val="5"/>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share'!$C$74:$G$74</c:f>
              <c:numCache>
                <c:formatCode>0.00%</c:formatCode>
                <c:ptCount val="5"/>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PET-CT</c:v>
                </c:pt>
              </c:strCache>
            </c:strRef>
          </c:tx>
          <c:spPr>
            <a:solidFill>
              <a:schemeClr val="accent5">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share'!$C$62:$G$62</c:f>
              <c:numCache>
                <c:formatCode>0.00%</c:formatCode>
                <c:ptCount val="5"/>
                <c:pt idx="0">
                  <c:v>0.1</c:v>
                </c:pt>
                <c:pt idx="1">
                  <c:v>0.2</c:v>
                </c:pt>
                <c:pt idx="2">
                  <c:v>0.3</c:v>
                </c:pt>
                <c:pt idx="3">
                  <c:v>0.4</c:v>
                </c:pt>
                <c:pt idx="4">
                  <c:v>0.5</c:v>
                </c:pt>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share'!$C$63:$G$63</c:f>
              <c:numCache>
                <c:formatCode>0.00%</c:formatCode>
                <c:ptCount val="5"/>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share'!$C$64:$G$64</c:f>
              <c:numCache>
                <c:formatCode>0.00%</c:formatCode>
                <c:ptCount val="5"/>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share'!$C$65:$G$65</c:f>
              <c:numCache>
                <c:formatCode>0.00%</c:formatCode>
                <c:ptCount val="5"/>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CT scan + scintigraphy</c:v>
                </c:pt>
              </c:strCache>
            </c:strRef>
          </c:tx>
          <c:spPr>
            <a:solidFill>
              <a:schemeClr val="accent1"/>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share'!$C$86:$G$86</c:f>
              <c:numCache>
                <c:formatCode>0%</c:formatCode>
                <c:ptCount val="5"/>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share'!$C$87:$G$87</c:f>
              <c:numCache>
                <c:formatCode>0%</c:formatCode>
                <c:ptCount val="5"/>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share'!$C$88:$G$88</c:f>
              <c:numCache>
                <c:formatCode>0%</c:formatCode>
                <c:ptCount val="5"/>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share'!$C$89:$G$89</c:f>
              <c:numCache>
                <c:formatCode>0%</c:formatCode>
                <c:ptCount val="5"/>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share'!$C$90:$G$90</c:f>
              <c:numCache>
                <c:formatCode>0%</c:formatCode>
                <c:ptCount val="5"/>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share'!$C$91:$G$91</c:f>
              <c:numCache>
                <c:formatCode>0%</c:formatCode>
                <c:ptCount val="5"/>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share'!$C$92:$G$92</c:f>
              <c:numCache>
                <c:formatCode>0%</c:formatCode>
                <c:ptCount val="5"/>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share'!$C$93:$G$93</c:f>
              <c:numCache>
                <c:formatCode>0%</c:formatCode>
                <c:ptCount val="5"/>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share'!$C$94:$G$94</c:f>
              <c:numCache>
                <c:formatCode>0%</c:formatCode>
                <c:ptCount val="5"/>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PET-CT</c:v>
                </c:pt>
              </c:strCache>
            </c:strRef>
          </c:tx>
          <c:spPr>
            <a:solidFill>
              <a:schemeClr val="accent5">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share'!$C$82:$G$82</c:f>
              <c:numCache>
                <c:formatCode>0%</c:formatCode>
                <c:ptCount val="5"/>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share'!$C$83:$G$83</c:f>
              <c:numCache>
                <c:formatCode>0%</c:formatCode>
                <c:ptCount val="5"/>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share'!$C$84:$G$84</c:f>
              <c:numCache>
                <c:formatCode>0%</c:formatCode>
                <c:ptCount val="5"/>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2024</c:v>
                </c:pt>
                <c:pt idx="1">
                  <c:v>2025</c:v>
                </c:pt>
                <c:pt idx="2">
                  <c:v>2026</c:v>
                </c:pt>
                <c:pt idx="3">
                  <c:v>2027</c:v>
                </c:pt>
                <c:pt idx="4">
                  <c:v>2028</c:v>
                </c:pt>
              </c:numCache>
            </c:numRef>
          </c:cat>
          <c:val>
            <c:numRef>
              <c:f>'Mkt share'!$C$85:$G$85</c:f>
              <c:numCache>
                <c:formatCode>0%</c:formatCode>
                <c:ptCount val="5"/>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Observed demand</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4.2528298800402674E-2"/>
                  <c:y val="0.32071991226797847"/>
                </c:manualLayout>
              </c:layout>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y = 69,5x - 139593</a:t>
                    </a:r>
                    <a:br>
                      <a:rPr lang="en-US"/>
                    </a:br>
                    <a:r>
                      <a:rPr lang="en-US"/>
                      <a:t>R² = 0,9022</a:t>
                    </a:r>
                  </a:p>
                </c:rich>
              </c:tx>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rendlineLbl>
          </c:trendline>
          <c:xVal>
            <c:strRef>
              <c:f>Population!$D$45:$H$45</c:f>
              <c:strCache>
                <c:ptCount val="1"/>
                <c:pt idx="0">
                  <c:v>0</c:v>
                </c:pt>
              </c:strCache>
            </c:strRef>
          </c:xVal>
          <c:yVal>
            <c:numRef>
              <c:f>Population!$D$53:$H$53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6BFE-4C32-983D-C734D2B2B20D}"/>
            </c:ext>
          </c:extLst>
        </c:ser>
        <c:ser>
          <c:idx val="1"/>
          <c:order val="1"/>
          <c:tx>
            <c:v>Linear projection</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Population!$D$59:$H$59</c:f>
              <c:numCache>
                <c:formatCode>General</c:formatCode>
                <c:ptCount val="5"/>
                <c:pt idx="0">
                  <c:v>2024</c:v>
                </c:pt>
                <c:pt idx="1">
                  <c:v>2025</c:v>
                </c:pt>
                <c:pt idx="2">
                  <c:v>2026</c:v>
                </c:pt>
                <c:pt idx="3">
                  <c:v>2027</c:v>
                </c:pt>
                <c:pt idx="4">
                  <c:v>2028</c:v>
                </c:pt>
              </c:numCache>
            </c:numRef>
          </c:xVal>
          <c:yVal>
            <c:numRef>
              <c:f>Population!$D$60:$H$60</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3-6BFE-4C32-983D-C734D2B2B20D}"/>
            </c:ext>
          </c:extLst>
        </c:ser>
        <c:ser>
          <c:idx val="2"/>
          <c:order val="2"/>
          <c:tx>
            <c:v>Mean projection adjusted</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Population!$D$62:$H$62</c:f>
              <c:numCache>
                <c:formatCode>General</c:formatCode>
                <c:ptCount val="5"/>
                <c:pt idx="0">
                  <c:v>2024</c:v>
                </c:pt>
                <c:pt idx="1">
                  <c:v>2025</c:v>
                </c:pt>
                <c:pt idx="2">
                  <c:v>2026</c:v>
                </c:pt>
                <c:pt idx="3">
                  <c:v>2027</c:v>
                </c:pt>
                <c:pt idx="4">
                  <c:v>2028</c:v>
                </c:pt>
              </c:numCache>
            </c:numRef>
          </c:xVal>
          <c:yVal>
            <c:numRef>
              <c:f>Population!$D$64:$H$64</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Results!$D$22:$H$22</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0FBB-4103-88E2-36586A3E1CEE}"/>
            </c:ext>
          </c:extLst>
        </c:ser>
        <c:ser>
          <c:idx val="1"/>
          <c:order val="1"/>
          <c:tx>
            <c:strRef>
              <c:f>Results!$C$23</c:f>
              <c:strCache>
                <c:ptCount val="1"/>
                <c:pt idx="0">
                  <c:v>Alternative scenario 1:</c:v>
                </c:pt>
              </c:strCache>
            </c:strRef>
          </c:tx>
          <c:spPr>
            <a:solidFill>
              <a:schemeClr val="accent2"/>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Results!$D$23:$H$23</c:f>
              <c:numCache>
                <c:formatCode>_-[$$-409]* #,##0_ ;_-[$$-409]* \-#,##0\ ;_-[$$-409]* "-"??_ ;_-@_ </c:formatCode>
                <c:ptCount val="5"/>
                <c:pt idx="0">
                  <c:v>7853721.3216772359</c:v>
                </c:pt>
                <c:pt idx="1">
                  <c:v>9927912.9319983106</c:v>
                </c:pt>
                <c:pt idx="2">
                  <c:v>12023854.661339017</c:v>
                </c:pt>
                <c:pt idx="3">
                  <c:v>14139861.417482864</c:v>
                </c:pt>
                <c:pt idx="4">
                  <c:v>16274191.393978339</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Results!$D$22:$H$22</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3A11-4BD6-9635-A8EBE6582FE0}"/>
            </c:ext>
          </c:extLst>
        </c:ser>
        <c:ser>
          <c:idx val="1"/>
          <c:order val="1"/>
          <c:tx>
            <c:strRef>
              <c:f>Results!$C$24</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Results!$D$24:$H$24</c:f>
              <c:numCache>
                <c:formatCode>_-[$$-409]* #,##0_ ;_-[$$-409]* \-#,##0\ ;_-[$$-409]* "-"??_ ;_-@_ </c:formatCode>
                <c:ptCount val="5"/>
                <c:pt idx="0">
                  <c:v>2013243.6361920601</c:v>
                </c:pt>
                <c:pt idx="1">
                  <c:v>4051358.7747311862</c:v>
                </c:pt>
                <c:pt idx="2">
                  <c:v>6112758.548247925</c:v>
                </c:pt>
                <c:pt idx="3">
                  <c:v>8195799.1559210261</c:v>
                </c:pt>
                <c:pt idx="4">
                  <c:v>10298780.002204169</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Results!$D$31:$H$31</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7267-49E6-A717-062DFCB8311C}"/>
            </c:ext>
          </c:extLst>
        </c:ser>
        <c:ser>
          <c:idx val="1"/>
          <c:order val="1"/>
          <c:tx>
            <c:strRef>
              <c:f>Results!$C$32</c:f>
              <c:strCache>
                <c:ptCount val="1"/>
                <c:pt idx="0">
                  <c:v>Alternative scenario 1:</c:v>
                </c:pt>
              </c:strCache>
            </c:strRef>
          </c:tx>
          <c:spPr>
            <a:solidFill>
              <a:schemeClr val="accent2"/>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Results!$D$32:$H$32</c:f>
              <c:numCache>
                <c:formatCode>_-[$$-409]* #,##0_ ;_-[$$-409]* \-#,##0\ ;_-[$$-409]* "-"??_ ;_-@_ </c:formatCode>
                <c:ptCount val="5"/>
                <c:pt idx="0">
                  <c:v>7853721.3216772359</c:v>
                </c:pt>
                <c:pt idx="1">
                  <c:v>9927912.9319983106</c:v>
                </c:pt>
                <c:pt idx="2">
                  <c:v>12023854.661339017</c:v>
                </c:pt>
                <c:pt idx="3">
                  <c:v>14139861.417482864</c:v>
                </c:pt>
                <c:pt idx="4">
                  <c:v>16274191.393978339</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Results!$D$31:$H$31</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7C8C-486E-BD95-9A48DF038C59}"/>
            </c:ext>
          </c:extLst>
        </c:ser>
        <c:ser>
          <c:idx val="1"/>
          <c:order val="1"/>
          <c:tx>
            <c:strRef>
              <c:f>Results!$C$33</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Results!$D$33:$H$33</c:f>
              <c:numCache>
                <c:formatCode>_-[$$-409]* #,##0_ ;_-[$$-409]* \-#,##0\ ;_-[$$-409]* "-"??_ ;_-@_ </c:formatCode>
                <c:ptCount val="5"/>
                <c:pt idx="0">
                  <c:v>2013243.6361920601</c:v>
                </c:pt>
                <c:pt idx="1">
                  <c:v>4051358.7747311862</c:v>
                </c:pt>
                <c:pt idx="2">
                  <c:v>6112758.548247925</c:v>
                </c:pt>
                <c:pt idx="3">
                  <c:v>8195799.1559210261</c:v>
                </c:pt>
                <c:pt idx="4">
                  <c:v>10298780.002204169</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Results!$D$48:$H$48</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72A1-4148-B260-0F923B113940}"/>
            </c:ext>
          </c:extLst>
        </c:ser>
        <c:ser>
          <c:idx val="1"/>
          <c:order val="1"/>
          <c:tx>
            <c:strRef>
              <c:f>Results!$C$49</c:f>
              <c:strCache>
                <c:ptCount val="1"/>
                <c:pt idx="0">
                  <c:v>Alternative scenario 2:</c:v>
                </c:pt>
              </c:strCache>
            </c:strRef>
          </c:tx>
          <c:spPr>
            <a:solidFill>
              <a:schemeClr val="accent2"/>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Results!$D$49:$H$49</c:f>
              <c:numCache>
                <c:formatCode>_-[$$-409]* #,##0_ ;_-[$$-409]* \-#,##0\ ;_-[$$-409]* "-"??_ ;_-@_ </c:formatCode>
                <c:ptCount val="5"/>
                <c:pt idx="0">
                  <c:v>6847099.5035812054</c:v>
                </c:pt>
                <c:pt idx="1">
                  <c:v>7902233.544632718</c:v>
                </c:pt>
                <c:pt idx="2">
                  <c:v>8967475.3872150537</c:v>
                </c:pt>
                <c:pt idx="3">
                  <c:v>10041961.839522351</c:v>
                </c:pt>
                <c:pt idx="4">
                  <c:v>11124801.392876254</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Results!$D$48:$H$48</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534A-4A84-8B19-8FCB193368F3}"/>
            </c:ext>
          </c:extLst>
        </c:ser>
        <c:ser>
          <c:idx val="1"/>
          <c:order val="1"/>
          <c:tx>
            <c:strRef>
              <c:f>Results!$C$50</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Results!$D$50:$H$50</c:f>
              <c:numCache>
                <c:formatCode>_-[$$-409]* #,##0_ ;_-[$$-409]* \-#,##0\ ;_-[$$-409]* "-"??_ ;_-@_ </c:formatCode>
                <c:ptCount val="5"/>
                <c:pt idx="0">
                  <c:v>1006621.8180960296</c:v>
                </c:pt>
                <c:pt idx="1">
                  <c:v>2025679.3873655936</c:v>
                </c:pt>
                <c:pt idx="2">
                  <c:v>3056379.274123962</c:v>
                </c:pt>
                <c:pt idx="3">
                  <c:v>4097899.5779605126</c:v>
                </c:pt>
                <c:pt idx="4">
                  <c:v>5149390.0011020843</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Results!$D$57:$H$57</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ECB1-4FA9-9A97-05A3659426B6}"/>
            </c:ext>
          </c:extLst>
        </c:ser>
        <c:ser>
          <c:idx val="1"/>
          <c:order val="1"/>
          <c:tx>
            <c:strRef>
              <c:f>Results!$C$58</c:f>
              <c:strCache>
                <c:ptCount val="1"/>
                <c:pt idx="0">
                  <c:v>Alternative scenario 2:</c:v>
                </c:pt>
              </c:strCache>
            </c:strRef>
          </c:tx>
          <c:spPr>
            <a:solidFill>
              <a:schemeClr val="accent2"/>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Results!$D$58:$H$58</c:f>
              <c:numCache>
                <c:formatCode>_-[$$-409]* #,##0_ ;_-[$$-409]* \-#,##0\ ;_-[$$-409]* "-"??_ ;_-@_ </c:formatCode>
                <c:ptCount val="5"/>
                <c:pt idx="0">
                  <c:v>6847099.5035812054</c:v>
                </c:pt>
                <c:pt idx="1">
                  <c:v>7902233.544632718</c:v>
                </c:pt>
                <c:pt idx="2">
                  <c:v>8967475.3872150537</c:v>
                </c:pt>
                <c:pt idx="3">
                  <c:v>10041961.839522351</c:v>
                </c:pt>
                <c:pt idx="4">
                  <c:v>11124801.392876254</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Results!$D$57:$H$57</c:f>
              <c:numCache>
                <c:formatCode>_-[$$-409]* #,##0_ ;_-[$$-409]* \-#,##0\ ;_-[$$-409]* "-"??_ ;_-@_ </c:formatCode>
                <c:ptCount val="5"/>
                <c:pt idx="0">
                  <c:v>5840477.6854851758</c:v>
                </c:pt>
                <c:pt idx="1">
                  <c:v>5876554.1572671244</c:v>
                </c:pt>
                <c:pt idx="2">
                  <c:v>5911096.1130910916</c:v>
                </c:pt>
                <c:pt idx="3">
                  <c:v>5944062.261561838</c:v>
                </c:pt>
                <c:pt idx="4">
                  <c:v>5975411.3917741701</c:v>
                </c:pt>
              </c:numCache>
            </c:numRef>
          </c:val>
          <c:extLst>
            <c:ext xmlns:c16="http://schemas.microsoft.com/office/drawing/2014/chart" uri="{C3380CC4-5D6E-409C-BE32-E72D297353CC}">
              <c16:uniqueId val="{00000000-D817-4E2E-A5B1-5E088628247E}"/>
            </c:ext>
          </c:extLst>
        </c:ser>
        <c:ser>
          <c:idx val="1"/>
          <c:order val="1"/>
          <c:tx>
            <c:strRef>
              <c:f>Results!$C$59</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Results!$D$59:$H$59</c:f>
              <c:numCache>
                <c:formatCode>_-[$$-409]* #,##0_ ;_-[$$-409]* \-#,##0\ ;_-[$$-409]* "-"??_ ;_-@_ </c:formatCode>
                <c:ptCount val="5"/>
                <c:pt idx="0">
                  <c:v>1006621.8180960296</c:v>
                </c:pt>
                <c:pt idx="1">
                  <c:v>2025679.3873655936</c:v>
                </c:pt>
                <c:pt idx="2">
                  <c:v>3056379.274123962</c:v>
                </c:pt>
                <c:pt idx="3">
                  <c:v>4097899.5779605126</c:v>
                </c:pt>
                <c:pt idx="4">
                  <c:v>5149390.0011020843</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Results!$D$73:$H$73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3DC5-43F7-9D12-A0ACE979D0FF}"/>
            </c:ext>
          </c:extLst>
        </c:ser>
        <c:ser>
          <c:idx val="1"/>
          <c:order val="1"/>
          <c:tx>
            <c:strRef>
              <c:f>Results!$C$74</c:f>
              <c:strCache>
                <c:ptCount val="1"/>
                <c:pt idx="0">
                  <c:v>Alternative scenario 3:</c:v>
                </c:pt>
              </c:strCache>
            </c:strRef>
          </c:tx>
          <c:spPr>
            <a:solidFill>
              <a:schemeClr val="accent2"/>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Results!$D$74:$H$74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Results!$D$73:$H$73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66F2-4FDA-893E-6DA2B75AB790}"/>
            </c:ext>
          </c:extLst>
        </c:ser>
        <c:ser>
          <c:idx val="1"/>
          <c:order val="1"/>
          <c:tx>
            <c:strRef>
              <c:f>Results!$C$75</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2024</c:v>
                </c:pt>
                <c:pt idx="1">
                  <c:v>2025</c:v>
                </c:pt>
                <c:pt idx="2">
                  <c:v>2026</c:v>
                </c:pt>
                <c:pt idx="3">
                  <c:v>2027</c:v>
                </c:pt>
                <c:pt idx="4">
                  <c:v>2028</c:v>
                </c:pt>
              </c:numCache>
            </c:numRef>
          </c:cat>
          <c:val>
            <c:numRef>
              <c:f>Results!$D$75:$H$75</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Results!$D$82:$H$82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585F-4E35-A576-AE15D18DCB8A}"/>
            </c:ext>
          </c:extLst>
        </c:ser>
        <c:ser>
          <c:idx val="1"/>
          <c:order val="1"/>
          <c:tx>
            <c:strRef>
              <c:f>Results!$C$83</c:f>
              <c:strCache>
                <c:ptCount val="1"/>
                <c:pt idx="0">
                  <c:v>Alternative scenario 3:</c:v>
                </c:pt>
              </c:strCache>
            </c:strRef>
          </c:tx>
          <c:spPr>
            <a:solidFill>
              <a:schemeClr val="accent2"/>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Results!$D$83:$H$83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Results!$D$82:$H$82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B373-489F-95B4-A51104BE228F}"/>
            </c:ext>
          </c:extLst>
        </c:ser>
        <c:ser>
          <c:idx val="1"/>
          <c:order val="1"/>
          <c:tx>
            <c:strRef>
              <c:f>Results!$C$84</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2024</c:v>
                </c:pt>
                <c:pt idx="1">
                  <c:v>2025</c:v>
                </c:pt>
                <c:pt idx="2">
                  <c:v>2026</c:v>
                </c:pt>
                <c:pt idx="3">
                  <c:v>2027</c:v>
                </c:pt>
                <c:pt idx="4">
                  <c:v>2028</c:v>
                </c:pt>
              </c:numCache>
            </c:numRef>
          </c:cat>
          <c:val>
            <c:numRef>
              <c:f>Results!$D$84:$H$84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Initial general costs</c:v>
                </c:pt>
                <c:pt idx="5">
                  <c:v>Monthly costs during treatment</c:v>
                </c:pt>
                <c:pt idx="6">
                  <c:v>Monthly costs after treatment</c:v>
                </c:pt>
                <c:pt idx="7">
                  <c:v>Initial costs CT scan + scintigraphy</c:v>
                </c:pt>
                <c:pt idx="8">
                  <c:v>Individuals with SCLC (15%)</c:v>
                </c:pt>
                <c:pt idx="9">
                  <c:v>Individuals with lung cancer (0.015%)</c:v>
                </c:pt>
                <c:pt idx="10">
                  <c:v>Initial costs PET-CT</c:v>
                </c:pt>
              </c:strCache>
            </c:strRef>
          </c:cat>
          <c:val>
            <c:numRef>
              <c:f>DSA!$I$113:$I$123</c:f>
              <c:numCache>
                <c:formatCode>_-[$$-409]* #,##0_ ;_-[$$-409]* \-#,##0\ ;_-[$$-409]* "-"??_ ;_-@_ </c:formatCode>
                <c:ptCount val="11"/>
                <c:pt idx="0">
                  <c:v>30671940.117296368</c:v>
                </c:pt>
                <c:pt idx="1">
                  <c:v>30671940.117296368</c:v>
                </c:pt>
                <c:pt idx="2">
                  <c:v>30671940.117296368</c:v>
                </c:pt>
                <c:pt idx="3">
                  <c:v>30671940.117296368</c:v>
                </c:pt>
                <c:pt idx="4">
                  <c:v>30671940.117296368</c:v>
                </c:pt>
                <c:pt idx="5">
                  <c:v>30671940.117296368</c:v>
                </c:pt>
                <c:pt idx="6">
                  <c:v>30671940.117296368</c:v>
                </c:pt>
                <c:pt idx="7">
                  <c:v>34231147.331072807</c:v>
                </c:pt>
                <c:pt idx="8">
                  <c:v>24537552.093837097</c:v>
                </c:pt>
                <c:pt idx="9">
                  <c:v>24537552.093837097</c:v>
                </c:pt>
                <c:pt idx="10">
                  <c:v>20978344.880060658</c:v>
                </c:pt>
              </c:numCache>
            </c:numRef>
          </c:val>
          <c:extLst>
            <c:ext xmlns:c16="http://schemas.microsoft.com/office/drawing/2014/chart" uri="{C3380CC4-5D6E-409C-BE32-E72D297353CC}">
              <c16:uniqueId val="{00000000-6F69-4E23-A2D7-088A9738F2A7}"/>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Initial general costs</c:v>
                </c:pt>
                <c:pt idx="5">
                  <c:v>Monthly costs during treatment</c:v>
                </c:pt>
                <c:pt idx="6">
                  <c:v>Monthly costs after treatment</c:v>
                </c:pt>
                <c:pt idx="7">
                  <c:v>Initial costs CT scan + scintigraphy</c:v>
                </c:pt>
                <c:pt idx="8">
                  <c:v>Individuals with SCLC (15%)</c:v>
                </c:pt>
                <c:pt idx="9">
                  <c:v>Individuals with lung cancer (0.015%)</c:v>
                </c:pt>
                <c:pt idx="10">
                  <c:v>Initial costs PET-CT</c:v>
                </c:pt>
              </c:strCache>
            </c:strRef>
          </c:cat>
          <c:val>
            <c:numRef>
              <c:f>DSA!$J$113:$J$123</c:f>
              <c:numCache>
                <c:formatCode>_-[$$-409]* #,##0_ ;_-[$$-409]* \-#,##0\ ;_-[$$-409]* "-"??_ ;_-@_ </c:formatCode>
                <c:ptCount val="11"/>
                <c:pt idx="0">
                  <c:v>30671940.117296368</c:v>
                </c:pt>
                <c:pt idx="1">
                  <c:v>30671940.117296368</c:v>
                </c:pt>
                <c:pt idx="2">
                  <c:v>30671940.117296368</c:v>
                </c:pt>
                <c:pt idx="3">
                  <c:v>30671940.117296368</c:v>
                </c:pt>
                <c:pt idx="4">
                  <c:v>30671940.117296368</c:v>
                </c:pt>
                <c:pt idx="5">
                  <c:v>30671940.117296368</c:v>
                </c:pt>
                <c:pt idx="6">
                  <c:v>30671940.117296368</c:v>
                </c:pt>
                <c:pt idx="7">
                  <c:v>27112732.903519928</c:v>
                </c:pt>
                <c:pt idx="8">
                  <c:v>36806328.140755631</c:v>
                </c:pt>
                <c:pt idx="9">
                  <c:v>36806328.140755638</c:v>
                </c:pt>
                <c:pt idx="10">
                  <c:v>40365535.354532078</c:v>
                </c:pt>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30671940.117296368"/>
        <c:auto val="1"/>
        <c:lblAlgn val="ctr"/>
        <c:lblOffset val="100"/>
        <c:noMultiLvlLbl val="0"/>
      </c:catAx>
      <c:valAx>
        <c:axId val="100990272"/>
        <c:scaling>
          <c:orientation val="minMax"/>
          <c:max val="48438642.425438493"/>
          <c:min val="16782675.904048529"/>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Initial general costs</c:v>
                </c:pt>
                <c:pt idx="5">
                  <c:v>Monthly costs during treatment</c:v>
                </c:pt>
                <c:pt idx="6">
                  <c:v>Monthly costs after treatment</c:v>
                </c:pt>
                <c:pt idx="7">
                  <c:v>Initial costs CT scan + scintigraphy</c:v>
                </c:pt>
                <c:pt idx="8">
                  <c:v>Individuals with SCLC (15%)</c:v>
                </c:pt>
                <c:pt idx="9">
                  <c:v>Individuals with lung cancer (0.015%)</c:v>
                </c:pt>
                <c:pt idx="10">
                  <c:v>Initial costs PET-CT</c:v>
                </c:pt>
              </c:strCache>
            </c:strRef>
          </c:cat>
          <c:val>
            <c:numRef>
              <c:f>DSA!$C$113:$C$123</c:f>
              <c:numCache>
                <c:formatCode>_-[$$-409]* #,##0_ ;_-[$$-409]* \-#,##0\ ;_-[$$-409]* "-"??_ ;_-@_ </c:formatCode>
                <c:ptCount val="11"/>
                <c:pt idx="0">
                  <c:v>30671940.117296368</c:v>
                </c:pt>
                <c:pt idx="1">
                  <c:v>30671940.117296368</c:v>
                </c:pt>
                <c:pt idx="2">
                  <c:v>30671940.117296368</c:v>
                </c:pt>
                <c:pt idx="3">
                  <c:v>30671940.117296368</c:v>
                </c:pt>
                <c:pt idx="4">
                  <c:v>30671940.117296368</c:v>
                </c:pt>
                <c:pt idx="5">
                  <c:v>30671940.117296368</c:v>
                </c:pt>
                <c:pt idx="6">
                  <c:v>30671940.117296368</c:v>
                </c:pt>
                <c:pt idx="7">
                  <c:v>34231147.331072807</c:v>
                </c:pt>
                <c:pt idx="8">
                  <c:v>24537552.093837097</c:v>
                </c:pt>
                <c:pt idx="9">
                  <c:v>24537552.093837097</c:v>
                </c:pt>
                <c:pt idx="10">
                  <c:v>20978344.880060658</c:v>
                </c:pt>
              </c:numCache>
            </c:numRef>
          </c:val>
          <c:extLst>
            <c:ext xmlns:c16="http://schemas.microsoft.com/office/drawing/2014/chart" uri="{C3380CC4-5D6E-409C-BE32-E72D297353CC}">
              <c16:uniqueId val="{00000000-9C8D-4F3F-A7D6-1570694874F6}"/>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Initial general costs</c:v>
                </c:pt>
                <c:pt idx="5">
                  <c:v>Monthly costs during treatment</c:v>
                </c:pt>
                <c:pt idx="6">
                  <c:v>Monthly costs after treatment</c:v>
                </c:pt>
                <c:pt idx="7">
                  <c:v>Initial costs CT scan + scintigraphy</c:v>
                </c:pt>
                <c:pt idx="8">
                  <c:v>Individuals with SCLC (15%)</c:v>
                </c:pt>
                <c:pt idx="9">
                  <c:v>Individuals with lung cancer (0.015%)</c:v>
                </c:pt>
                <c:pt idx="10">
                  <c:v>Initial costs PET-CT</c:v>
                </c:pt>
              </c:strCache>
            </c:strRef>
          </c:cat>
          <c:val>
            <c:numRef>
              <c:f>DSA!$D$113:$D$123</c:f>
              <c:numCache>
                <c:formatCode>_-[$$-409]* #,##0_ ;_-[$$-409]* \-#,##0\ ;_-[$$-409]* "-"??_ ;_-@_ </c:formatCode>
                <c:ptCount val="11"/>
                <c:pt idx="0">
                  <c:v>30671940.117296368</c:v>
                </c:pt>
                <c:pt idx="1">
                  <c:v>30671940.117296368</c:v>
                </c:pt>
                <c:pt idx="2">
                  <c:v>30671940.117296368</c:v>
                </c:pt>
                <c:pt idx="3">
                  <c:v>30671940.117296368</c:v>
                </c:pt>
                <c:pt idx="4">
                  <c:v>30671940.117296368</c:v>
                </c:pt>
                <c:pt idx="5">
                  <c:v>30671940.117296368</c:v>
                </c:pt>
                <c:pt idx="6">
                  <c:v>30671940.117296368</c:v>
                </c:pt>
                <c:pt idx="7">
                  <c:v>27112732.903519928</c:v>
                </c:pt>
                <c:pt idx="8">
                  <c:v>36806328.140755631</c:v>
                </c:pt>
                <c:pt idx="9">
                  <c:v>36806328.140755638</c:v>
                </c:pt>
                <c:pt idx="10">
                  <c:v>40365535.354532078</c:v>
                </c:pt>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30671940.117296368"/>
        <c:auto val="1"/>
        <c:lblAlgn val="ctr"/>
        <c:lblOffset val="100"/>
        <c:noMultiLvlLbl val="0"/>
      </c:catAx>
      <c:valAx>
        <c:axId val="100990272"/>
        <c:scaling>
          <c:orientation val="minMax"/>
          <c:max val="48438642.425438493"/>
          <c:min val="16782675.904048529"/>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Treatment Time Curves - Extrapolation from the median time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PET-CT</c:v>
                </c:pt>
              </c:strCache>
            </c:strRef>
          </c:tx>
          <c:spPr>
            <a:ln w="28575" cap="rnd">
              <a:solidFill>
                <a:schemeClr val="accent1"/>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Data!$AK$10:$AK$58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2488-4F1D-966E-29BA501416B6}"/>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Data!$AL$10:$AL$58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2488-4F1D-966E-29BA501416B6}"/>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Data!$AM$10:$AM$58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Data!$AN$10:$AN$58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Data!$AO$8</c:f>
              <c:strCache>
                <c:ptCount val="1"/>
                <c:pt idx="0">
                  <c:v>CT scan + scintigraphy</c:v>
                </c:pt>
              </c:strCache>
            </c:strRef>
          </c:tx>
          <c:spPr>
            <a:ln w="28575" cap="rnd">
              <a:solidFill>
                <a:schemeClr val="accent5"/>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Data!$AO$10:$AO$58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2488-4F1D-966E-29BA501416B6}"/>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Data!$AP$10:$AP$58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Data!$AQ$10:$AQ$58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Data!$AR$10:$AR$58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Data!$AS$10:$AS$58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Data!$AT$10:$AT$58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Data!$AU$10:$AU$58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Data!$AV$10:$AV$58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Data!$AW$10:$AW$58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Data!$AX$10:$AX$58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Overall Survival Curves - Extrapolation from Median Survival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PET-CT</c:v>
                </c:pt>
              </c:strCache>
            </c:strRef>
          </c:tx>
          <c:spPr>
            <a:ln w="28575" cap="rnd">
              <a:solidFill>
                <a:schemeClr val="accent1"/>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Data!$AK$110:$AK$158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A598-4193-BA3D-4C7BDA1C2625}"/>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Data!$AL$110:$AL$158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A598-4193-BA3D-4C7BDA1C2625}"/>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Data!$AM$110:$AM$158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Data!$AN$110:$AN$158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Data!$AO$8</c:f>
              <c:strCache>
                <c:ptCount val="1"/>
                <c:pt idx="0">
                  <c:v>CT scan + scintigraphy</c:v>
                </c:pt>
              </c:strCache>
            </c:strRef>
          </c:tx>
          <c:spPr>
            <a:ln w="28575" cap="rnd">
              <a:solidFill>
                <a:schemeClr val="accent5"/>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Data!$AO$110:$AO$158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A598-4193-BA3D-4C7BDA1C2625}"/>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Data!$AP$110:$AP$158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Data!$AQ$110:$AQ$158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Data!$AR$110:$AR$158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Data!$AS$110:$AS$158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Data!$AT$110:$AT$158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Data!$AU$110:$AU$158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Data!$AV$110:$AV$158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Data!$AW$110:$AW$158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Data!$AX$110:$AX$158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Calculations!$B$54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2024</c:v>
                </c:pt>
                <c:pt idx="1">
                  <c:v>2025</c:v>
                </c:pt>
                <c:pt idx="2">
                  <c:v>2026</c:v>
                </c:pt>
                <c:pt idx="3">
                  <c:v>2027</c:v>
                </c:pt>
                <c:pt idx="4">
                  <c:v>2028</c:v>
                </c:pt>
              </c:numCache>
            </c:numRef>
          </c:cat>
          <c:val>
            <c:numRef>
              <c:f>Calculations!$AI$54:$AM$54</c:f>
              <c:numCache>
                <c:formatCode>#,##0</c:formatCode>
                <c:ptCount val="5"/>
                <c:pt idx="0">
                  <c:v>3960.115732704</c:v>
                </c:pt>
                <c:pt idx="1">
                  <c:v>6948.5486775959998</c:v>
                </c:pt>
                <c:pt idx="2">
                  <c:v>8952.5478344759995</c:v>
                </c:pt>
                <c:pt idx="3">
                  <c:v>9960.1355587079997</c:v>
                </c:pt>
                <c:pt idx="4">
                  <c:v>9960.1355587079997</c:v>
                </c:pt>
              </c:numCache>
            </c:numRef>
          </c:val>
          <c:extLst>
            <c:ext xmlns:c16="http://schemas.microsoft.com/office/drawing/2014/chart" uri="{C3380CC4-5D6E-409C-BE32-E72D297353CC}">
              <c16:uniqueId val="{00000000-D9D0-4702-A069-7BD861F3271F}"/>
            </c:ext>
          </c:extLst>
        </c:ser>
        <c:ser>
          <c:idx val="1"/>
          <c:order val="1"/>
          <c:tx>
            <c:strRef>
              <c:f>Calculations!$B$55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2024</c:v>
                </c:pt>
                <c:pt idx="1">
                  <c:v>2025</c:v>
                </c:pt>
                <c:pt idx="2">
                  <c:v>2026</c:v>
                </c:pt>
                <c:pt idx="3">
                  <c:v>2027</c:v>
                </c:pt>
                <c:pt idx="4">
                  <c:v>2028</c:v>
                </c:pt>
              </c:numCache>
            </c:numRef>
          </c:cat>
          <c:val>
            <c:numRef>
              <c:f>Calculations!$AI$55:$AM$55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9D0-4702-A069-7BD861F3271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Calculations!$B$69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2024</c:v>
                </c:pt>
                <c:pt idx="1">
                  <c:v>2025</c:v>
                </c:pt>
                <c:pt idx="2">
                  <c:v>2026</c:v>
                </c:pt>
                <c:pt idx="3">
                  <c:v>2027</c:v>
                </c:pt>
                <c:pt idx="4">
                  <c:v>2028</c:v>
                </c:pt>
              </c:numCache>
            </c:numRef>
          </c:cat>
          <c:val>
            <c:numRef>
              <c:f>Calculations!$AI$69:$AM$69</c:f>
              <c:numCache>
                <c:formatCode>#,##0</c:formatCode>
                <c:ptCount val="5"/>
                <c:pt idx="0">
                  <c:v>4455.1301992919998</c:v>
                </c:pt>
                <c:pt idx="1">
                  <c:v>8439.7074591479995</c:v>
                </c:pt>
                <c:pt idx="2">
                  <c:v>11946.705983688</c:v>
                </c:pt>
                <c:pt idx="3">
                  <c:v>14969.469156384001</c:v>
                </c:pt>
                <c:pt idx="4">
                  <c:v>17501.723572914001</c:v>
                </c:pt>
              </c:numCache>
            </c:numRef>
          </c:val>
          <c:extLst>
            <c:ext xmlns:c16="http://schemas.microsoft.com/office/drawing/2014/chart" uri="{C3380CC4-5D6E-409C-BE32-E72D297353CC}">
              <c16:uniqueId val="{00000000-8E9C-4EEE-8DE4-8FD9896C8393}"/>
            </c:ext>
          </c:extLst>
        </c:ser>
        <c:ser>
          <c:idx val="1"/>
          <c:order val="1"/>
          <c:tx>
            <c:strRef>
              <c:f>Calculations!$B$70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2024</c:v>
                </c:pt>
                <c:pt idx="1">
                  <c:v>2025</c:v>
                </c:pt>
                <c:pt idx="2">
                  <c:v>2026</c:v>
                </c:pt>
                <c:pt idx="3">
                  <c:v>2027</c:v>
                </c:pt>
                <c:pt idx="4">
                  <c:v>2028</c:v>
                </c:pt>
              </c:numCache>
            </c:numRef>
          </c:cat>
          <c:val>
            <c:numRef>
              <c:f>Calculations!$AI$70:$AM$70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E9C-4EEE-8DE4-8FD9896C8393}"/>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Calculations!$B$84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2024</c:v>
                </c:pt>
                <c:pt idx="1">
                  <c:v>2025</c:v>
                </c:pt>
                <c:pt idx="2">
                  <c:v>2026</c:v>
                </c:pt>
                <c:pt idx="3">
                  <c:v>2027</c:v>
                </c:pt>
                <c:pt idx="4">
                  <c:v>2028</c:v>
                </c:pt>
              </c:numCache>
            </c:numRef>
          </c:cat>
          <c:val>
            <c:numRef>
              <c:f>Calculations!$AI$84:$AM$84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53A-4956-987B-171D0B2F1D8F}"/>
            </c:ext>
          </c:extLst>
        </c:ser>
        <c:ser>
          <c:idx val="1"/>
          <c:order val="1"/>
          <c:tx>
            <c:strRef>
              <c:f>Calculations!$B$85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2024</c:v>
                </c:pt>
                <c:pt idx="1">
                  <c:v>2025</c:v>
                </c:pt>
                <c:pt idx="2">
                  <c:v>2026</c:v>
                </c:pt>
                <c:pt idx="3">
                  <c:v>2027</c:v>
                </c:pt>
                <c:pt idx="4">
                  <c:v>2028</c:v>
                </c:pt>
              </c:numCache>
            </c:numRef>
          </c:cat>
          <c:val>
            <c:numRef>
              <c:f>Calculations!$AI$85:$AM$85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53A-4956-987B-171D0B2F1D8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a:t>
            </a:r>
            <a:r>
              <a:rPr lang="pt-BR" baseline="0"/>
              <a:t> 1 - Cenário atual</a:t>
            </a:r>
            <a:endParaRPr lang="pt-B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Calculations!$AH$39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2024</c:v>
                </c:pt>
                <c:pt idx="1">
                  <c:v>2025</c:v>
                </c:pt>
                <c:pt idx="2">
                  <c:v>2026</c:v>
                </c:pt>
                <c:pt idx="3">
                  <c:v>2027</c:v>
                </c:pt>
                <c:pt idx="4">
                  <c:v>2028</c:v>
                </c:pt>
              </c:numCache>
            </c:numRef>
          </c:cat>
          <c:val>
            <c:numRef>
              <c:f>Calculations!$AI$39:$AM$39</c:f>
              <c:numCache>
                <c:formatCode>#,##0</c:formatCode>
                <c:ptCount val="5"/>
                <c:pt idx="0">
                  <c:v>4950.1446658799996</c:v>
                </c:pt>
                <c:pt idx="1">
                  <c:v>9930.8662406999993</c:v>
                </c:pt>
                <c:pt idx="2">
                  <c:v>14940.864132899998</c:v>
                </c:pt>
                <c:pt idx="3">
                  <c:v>19978.802754059998</c:v>
                </c:pt>
                <c:pt idx="4">
                  <c:v>25043.311587119999</c:v>
                </c:pt>
              </c:numCache>
            </c:numRef>
          </c:val>
          <c:extLst>
            <c:ext xmlns:c16="http://schemas.microsoft.com/office/drawing/2014/chart" uri="{C3380CC4-5D6E-409C-BE32-E72D297353CC}">
              <c16:uniqueId val="{00000000-338F-438D-A047-5C7ED784E182}"/>
            </c:ext>
          </c:extLst>
        </c:ser>
        <c:ser>
          <c:idx val="1"/>
          <c:order val="1"/>
          <c:tx>
            <c:strRef>
              <c:f>Calculations!$AH$40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2024</c:v>
                </c:pt>
                <c:pt idx="1">
                  <c:v>2025</c:v>
                </c:pt>
                <c:pt idx="2">
                  <c:v>2026</c:v>
                </c:pt>
                <c:pt idx="3">
                  <c:v>2027</c:v>
                </c:pt>
                <c:pt idx="4">
                  <c:v>2028</c:v>
                </c:pt>
              </c:numCache>
            </c:numRef>
          </c:cat>
          <c:val>
            <c:numRef>
              <c:f>Calculations!$AI$40:$AM$40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8F-438D-A047-5C7ED784E182}"/>
            </c:ext>
          </c:extLst>
        </c:ser>
        <c:dLbls>
          <c:dLblPos val="ctr"/>
          <c:showLegendKey val="0"/>
          <c:showVal val="1"/>
          <c:showCatName val="0"/>
          <c:showSerName val="0"/>
          <c:showPercent val="0"/>
          <c:showBubbleSize val="0"/>
        </c:dLbls>
        <c:gapWidth val="150"/>
        <c:overlap val="100"/>
        <c:axId val="544272464"/>
        <c:axId val="544273424"/>
      </c:barChart>
      <c:catAx>
        <c:axId val="5442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3424"/>
        <c:crosses val="autoZero"/>
        <c:auto val="1"/>
        <c:lblAlgn val="ctr"/>
        <c:lblOffset val="100"/>
        <c:noMultiLvlLbl val="0"/>
      </c:catAx>
      <c:valAx>
        <c:axId val="544273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Epidemiological funnel</cx:v>
        </cx:txData>
      </cx:tx>
      <cx:txPr>
        <a:bodyPr spcFirstLastPara="1" vertOverflow="ellipsis" horzOverflow="overflow" wrap="square" lIns="0" tIns="0" rIns="0" bIns="0" anchor="ctr" anchorCtr="1"/>
        <a:lstStyle/>
        <a:p>
          <a:pPr algn="ctr" rtl="0">
            <a:defRPr sz="1000">
              <a:solidFill>
                <a:schemeClr val="tx1"/>
              </a:solidFill>
              <a:latin typeface="+mn-lt"/>
            </a:defRPr>
          </a:pPr>
          <a:r>
            <a:rPr lang="pt-BR" sz="1000" b="0" i="0" u="none" strike="noStrike" baseline="0">
              <a:solidFill>
                <a:schemeClr val="tx1"/>
              </a:solidFill>
              <a:latin typeface="+mn-lt"/>
            </a:rPr>
            <a:t>Epidemiological funnel</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Technology-Specific Costs</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Initial treatment cost (e.g., induction therapy)</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Ongoing monthly treatment cost (recurrent/continuous)</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General Costs for All Technologies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Initial general costs (e.g., molecular testing)</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Additional monthly costs (e.g., adverse event monitoring)</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Monthly costs DURING treatment (e.g., routine follow-up)</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Monthly costs AFTER treatment (e.g., progression-related costs)</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3984808" cy="1750867"/>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Technology-Specific Costs</a:t>
          </a:r>
        </a:p>
      </dsp:txBody>
      <dsp:txXfrm>
        <a:off x="0" y="0"/>
        <a:ext cx="3984808" cy="525260"/>
      </dsp:txXfrm>
    </dsp:sp>
    <dsp:sp modelId="{88512D4D-0D2B-4960-B981-45FD8E6902FF}">
      <dsp:nvSpPr>
        <dsp:cNvPr id="0" name=""/>
        <dsp:cNvSpPr/>
      </dsp:nvSpPr>
      <dsp:spPr>
        <a:xfrm>
          <a:off x="402623" y="525409"/>
          <a:ext cx="3187846" cy="343975"/>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Initial treatment cost (e.g., induction therapy)</a:t>
          </a:r>
        </a:p>
      </dsp:txBody>
      <dsp:txXfrm>
        <a:off x="412698" y="535484"/>
        <a:ext cx="3167696" cy="323825"/>
      </dsp:txXfrm>
    </dsp:sp>
    <dsp:sp modelId="{87937309-444C-47D5-B38C-A1FE2518E68E}">
      <dsp:nvSpPr>
        <dsp:cNvPr id="0" name=""/>
        <dsp:cNvSpPr/>
      </dsp:nvSpPr>
      <dsp:spPr>
        <a:xfrm>
          <a:off x="402623" y="922304"/>
          <a:ext cx="3187846" cy="343975"/>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Ongoing monthly treatment cost (recurrent/continuous)</a:t>
          </a:r>
        </a:p>
      </dsp:txBody>
      <dsp:txXfrm>
        <a:off x="412698" y="932379"/>
        <a:ext cx="3167696" cy="323825"/>
      </dsp:txXfrm>
    </dsp:sp>
    <dsp:sp modelId="{E7D0DB12-B9DE-4B49-A14C-AE9BDA250EC1}">
      <dsp:nvSpPr>
        <dsp:cNvPr id="0" name=""/>
        <dsp:cNvSpPr/>
      </dsp:nvSpPr>
      <dsp:spPr>
        <a:xfrm>
          <a:off x="402623" y="1319198"/>
          <a:ext cx="3187846" cy="343975"/>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Additional monthly costs (e.g., adverse event monitoring)</a:t>
          </a:r>
        </a:p>
      </dsp:txBody>
      <dsp:txXfrm>
        <a:off x="412698" y="1329273"/>
        <a:ext cx="3167696" cy="323825"/>
      </dsp:txXfrm>
    </dsp:sp>
    <dsp:sp modelId="{6D4A1F18-AB19-42D1-B23B-99F41011B617}">
      <dsp:nvSpPr>
        <dsp:cNvPr id="0" name=""/>
        <dsp:cNvSpPr/>
      </dsp:nvSpPr>
      <dsp:spPr>
        <a:xfrm>
          <a:off x="4287811" y="0"/>
          <a:ext cx="3984808" cy="1750867"/>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General Costs for All Technologies</a:t>
          </a:r>
        </a:p>
      </dsp:txBody>
      <dsp:txXfrm>
        <a:off x="4287811" y="0"/>
        <a:ext cx="3984808" cy="525260"/>
      </dsp:txXfrm>
    </dsp:sp>
    <dsp:sp modelId="{B407A87B-58B8-4399-BCAA-8CF8B3915EAF}">
      <dsp:nvSpPr>
        <dsp:cNvPr id="0" name=""/>
        <dsp:cNvSpPr/>
      </dsp:nvSpPr>
      <dsp:spPr>
        <a:xfrm>
          <a:off x="4686292" y="525409"/>
          <a:ext cx="3187846" cy="343975"/>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Initial general costs (e.g., molecular testing)</a:t>
          </a:r>
        </a:p>
      </dsp:txBody>
      <dsp:txXfrm>
        <a:off x="4696367" y="535484"/>
        <a:ext cx="3167696" cy="323825"/>
      </dsp:txXfrm>
    </dsp:sp>
    <dsp:sp modelId="{CAD01943-AF78-49A9-A5A7-D9253BDC1D38}">
      <dsp:nvSpPr>
        <dsp:cNvPr id="0" name=""/>
        <dsp:cNvSpPr/>
      </dsp:nvSpPr>
      <dsp:spPr>
        <a:xfrm>
          <a:off x="4686292" y="922304"/>
          <a:ext cx="3187846" cy="343975"/>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Monthly costs DURING treatment (e.g., routine follow-up)</a:t>
          </a:r>
        </a:p>
      </dsp:txBody>
      <dsp:txXfrm>
        <a:off x="4696367" y="932379"/>
        <a:ext cx="3167696" cy="323825"/>
      </dsp:txXfrm>
    </dsp:sp>
    <dsp:sp modelId="{D24F3DF7-D72B-452B-A723-8AFDBB205F7B}">
      <dsp:nvSpPr>
        <dsp:cNvPr id="0" name=""/>
        <dsp:cNvSpPr/>
      </dsp:nvSpPr>
      <dsp:spPr>
        <a:xfrm>
          <a:off x="4686292" y="1319198"/>
          <a:ext cx="3187846" cy="343975"/>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Monthly costs AFTER treatment (e.g., progression-related costs)</a:t>
          </a:r>
        </a:p>
      </dsp:txBody>
      <dsp:txXfrm>
        <a:off x="4696367" y="1329273"/>
        <a:ext cx="3167696" cy="323825"/>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tions!A1"/></Relationships>
</file>

<file path=xl/drawings/_rels/drawing2.xml.rels><?xml version="1.0" encoding="UTF-8" standalone="yes"?>
<Relationships xmlns="http://schemas.openxmlformats.org/package/2006/relationships"><Relationship Id="rId2" Type="http://schemas.openxmlformats.org/officeDocument/2006/relationships/hyperlink" Target="#Introduction!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tions!A1"/><Relationship Id="rId1" Type="http://schemas.openxmlformats.org/officeDocument/2006/relationships/hyperlink" Target="#Population!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Mkt share'!A1"/><Relationship Id="rId1" Type="http://schemas.openxmlformats.org/officeDocument/2006/relationships/hyperlink" Target="#Costs!A1"/><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Population!A1"/><Relationship Id="rId1" Type="http://schemas.openxmlformats.org/officeDocument/2006/relationships/hyperlink" Target="#'Time on treatment'!A1"/><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Costs!A1"/><Relationship Id="rId1" Type="http://schemas.openxmlformats.org/officeDocument/2006/relationships/hyperlink" Target="#Results!A1"/><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hyperlink" Target="#'Time on treatment'!A1"/><Relationship Id="rId1" Type="http://schemas.openxmlformats.org/officeDocument/2006/relationships/hyperlink" Target="#SensibilityAn!A1"/><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hyperlink" Target="#Results!A1"/><Relationship Id="rId1" Type="http://schemas.openxmlformats.org/officeDocument/2006/relationships/hyperlink" Target="#PSA!A1"/><Relationship Id="rId4"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alculations!A1"/><Relationship Id="rId1" Type="http://schemas.openxmlformats.org/officeDocument/2006/relationships/hyperlink" Target="#Results!A1"/><Relationship Id="rId4" Type="http://schemas.openxmlformats.org/officeDocument/2006/relationships/image" Target="../media/image3.svg"/></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hyperlink" Target="#'Time on treatment'!A1"/></Relationships>
</file>

<file path=xl/drawings/_rels/drawing13.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5" Type="http://schemas.openxmlformats.org/officeDocument/2006/relationships/hyperlink" Target="#Results!A1"/><Relationship Id="rId4"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1" Type="http://schemas.openxmlformats.org/officeDocument/2006/relationships/hyperlink" Target="#Results!A1"/></Relationships>
</file>

<file path=xl/drawings/_rels/drawing15.xml.rels><?xml version="1.0" encoding="UTF-8" standalone="yes"?>
<Relationships xmlns="http://schemas.openxmlformats.org/package/2006/relationships"><Relationship Id="rId1" Type="http://schemas.openxmlformats.org/officeDocument/2006/relationships/hyperlink" Target="#Results!A1"/></Relationships>
</file>

<file path=xl/drawings/_rels/drawing16.xml.rels><?xml version="1.0" encoding="UTF-8" standalone="yes"?>
<Relationships xmlns="http://schemas.openxmlformats.org/package/2006/relationships"><Relationship Id="rId1" Type="http://schemas.openxmlformats.org/officeDocument/2006/relationships/hyperlink" Target="#Results!A1"/></Relationships>
</file>

<file path=xl/drawings/_rels/drawing17.xml.rels><?xml version="1.0" encoding="UTF-8" standalone="yes"?>
<Relationships xmlns="http://schemas.openxmlformats.org/package/2006/relationships"><Relationship Id="rId1" Type="http://schemas.openxmlformats.org/officeDocument/2006/relationships/hyperlink" Target="#SensibilityAn!A1"/></Relationships>
</file>

<file path=xl/drawings/drawing1.xml><?xml version="1.0" encoding="utf-8"?>
<xdr:wsDr xmlns:xdr="http://schemas.openxmlformats.org/drawingml/2006/spreadsheetDrawing" xmlns:a="http://schemas.openxmlformats.org/drawingml/2006/main">
  <xdr:twoCellAnchor editAs="absolute">
    <xdr:from>
      <xdr:col>1</xdr:col>
      <xdr:colOff>190502</xdr:colOff>
      <xdr:row>4</xdr:row>
      <xdr:rowOff>8660</xdr:rowOff>
    </xdr:from>
    <xdr:to>
      <xdr:col>5</xdr:col>
      <xdr:colOff>910167</xdr:colOff>
      <xdr:row>12</xdr:row>
      <xdr:rowOff>25978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635002" y="897660"/>
          <a:ext cx="7164915"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General Information</a:t>
          </a:r>
        </a:p>
        <a:p>
          <a:r>
            <a:rPr lang="pt-BR" sz="1100" b="0" i="0" u="none" strike="noStrike">
              <a:solidFill>
                <a:srgbClr val="000000"/>
              </a:solidFill>
              <a:effectLst/>
              <a:latin typeface="Calibri" panose="020F0502020204030204" pitchFamily="34" charset="0"/>
            </a:rPr>
            <a:t>This document was developed by the Unit of Health Technology Assessment (UATS) of the Hospital Alemão Oswaldo Cruz, through a Proadi-SUS partnership.</a:t>
          </a:r>
        </a:p>
        <a:p>
          <a:r>
            <a:rPr lang="pt-BR" b="1">
              <a:solidFill>
                <a:srgbClr val="C00000"/>
              </a:solidFill>
            </a:rPr>
            <a:t>This spreadsheet is intended solely for educational and non-commercial purposes. Reproduction, distribution, or use for commercial gain without prior written permission is strictly prohibited.</a:t>
          </a:r>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Instructions for Use</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Build the model by defining the number of scenarios, alternatives, and time horizon in the following tabs.</a:t>
          </a:r>
        </a:p>
        <a:p>
          <a:r>
            <a:rPr lang="pt-BR" sz="1100" b="0" i="0" u="none" strike="noStrike">
              <a:solidFill>
                <a:srgbClr val="000000"/>
              </a:solidFill>
              <a:effectLst/>
              <a:latin typeface="Calibri" panose="020F0502020204030204" pitchFamily="34" charset="0"/>
            </a:rPr>
            <a:t>For further guidance, see the instruction manual.</a:t>
          </a:r>
          <a:endParaRPr lang="pt-BR" sz="1100" b="0" i="0" u="none" strike="noStrike">
            <a:solidFill>
              <a:schemeClr val="dk1"/>
            </a:solidFill>
            <a:effectLst/>
            <a:latin typeface="+mn-lt"/>
          </a:endParaRPr>
        </a:p>
      </xdr:txBody>
    </xdr:sp>
    <xdr:clientData/>
  </xdr:twoCellAnchor>
  <xdr:twoCellAnchor editAs="absolute">
    <xdr:from>
      <xdr:col>1</xdr:col>
      <xdr:colOff>181839</xdr:colOff>
      <xdr:row>22</xdr:row>
      <xdr:rowOff>69273</xdr:rowOff>
    </xdr:from>
    <xdr:to>
      <xdr:col>8</xdr:col>
      <xdr:colOff>232834</xdr:colOff>
      <xdr:row>27</xdr:row>
      <xdr:rowOff>86590</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Date of last update of the template spreadsheet:</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September, 2026</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Prepared by:</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and Ludmila Peres Gargano</a:t>
          </a:r>
        </a:p>
        <a:p>
          <a:r>
            <a:rPr lang="pt-BR" sz="1100" b="1" i="0" u="none" strike="noStrike">
              <a:solidFill>
                <a:srgbClr val="0EB1BA"/>
              </a:solidFill>
              <a:effectLst/>
              <a:latin typeface="Calibri" panose="020F0502020204030204" pitchFamily="34" charset="0"/>
            </a:rPr>
            <a:t>Coordinated/Reviewed by</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Validated by:</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editAs="absolute">
    <xdr:from>
      <xdr:col>1</xdr:col>
      <xdr:colOff>173529</xdr:colOff>
      <xdr:row>12</xdr:row>
      <xdr:rowOff>129540</xdr:rowOff>
    </xdr:from>
    <xdr:to>
      <xdr:col>8</xdr:col>
      <xdr:colOff>220345</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573579" y="2434590"/>
          <a:ext cx="10524316" cy="1651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baseline="0">
              <a:solidFill>
                <a:srgbClr val="0EB1BA"/>
              </a:solidFill>
              <a:effectLst/>
              <a:latin typeface="Calibri" panose="020F0502020204030204" pitchFamily="34" charset="0"/>
            </a:rPr>
            <a:t>Rationale for using the spreadsheet</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Save a copy of the spreadsheet to start a new analysis;</a:t>
          </a:r>
        </a:p>
        <a:p>
          <a:r>
            <a:rPr lang="pt-BR" sz="1100" b="0" i="0" u="none" strike="noStrike">
              <a:solidFill>
                <a:srgbClr val="000000"/>
              </a:solidFill>
              <a:effectLst/>
              <a:latin typeface="Calibri" panose="020F0502020204030204" pitchFamily="34" charset="0"/>
            </a:rPr>
            <a:t>2. Under </a:t>
          </a:r>
          <a:r>
            <a:rPr lang="pt-BR" sz="1100" b="1" i="0" u="none" strike="noStrike">
              <a:solidFill>
                <a:srgbClr val="000000"/>
              </a:solidFill>
              <a:effectLst/>
              <a:latin typeface="Calibri" panose="020F0502020204030204" pitchFamily="34" charset="0"/>
            </a:rPr>
            <a:t>'Definitions</a:t>
          </a:r>
          <a:r>
            <a:rPr lang="pt-BR" sz="1100" b="0" i="0" u="none" strike="noStrike">
              <a:solidFill>
                <a:srgbClr val="000000"/>
              </a:solidFill>
              <a:effectLst/>
              <a:latin typeface="Calibri" panose="020F0502020204030204" pitchFamily="34" charset="0"/>
            </a:rPr>
            <a:t>', describe the components of the research question: population (clinical condition), intervention(s), and comparators (alternatives);</a:t>
          </a:r>
        </a:p>
        <a:p>
          <a:r>
            <a:rPr lang="pt-BR" sz="1100" b="0" i="0" u="none" strike="noStrike">
              <a:solidFill>
                <a:srgbClr val="000000"/>
              </a:solidFill>
              <a:effectLst/>
              <a:latin typeface="Calibri" panose="020F0502020204030204" pitchFamily="34" charset="0"/>
            </a:rPr>
            <a:t>3. and 4. Under </a:t>
          </a:r>
          <a:r>
            <a:rPr lang="pt-BR" sz="1100" b="1" i="0" u="none" strike="noStrike">
              <a:solidFill>
                <a:srgbClr val="000000"/>
              </a:solidFill>
              <a:effectLst/>
              <a:latin typeface="Calibri" panose="020F0502020204030204" pitchFamily="34" charset="0"/>
            </a:rPr>
            <a:t>'Market Share</a:t>
          </a:r>
          <a:r>
            <a:rPr lang="pt-BR" sz="1100" b="0" i="0" u="none" strike="noStrike">
              <a:solidFill>
                <a:srgbClr val="000000"/>
              </a:solidFill>
              <a:effectLst/>
              <a:latin typeface="Calibri" panose="020F0502020204030204" pitchFamily="34" charset="0"/>
            </a:rPr>
            <a:t>' enter the year the analysis began and the expected market share percentages for each scenario (current and proposed scenarios);</a:t>
          </a:r>
        </a:p>
        <a:p>
          <a:r>
            <a:rPr lang="pt-BR" sz="1100" b="0" i="0" u="none" strike="noStrike">
              <a:solidFill>
                <a:srgbClr val="000000"/>
              </a:solidFill>
              <a:effectLst/>
              <a:latin typeface="Calibri" panose="020F0502020204030204" pitchFamily="34" charset="0"/>
            </a:rPr>
            <a:t>5. Under </a:t>
          </a:r>
          <a:r>
            <a:rPr lang="pt-BR" sz="1100" b="1" i="0" u="none" strike="noStrike">
              <a:solidFill>
                <a:srgbClr val="000000"/>
              </a:solidFill>
              <a:effectLst/>
              <a:latin typeface="Calibri" panose="020F0502020204030204" pitchFamily="34" charset="0"/>
            </a:rPr>
            <a:t>'Population'</a:t>
          </a:r>
          <a:r>
            <a:rPr lang="pt-BR" sz="1100" b="0" i="0" u="none" strike="noStrike">
              <a:solidFill>
                <a:srgbClr val="000000"/>
              </a:solidFill>
              <a:effectLst/>
              <a:latin typeface="Calibri" panose="020F0502020204030204" pitchFamily="34" charset="0"/>
            </a:rPr>
            <a:t>, enter the method for calculating the eligible population and the parameters required for the estimates;</a:t>
          </a:r>
        </a:p>
        <a:p>
          <a:r>
            <a:rPr lang="pt-BR" sz="1100" b="0" i="0" u="none" strike="noStrike">
              <a:solidFill>
                <a:srgbClr val="000000"/>
              </a:solidFill>
              <a:effectLst/>
              <a:latin typeface="Calibri" panose="020F0502020204030204" pitchFamily="34" charset="0"/>
            </a:rPr>
            <a:t>6. Under </a:t>
          </a:r>
          <a:r>
            <a:rPr lang="pt-BR" sz="1100" b="1" i="0" u="none" strike="noStrike">
              <a:solidFill>
                <a:srgbClr val="000000"/>
              </a:solidFill>
              <a:effectLst/>
              <a:latin typeface="Calibri" panose="020F0502020204030204" pitchFamily="34" charset="0"/>
            </a:rPr>
            <a:t>'Costs</a:t>
          </a:r>
          <a:r>
            <a:rPr lang="pt-BR" sz="1100" b="0" i="0" u="none" strike="noStrike">
              <a:solidFill>
                <a:srgbClr val="000000"/>
              </a:solidFill>
              <a:effectLst/>
              <a:latin typeface="Calibri" panose="020F0502020204030204" pitchFamily="34" charset="0"/>
            </a:rPr>
            <a:t>,' enter the resources and costs involved according to the type of technology;</a:t>
          </a:r>
        </a:p>
        <a:p>
          <a:r>
            <a:rPr lang="pt-BR" sz="1100" b="0" i="0" u="none" strike="noStrike">
              <a:solidFill>
                <a:srgbClr val="000000"/>
              </a:solidFill>
              <a:effectLst/>
              <a:latin typeface="Calibri" panose="020F0502020204030204" pitchFamily="34" charset="0"/>
            </a:rPr>
            <a:t>7. Under </a:t>
          </a:r>
          <a:r>
            <a:rPr lang="pt-BR" sz="1100" b="1" i="0" u="none" strike="noStrike">
              <a:solidFill>
                <a:srgbClr val="000000"/>
              </a:solidFill>
              <a:effectLst/>
              <a:latin typeface="Calibri" panose="020F0502020204030204" pitchFamily="34" charset="0"/>
            </a:rPr>
            <a:t>'Time of Use'</a:t>
          </a:r>
          <a:r>
            <a:rPr lang="pt-BR" sz="1100" b="0" i="0" u="none" strike="noStrike">
              <a:solidFill>
                <a:srgbClr val="000000"/>
              </a:solidFill>
              <a:effectLst/>
              <a:latin typeface="Calibri" panose="020F0502020204030204" pitchFamily="34" charset="0"/>
            </a:rPr>
            <a:t>, indicate which strategy will be used to report the time of use of the technologies over the years;</a:t>
          </a:r>
        </a:p>
        <a:p>
          <a:r>
            <a:rPr lang="pt-BR" sz="1100" b="0" i="0" u="none" strike="noStrike">
              <a:solidFill>
                <a:srgbClr val="000000"/>
              </a:solidFill>
              <a:effectLst/>
              <a:latin typeface="Calibri" panose="020F0502020204030204" pitchFamily="34" charset="0"/>
            </a:rPr>
            <a:t>8 and 9. Evaluate the results and sensitivity analyses in the </a:t>
          </a:r>
          <a:r>
            <a:rPr lang="pt-BR" sz="1100" b="1" i="0" u="none" strike="noStrike">
              <a:solidFill>
                <a:srgbClr val="000000"/>
              </a:solidFill>
              <a:effectLst/>
              <a:latin typeface="Calibri" panose="020F0502020204030204" pitchFamily="34" charset="0"/>
            </a:rPr>
            <a:t>'Results</a:t>
          </a:r>
          <a:r>
            <a:rPr lang="pt-BR" sz="1100" b="0" i="0" u="none" strike="noStrike">
              <a:solidFill>
                <a:srgbClr val="000000"/>
              </a:solidFill>
              <a:effectLst/>
              <a:latin typeface="Calibri" panose="020F0502020204030204" pitchFamily="34" charset="0"/>
            </a:rPr>
            <a:t>' and</a:t>
          </a:r>
          <a:r>
            <a:rPr lang="pt-BR" sz="1100" b="0" i="0" u="none" strike="noStrike" baseline="0">
              <a:solidFill>
                <a:srgbClr val="000000"/>
              </a:solidFill>
              <a:effectLst/>
              <a:latin typeface="Calibri" panose="020F0502020204030204" pitchFamily="34" charset="0"/>
            </a:rPr>
            <a:t> '</a:t>
          </a:r>
          <a:r>
            <a:rPr lang="pt-BR" sz="1100" b="1" i="0" u="none" strike="noStrike" baseline="0">
              <a:solidFill>
                <a:srgbClr val="000000"/>
              </a:solidFill>
              <a:effectLst/>
              <a:latin typeface="Calibri" panose="020F0502020204030204" pitchFamily="34" charset="0"/>
            </a:rPr>
            <a:t>SensibilityAn</a:t>
          </a:r>
          <a:r>
            <a:rPr lang="pt-BR" sz="1100" b="0" i="0" u="none" strike="noStrike" baseline="0">
              <a:solidFill>
                <a:srgbClr val="000000"/>
              </a:solidFill>
              <a:effectLst/>
              <a:latin typeface="Calibri" panose="020F0502020204030204" pitchFamily="34" charset="0"/>
            </a:rPr>
            <a:t>' </a:t>
          </a:r>
          <a:r>
            <a:rPr lang="pt-BR" sz="1100" b="0" i="0" u="none" strike="noStrike">
              <a:solidFill>
                <a:srgbClr val="000000"/>
              </a:solidFill>
              <a:effectLst/>
              <a:latin typeface="Calibri" panose="020F0502020204030204" pitchFamily="34" charset="0"/>
            </a:rPr>
            <a:t>tabs.</a:t>
          </a:r>
          <a:endParaRPr lang="pt-BR" sz="1100" b="0" i="0" u="none" strike="noStrike" baseline="0">
            <a:solidFill>
              <a:schemeClr val="dk1"/>
            </a:solidFill>
            <a:effectLst/>
            <a:latin typeface="+mn-lt"/>
          </a:endParaRP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400050" y="439189"/>
          <a:ext cx="3996690" cy="221499"/>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Introduction</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Netx: Definitions</a:t>
            </a:r>
            <a:endParaRPr lang="pt-BR" sz="1100" i="1" kern="1200">
              <a:solidFill>
                <a:schemeClr val="accent5"/>
              </a:solidFill>
            </a:endParaRPr>
          </a:p>
        </xdr:txBody>
      </xdr:sp>
    </xdr:grpSp>
    <xdr:clientData/>
  </xdr:twoCellAnchor>
  <xdr:twoCellAnchor editAs="absolute">
    <xdr:from>
      <xdr:col>5</xdr:col>
      <xdr:colOff>1014941</xdr:colOff>
      <xdr:row>4</xdr:row>
      <xdr:rowOff>12508</xdr:rowOff>
    </xdr:from>
    <xdr:to>
      <xdr:col>8</xdr:col>
      <xdr:colOff>226484</xdr:colOff>
      <xdr:row>12</xdr:row>
      <xdr:rowOff>21167</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7211906" y="873568"/>
          <a:ext cx="3892128" cy="1448839"/>
          <a:chOff x="6343650" y="877167"/>
          <a:chExt cx="4429126" cy="1532659"/>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32659"/>
            <a:chOff x="7244198" y="8122227"/>
            <a:chExt cx="2427639" cy="1532659"/>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326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48869" y="81741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626186"/>
              <a:ext cx="1868299"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337385"/>
              <a:ext cx="1394114" cy="30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Buttons for navigating between tabs.</a:t>
              </a:r>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400050" y="440055"/>
          <a:ext cx="5170170" cy="232410"/>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Definitions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Market share and time horizon</a:t>
            </a:r>
            <a:endParaRPr lang="pt-BR" sz="1100" i="1" kern="1200">
              <a:solidFill>
                <a:schemeClr val="accent5"/>
              </a:solidFill>
            </a:endParaRPr>
          </a:p>
        </xdr:txBody>
      </xdr:sp>
    </xdr:grpSp>
    <xdr:clientData/>
  </xdr:twoCellAnchor>
  <xdr:twoCellAnchor editAs="absolute">
    <xdr:from>
      <xdr:col>10</xdr:col>
      <xdr:colOff>515417</xdr:colOff>
      <xdr:row>11</xdr:row>
      <xdr:rowOff>20004</xdr:rowOff>
    </xdr:from>
    <xdr:to>
      <xdr:col>20</xdr:col>
      <xdr:colOff>116417</xdr:colOff>
      <xdr:row>14</xdr:row>
      <xdr:rowOff>92049</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9646082" y="2730819"/>
          <a:ext cx="3510060" cy="622590"/>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10</xdr:col>
      <xdr:colOff>498378</xdr:colOff>
      <xdr:row>4</xdr:row>
      <xdr:rowOff>58574</xdr:rowOff>
    </xdr:from>
    <xdr:to>
      <xdr:col>20</xdr:col>
      <xdr:colOff>39691</xdr:colOff>
      <xdr:row>10</xdr:row>
      <xdr:rowOff>55880</xdr:rowOff>
    </xdr:to>
    <xdr:grpSp>
      <xdr:nvGrpSpPr>
        <xdr:cNvPr id="4" name="Agrupar 3">
          <a:extLst>
            <a:ext uri="{FF2B5EF4-FFF2-40B4-BE49-F238E27FC236}">
              <a16:creationId xmlns:a16="http://schemas.microsoft.com/office/drawing/2014/main" id="{BC89FCFD-DEF4-274E-AA7E-54177C722FCB}"/>
            </a:ext>
          </a:extLst>
        </xdr:cNvPr>
        <xdr:cNvGrpSpPr/>
      </xdr:nvGrpSpPr>
      <xdr:grpSpPr>
        <a:xfrm>
          <a:off x="9632853" y="912014"/>
          <a:ext cx="3446563" cy="1681326"/>
          <a:chOff x="7244198" y="8503227"/>
          <a:chExt cx="1845115" cy="1168977"/>
        </a:xfrm>
      </xdr:grpSpPr>
      <xdr:sp macro="" textlink="">
        <xdr:nvSpPr>
          <xdr:cNvPr id="5" name="CaixaDeTexto 4">
            <a:extLst>
              <a:ext uri="{FF2B5EF4-FFF2-40B4-BE49-F238E27FC236}">
                <a16:creationId xmlns:a16="http://schemas.microsoft.com/office/drawing/2014/main" id="{88DFDCA8-02D1-27CD-19FC-94C6AB10CF5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7" name="Retângulo 6">
            <a:extLst>
              <a:ext uri="{FF2B5EF4-FFF2-40B4-BE49-F238E27FC236}">
                <a16:creationId xmlns:a16="http://schemas.microsoft.com/office/drawing/2014/main" id="{6540253D-C96C-9CCB-81E7-520653A65BF6}"/>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9" name="Retângulo 8">
            <a:extLst>
              <a:ext uri="{FF2B5EF4-FFF2-40B4-BE49-F238E27FC236}">
                <a16:creationId xmlns:a16="http://schemas.microsoft.com/office/drawing/2014/main" id="{5D0ECCA8-9899-9889-93DA-77A3F5562DB7}"/>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0" name="CaixaDeTexto 9">
            <a:extLst>
              <a:ext uri="{FF2B5EF4-FFF2-40B4-BE49-F238E27FC236}">
                <a16:creationId xmlns:a16="http://schemas.microsoft.com/office/drawing/2014/main" id="{BEE25AF6-FBDD-4799-2E99-4AE0F390BAA1}"/>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11" name="CaixaDeTexto 10">
            <a:extLst>
              <a:ext uri="{FF2B5EF4-FFF2-40B4-BE49-F238E27FC236}">
                <a16:creationId xmlns:a16="http://schemas.microsoft.com/office/drawing/2014/main" id="{196804BA-436F-419F-944E-5FE25CC9D60A}"/>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12" name="CaixaDeTexto 11">
            <a:extLst>
              <a:ext uri="{FF2B5EF4-FFF2-40B4-BE49-F238E27FC236}">
                <a16:creationId xmlns:a16="http://schemas.microsoft.com/office/drawing/2014/main" id="{4BD3DFB7-5982-08FE-BC48-41E3AD2EDA0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66725" y="440055"/>
          <a:ext cx="4650104" cy="30099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Mkt Share &amp;</a:t>
              </a:r>
              <a:r>
                <a:rPr lang="pt-BR" sz="1100" b="1" i="1" kern="1200" baseline="0"/>
                <a:t> time horizon</a:t>
              </a:r>
              <a:endParaRPr lang="pt-BR" sz="1100" b="1" i="1" kern="1200"/>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Population</a:t>
            </a:r>
          </a:p>
        </xdr:txBody>
      </xdr:sp>
    </xdr:grpSp>
    <xdr:clientData/>
  </xdr:twoCellAnchor>
  <xdr:twoCellAnchor>
    <xdr:from>
      <xdr:col>18</xdr:col>
      <xdr:colOff>211667</xdr:colOff>
      <xdr:row>20</xdr:row>
      <xdr:rowOff>21167</xdr:rowOff>
    </xdr:from>
    <xdr:to>
      <xdr:col>27</xdr:col>
      <xdr:colOff>0</xdr:colOff>
      <xdr:row>36</xdr:row>
      <xdr:rowOff>49742</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212725</xdr:colOff>
      <xdr:row>39</xdr:row>
      <xdr:rowOff>171450</xdr:rowOff>
    </xdr:from>
    <xdr:to>
      <xdr:col>27</xdr:col>
      <xdr:colOff>52917</xdr:colOff>
      <xdr:row>56</xdr:row>
      <xdr:rowOff>9525</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232833</xdr:colOff>
      <xdr:row>60</xdr:row>
      <xdr:rowOff>10583</xdr:rowOff>
    </xdr:from>
    <xdr:to>
      <xdr:col>27</xdr:col>
      <xdr:colOff>116417</xdr:colOff>
      <xdr:row>77</xdr:row>
      <xdr:rowOff>39158</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223308</xdr:colOff>
      <xdr:row>80</xdr:row>
      <xdr:rowOff>28575</xdr:rowOff>
    </xdr:from>
    <xdr:to>
      <xdr:col>27</xdr:col>
      <xdr:colOff>137584</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59691</xdr:colOff>
      <xdr:row>13</xdr:row>
      <xdr:rowOff>111125</xdr:rowOff>
    </xdr:from>
    <xdr:to>
      <xdr:col>24</xdr:col>
      <xdr:colOff>568329</xdr:colOff>
      <xdr:row>19</xdr:row>
      <xdr:rowOff>57784</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142856" y="2644775"/>
          <a:ext cx="3512823" cy="1142999"/>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select the chart, click the "Chart Design" menu at the top, and then click "Select Data." Remove the fields with the text "Do not fill rows."</a:t>
              </a:r>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twoCellAnchor editAs="absolute">
    <xdr:from>
      <xdr:col>19</xdr:col>
      <xdr:colOff>74083</xdr:colOff>
      <xdr:row>3</xdr:row>
      <xdr:rowOff>170392</xdr:rowOff>
    </xdr:from>
    <xdr:to>
      <xdr:col>24</xdr:col>
      <xdr:colOff>593295</xdr:colOff>
      <xdr:row>10</xdr:row>
      <xdr:rowOff>133773</xdr:rowOff>
    </xdr:to>
    <xdr:grpSp>
      <xdr:nvGrpSpPr>
        <xdr:cNvPr id="21" name="Agrupar 20">
          <a:extLst>
            <a:ext uri="{FF2B5EF4-FFF2-40B4-BE49-F238E27FC236}">
              <a16:creationId xmlns:a16="http://schemas.microsoft.com/office/drawing/2014/main" id="{A49ECA37-C5FC-0148-B2DA-6D13A5FF2B77}"/>
            </a:ext>
          </a:extLst>
        </xdr:cNvPr>
        <xdr:cNvGrpSpPr/>
      </xdr:nvGrpSpPr>
      <xdr:grpSpPr>
        <a:xfrm>
          <a:off x="10161058" y="850477"/>
          <a:ext cx="3515777" cy="1270211"/>
          <a:chOff x="7244198" y="8503227"/>
          <a:chExt cx="1845115" cy="1168977"/>
        </a:xfrm>
      </xdr:grpSpPr>
      <xdr:sp macro="" textlink="">
        <xdr:nvSpPr>
          <xdr:cNvPr id="22" name="CaixaDeTexto 21">
            <a:extLst>
              <a:ext uri="{FF2B5EF4-FFF2-40B4-BE49-F238E27FC236}">
                <a16:creationId xmlns:a16="http://schemas.microsoft.com/office/drawing/2014/main" id="{7FEF6D02-0039-C819-5F49-52EC4F81A9B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4" name="Retângulo 23">
            <a:extLst>
              <a:ext uri="{FF2B5EF4-FFF2-40B4-BE49-F238E27FC236}">
                <a16:creationId xmlns:a16="http://schemas.microsoft.com/office/drawing/2014/main" id="{558A2A39-76B1-DE19-5D29-928E802F2EF4}"/>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Retângulo 27">
            <a:extLst>
              <a:ext uri="{FF2B5EF4-FFF2-40B4-BE49-F238E27FC236}">
                <a16:creationId xmlns:a16="http://schemas.microsoft.com/office/drawing/2014/main" id="{A3CA8536-81B9-6BBF-51E9-0E63BE6912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9" name="CaixaDeTexto 28">
            <a:extLst>
              <a:ext uri="{FF2B5EF4-FFF2-40B4-BE49-F238E27FC236}">
                <a16:creationId xmlns:a16="http://schemas.microsoft.com/office/drawing/2014/main" id="{249A8281-6C64-B68C-5061-D25FA161441D}"/>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C74AFB5D-9DCD-8E9B-8A26-230F2FEE5D12}"/>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5FFDD2FE-B10A-7F6A-4DD3-84FAD832124C}"/>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238125" y="444923"/>
          <a:ext cx="4074794" cy="28575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Population</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Costs</a:t>
            </a:r>
            <a:endParaRPr lang="pt-BR" sz="1100" i="1" kern="1200">
              <a:solidFill>
                <a:schemeClr val="accent5"/>
              </a:solidFill>
            </a:endParaRPr>
          </a:p>
        </xdr:txBody>
      </xdr:sp>
    </xdr:grpSp>
    <xdr:clientData/>
  </xdr:twoCellAnchor>
  <xdr:twoCellAnchor editAs="absolute">
    <xdr:from>
      <xdr:col>12</xdr:col>
      <xdr:colOff>360884</xdr:colOff>
      <xdr:row>41</xdr:row>
      <xdr:rowOff>94009</xdr:rowOff>
    </xdr:from>
    <xdr:to>
      <xdr:col>22</xdr:col>
      <xdr:colOff>589744</xdr:colOff>
      <xdr:row>61</xdr:row>
      <xdr:rowOff>155395</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171930</xdr:colOff>
      <xdr:row>71</xdr:row>
      <xdr:rowOff>16298</xdr:rowOff>
    </xdr:from>
    <xdr:to>
      <xdr:col>19</xdr:col>
      <xdr:colOff>325096</xdr:colOff>
      <xdr:row>90</xdr:row>
      <xdr:rowOff>41909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801830" y="13770398"/>
              <a:ext cx="5582416" cy="3530811"/>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absolute">
    <xdr:from>
      <xdr:col>7</xdr:col>
      <xdr:colOff>592854</xdr:colOff>
      <xdr:row>33</xdr:row>
      <xdr:rowOff>16963</xdr:rowOff>
    </xdr:from>
    <xdr:to>
      <xdr:col>11</xdr:col>
      <xdr:colOff>286570</xdr:colOff>
      <xdr:row>39</xdr:row>
      <xdr:rowOff>131705</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7485144" y="6859723"/>
          <a:ext cx="3427516" cy="1200592"/>
          <a:chOff x="12172950" y="6048380"/>
          <a:chExt cx="3457579" cy="1161471"/>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1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3"/>
            <a:ext cx="3409950" cy="6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click on the chart, click on the top menu "Chart Design" and then click on "Select Data". Make sure that the "Measured Demand" icon is selecting only the fields in the table where there is data (reported period).</a:t>
            </a:r>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xdr:from>
      <xdr:col>8</xdr:col>
      <xdr:colOff>419100</xdr:colOff>
      <xdr:row>22</xdr:row>
      <xdr:rowOff>187568</xdr:rowOff>
    </xdr:from>
    <xdr:to>
      <xdr:col>12</xdr:col>
      <xdr:colOff>214924</xdr:colOff>
      <xdr:row>27</xdr:row>
      <xdr:rowOff>204497</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248650" y="4521443"/>
          <a:ext cx="3525814" cy="1230414"/>
          <a:chOff x="12172950" y="6048381"/>
          <a:chExt cx="3457579" cy="1223947"/>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1"/>
            <a:ext cx="3457579" cy="12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1"/>
            <a:ext cx="3409950" cy="760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This section can be used to report prevalence in year 1 and incidence in subsequent years. In this case, select "Yes, it represents incidence" in the previous question about "Does the eligible population relate to the number of new cases?"</a:t>
            </a:r>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editAs="absolute">
    <xdr:from>
      <xdr:col>9</xdr:col>
      <xdr:colOff>360240</xdr:colOff>
      <xdr:row>13</xdr:row>
      <xdr:rowOff>92240</xdr:rowOff>
    </xdr:from>
    <xdr:to>
      <xdr:col>14</xdr:col>
      <xdr:colOff>188766</xdr:colOff>
      <xdr:row>16</xdr:row>
      <xdr:rowOff>54430</xdr:rowOff>
    </xdr:to>
    <xdr:grpSp>
      <xdr:nvGrpSpPr>
        <xdr:cNvPr id="2" name="Agrupar 1">
          <a:extLst>
            <a:ext uri="{FF2B5EF4-FFF2-40B4-BE49-F238E27FC236}">
              <a16:creationId xmlns:a16="http://schemas.microsoft.com/office/drawing/2014/main" id="{51D4899B-31DF-ED40-A71C-923B9126DB9F}"/>
            </a:ext>
          </a:extLst>
        </xdr:cNvPr>
        <xdr:cNvGrpSpPr/>
      </xdr:nvGrpSpPr>
      <xdr:grpSpPr>
        <a:xfrm>
          <a:off x="9127050" y="2658275"/>
          <a:ext cx="3463266" cy="647990"/>
          <a:chOff x="7333755" y="8620379"/>
          <a:chExt cx="1403654" cy="663031"/>
        </a:xfrm>
      </xdr:grpSpPr>
      <xdr:sp macro="" textlink="">
        <xdr:nvSpPr>
          <xdr:cNvPr id="3" name="CaixaDeTexto 2">
            <a:extLst>
              <a:ext uri="{FF2B5EF4-FFF2-40B4-BE49-F238E27FC236}">
                <a16:creationId xmlns:a16="http://schemas.microsoft.com/office/drawing/2014/main" id="{C4C78BE8-0273-0BEC-E55F-CF9BB6507607}"/>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CaixaDeTexto 3">
            <a:extLst>
              <a:ext uri="{FF2B5EF4-FFF2-40B4-BE49-F238E27FC236}">
                <a16:creationId xmlns:a16="http://schemas.microsoft.com/office/drawing/2014/main" id="{138E367B-1BB9-F503-2C98-D5D4550203EE}"/>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5" name="CaixaDeTexto 4">
            <a:extLst>
              <a:ext uri="{FF2B5EF4-FFF2-40B4-BE49-F238E27FC236}">
                <a16:creationId xmlns:a16="http://schemas.microsoft.com/office/drawing/2014/main" id="{570C40B1-9C7A-781B-369B-75BC937005C2}"/>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9</xdr:col>
      <xdr:colOff>363668</xdr:colOff>
      <xdr:row>3</xdr:row>
      <xdr:rowOff>153182</xdr:rowOff>
    </xdr:from>
    <xdr:to>
      <xdr:col>14</xdr:col>
      <xdr:colOff>94407</xdr:colOff>
      <xdr:row>12</xdr:row>
      <xdr:rowOff>112388</xdr:rowOff>
    </xdr:to>
    <xdr:grpSp>
      <xdr:nvGrpSpPr>
        <xdr:cNvPr id="6" name="Agrupar 5">
          <a:extLst>
            <a:ext uri="{FF2B5EF4-FFF2-40B4-BE49-F238E27FC236}">
              <a16:creationId xmlns:a16="http://schemas.microsoft.com/office/drawing/2014/main" id="{2EB342B3-2C38-7C4B-9EE9-E4EF4340AA04}"/>
            </a:ext>
          </a:extLst>
        </xdr:cNvPr>
        <xdr:cNvGrpSpPr/>
      </xdr:nvGrpSpPr>
      <xdr:grpSpPr>
        <a:xfrm>
          <a:off x="9122858" y="829457"/>
          <a:ext cx="3376909" cy="1664181"/>
          <a:chOff x="7244198" y="8503227"/>
          <a:chExt cx="1845115" cy="1168977"/>
        </a:xfrm>
      </xdr:grpSpPr>
      <xdr:sp macro="" textlink="">
        <xdr:nvSpPr>
          <xdr:cNvPr id="15" name="CaixaDeTexto 14">
            <a:extLst>
              <a:ext uri="{FF2B5EF4-FFF2-40B4-BE49-F238E27FC236}">
                <a16:creationId xmlns:a16="http://schemas.microsoft.com/office/drawing/2014/main" id="{3D93B481-AFF5-ADFD-2CEC-DB4953E74AD3}"/>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6" name="Retângulo 15">
            <a:extLst>
              <a:ext uri="{FF2B5EF4-FFF2-40B4-BE49-F238E27FC236}">
                <a16:creationId xmlns:a16="http://schemas.microsoft.com/office/drawing/2014/main" id="{0B9320E7-E68E-B4AF-1854-2BA4BD3A623F}"/>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7" name="Retângulo 16">
            <a:extLst>
              <a:ext uri="{FF2B5EF4-FFF2-40B4-BE49-F238E27FC236}">
                <a16:creationId xmlns:a16="http://schemas.microsoft.com/office/drawing/2014/main" id="{09AE459B-08E5-A26D-F1DA-09D922559C53}"/>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CaixaDeTexto 27">
            <a:extLst>
              <a:ext uri="{FF2B5EF4-FFF2-40B4-BE49-F238E27FC236}">
                <a16:creationId xmlns:a16="http://schemas.microsoft.com/office/drawing/2014/main" id="{7EE4C994-490F-5E29-B049-7D3607A5A90C}"/>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9" name="CaixaDeTexto 28">
            <a:extLst>
              <a:ext uri="{FF2B5EF4-FFF2-40B4-BE49-F238E27FC236}">
                <a16:creationId xmlns:a16="http://schemas.microsoft.com/office/drawing/2014/main" id="{EDBC0246-A0D1-09B8-6533-B95903C4B4D8}"/>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0" name="CaixaDeTexto 29">
            <a:extLst>
              <a:ext uri="{FF2B5EF4-FFF2-40B4-BE49-F238E27FC236}">
                <a16:creationId xmlns:a16="http://schemas.microsoft.com/office/drawing/2014/main" id="{D0435128-E1F7-353A-F552-916238DDC7A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372341" y="449253"/>
          <a:ext cx="4035828" cy="280554"/>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Costs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Time on treatment</a:t>
            </a:r>
            <a:endParaRPr lang="pt-BR" sz="1100" i="1" kern="1200">
              <a:solidFill>
                <a:schemeClr val="accent5"/>
              </a:solidFill>
            </a:endParaRPr>
          </a:p>
        </xdr:txBody>
      </xdr:sp>
    </xdr:grpSp>
    <xdr:clientData/>
  </xdr:twoCellAnchor>
  <xdr:twoCellAnchor>
    <xdr:from>
      <xdr:col>0</xdr:col>
      <xdr:colOff>412750</xdr:colOff>
      <xdr:row>5</xdr:row>
      <xdr:rowOff>19051</xdr:rowOff>
    </xdr:from>
    <xdr:to>
      <xdr:col>7</xdr:col>
      <xdr:colOff>825500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1270</xdr:colOff>
      <xdr:row>17</xdr:row>
      <xdr:rowOff>85722</xdr:rowOff>
    </xdr:from>
    <xdr:to>
      <xdr:col>8</xdr:col>
      <xdr:colOff>1047750</xdr:colOff>
      <xdr:row>24</xdr:row>
      <xdr:rowOff>91439</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373611" y="3352104"/>
          <a:ext cx="9710420" cy="1280509"/>
          <a:chOff x="12172950" y="6048380"/>
          <a:chExt cx="11639550" cy="1341336"/>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49" cy="13413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417736"/>
            <a:ext cx="11591924" cy="94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 this section, the costs of the assessed treatments will be reported. Ideally, treatment costs should be calculated using Section 6.1 below.</a:t>
            </a:r>
            <a:br>
              <a:rPr lang="pt-BR" sz="1000" kern="1200"/>
            </a:br>
            <a:r>
              <a:rPr lang="pt-BR" sz="1000" kern="1200"/>
              <a:t>It is important to distinguish between costs that are ongoing (e.g., chronic treatment, recurrent therapy, or maintenance therapy) and those that occur only once at the start of the model (e.g., induction therapy).</a:t>
            </a:r>
            <a:br>
              <a:rPr lang="pt-BR" sz="1000" kern="1200"/>
            </a:br>
            <a:r>
              <a:rPr lang="pt-BR" sz="1000" kern="1200"/>
              <a:t>It is also possible to estimate costs that will be incurred only after treatment discontinuation (e.g., costs related to disease progression in oncology therapies).</a:t>
            </a:r>
            <a:br>
              <a:rPr lang="pt-BR" sz="1000" kern="1200"/>
            </a:br>
            <a:r>
              <a:rPr lang="pt-BR" sz="1000" kern="1200"/>
              <a:t>If it is not feasible to use Section 6.1 to estimate costs, use Section 6.2 at the bottom of this page to input the total annual cost per treatment.</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334875" y="6096000"/>
            <a:ext cx="371474" cy="351558"/>
          </a:xfrm>
          <a:prstGeom prst="rect">
            <a:avLst/>
          </a:prstGeom>
        </xdr:spPr>
      </xdr:pic>
    </xdr:grpSp>
    <xdr:clientData/>
  </xdr:twoCellAnchor>
  <xdr:twoCellAnchor editAs="absolute">
    <xdr:from>
      <xdr:col>8</xdr:col>
      <xdr:colOff>1006142</xdr:colOff>
      <xdr:row>5</xdr:row>
      <xdr:rowOff>53764</xdr:rowOff>
    </xdr:from>
    <xdr:to>
      <xdr:col>13</xdr:col>
      <xdr:colOff>1687</xdr:colOff>
      <xdr:row>12</xdr:row>
      <xdr:rowOff>56727</xdr:rowOff>
    </xdr:to>
    <xdr:grpSp>
      <xdr:nvGrpSpPr>
        <xdr:cNvPr id="23" name="Agrupar 22">
          <a:extLst>
            <a:ext uri="{FF2B5EF4-FFF2-40B4-BE49-F238E27FC236}">
              <a16:creationId xmlns:a16="http://schemas.microsoft.com/office/drawing/2014/main" id="{1DA62542-CB00-8D45-89DF-8B7EF946CE90}"/>
            </a:ext>
          </a:extLst>
        </xdr:cNvPr>
        <xdr:cNvGrpSpPr/>
      </xdr:nvGrpSpPr>
      <xdr:grpSpPr>
        <a:xfrm>
          <a:off x="10050043" y="1096665"/>
          <a:ext cx="3494462" cy="1275849"/>
          <a:chOff x="7244198" y="8503227"/>
          <a:chExt cx="1845115" cy="1168977"/>
        </a:xfrm>
      </xdr:grpSpPr>
      <xdr:sp macro="" textlink="">
        <xdr:nvSpPr>
          <xdr:cNvPr id="24" name="CaixaDeTexto 23">
            <a:extLst>
              <a:ext uri="{FF2B5EF4-FFF2-40B4-BE49-F238E27FC236}">
                <a16:creationId xmlns:a16="http://schemas.microsoft.com/office/drawing/2014/main" id="{9E5A6237-C67D-3C1C-38F0-53E2CF2DE2CA}"/>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A9771E9E-D841-8824-8134-9BDBA16B5C23}"/>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4A08BFE-3730-2C03-DF99-7F74644DB439}"/>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CaixaDeTexto 26">
            <a:extLst>
              <a:ext uri="{FF2B5EF4-FFF2-40B4-BE49-F238E27FC236}">
                <a16:creationId xmlns:a16="http://schemas.microsoft.com/office/drawing/2014/main" id="{C5456027-74AE-AAD1-2213-3EA32991A857}"/>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8" name="CaixaDeTexto 27">
            <a:extLst>
              <a:ext uri="{FF2B5EF4-FFF2-40B4-BE49-F238E27FC236}">
                <a16:creationId xmlns:a16="http://schemas.microsoft.com/office/drawing/2014/main" id="{86EA3B3E-843C-EC0C-E370-FA08688ADB6E}"/>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29" name="CaixaDeTexto 28">
            <a:extLst>
              <a:ext uri="{FF2B5EF4-FFF2-40B4-BE49-F238E27FC236}">
                <a16:creationId xmlns:a16="http://schemas.microsoft.com/office/drawing/2014/main" id="{BC018347-9732-34BE-128F-B63FE6177B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5275" y="419100"/>
          <a:ext cx="3865244" cy="321945"/>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Time on treatment</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Results</a:t>
            </a:r>
          </a:p>
        </xdr:txBody>
      </xdr:sp>
    </xdr:grpSp>
    <xdr:clientData/>
  </xdr:twoCellAnchor>
  <xdr:twoCellAnchor>
    <xdr:from>
      <xdr:col>8</xdr:col>
      <xdr:colOff>883073</xdr:colOff>
      <xdr:row>57</xdr:row>
      <xdr:rowOff>162137</xdr:rowOff>
    </xdr:from>
    <xdr:to>
      <xdr:col>9</xdr:col>
      <xdr:colOff>504401</xdr:colOff>
      <xdr:row>59</xdr:row>
      <xdr:rowOff>72602</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493423" y="10744412"/>
          <a:ext cx="935778" cy="27241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0545" y="17266920"/>
          <a:ext cx="10574655" cy="1059180"/>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a:t>Mortality rate:</a:t>
              </a:r>
              <a:r>
                <a:rPr lang="pt-BR" sz="1000"/>
                <a:t> Proportion of patients who exit the analysis each year due to death. At baseline, the mortality rate is 0%, and in subsequent years it should always be </a:t>
              </a:r>
              <a:r>
                <a:rPr lang="pt-BR" sz="1000" b="1"/>
                <a:t>increasing</a:t>
              </a:r>
              <a:r>
                <a:rPr lang="pt-BR" sz="1000"/>
                <a:t> because it is cumulative.</a:t>
              </a:r>
            </a:p>
            <a:p>
              <a:r>
                <a:rPr lang="pt-BR" sz="1000" b="1"/>
                <a:t>Overall survival:</a:t>
              </a:r>
              <a:r>
                <a:rPr lang="pt-BR" sz="1000"/>
                <a:t> Percentage of patients alive at the end of each period (year). At baseline, overall survival is 100%, and in subsequent years it should always be </a:t>
              </a:r>
              <a:r>
                <a:rPr lang="pt-BR" sz="1000" b="1"/>
                <a:t>decreasing</a:t>
              </a:r>
              <a:r>
                <a:rPr lang="pt-BR" sz="1000"/>
                <a:t>.</a:t>
              </a:r>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8634" y="8201025"/>
          <a:ext cx="10589894" cy="1348740"/>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Median treatment duration: </a:t>
              </a:r>
              <a:r>
                <a:rPr lang="pt-BR" sz="1000" u="none" kern="1200"/>
                <a:t>This refers to the time point at which 50% of patients have either completed or discontinued treatment (expressed in months).</a:t>
              </a:r>
            </a:p>
            <a:p>
              <a:r>
                <a:rPr lang="pt-BR" sz="1000" u="sng" kern="1200"/>
                <a:t>Treatment discontinuation rates: </a:t>
              </a:r>
              <a:r>
                <a:rPr lang="pt-BR" sz="1000" u="none" kern="1200"/>
                <a:t>These represent the proportion of patients who stop treatment in a given year, whether due to adverse events, lack of efficacy, or other reasons.</a:t>
              </a:r>
            </a:p>
            <a:p>
              <a:r>
                <a:rPr lang="pt-BR" sz="1000" u="sng" kern="1200"/>
                <a:t>Progression-free survival (PFS): </a:t>
              </a:r>
              <a:r>
                <a:rPr lang="pt-BR" sz="1000" u="none" kern="1200"/>
                <a:t>This is the percentage of patients who remain free from disease progression after initiating treatment. It should be used only when progression is a proxy or explicit treatment-stopping criterion.</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8</xdr:col>
      <xdr:colOff>944457</xdr:colOff>
      <xdr:row>105</xdr:row>
      <xdr:rowOff>165100</xdr:rowOff>
    </xdr:from>
    <xdr:to>
      <xdr:col>9</xdr:col>
      <xdr:colOff>558165</xdr:colOff>
      <xdr:row>107</xdr:row>
      <xdr:rowOff>66040</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554807" y="19491325"/>
          <a:ext cx="928158" cy="26289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editAs="absolute">
    <xdr:from>
      <xdr:col>16</xdr:col>
      <xdr:colOff>152295</xdr:colOff>
      <xdr:row>4</xdr:row>
      <xdr:rowOff>56727</xdr:rowOff>
    </xdr:from>
    <xdr:to>
      <xdr:col>19</xdr:col>
      <xdr:colOff>387133</xdr:colOff>
      <xdr:row>11</xdr:row>
      <xdr:rowOff>18203</xdr:rowOff>
    </xdr:to>
    <xdr:grpSp>
      <xdr:nvGrpSpPr>
        <xdr:cNvPr id="3" name="Agrupar 2">
          <a:extLst>
            <a:ext uri="{FF2B5EF4-FFF2-40B4-BE49-F238E27FC236}">
              <a16:creationId xmlns:a16="http://schemas.microsoft.com/office/drawing/2014/main" id="{E056DB43-3DA2-9448-A021-78A1BF0EC6B9}"/>
            </a:ext>
          </a:extLst>
        </xdr:cNvPr>
        <xdr:cNvGrpSpPr/>
      </xdr:nvGrpSpPr>
      <xdr:grpSpPr>
        <a:xfrm>
          <a:off x="12515745" y="955887"/>
          <a:ext cx="3494293" cy="1275926"/>
          <a:chOff x="7244198" y="8503227"/>
          <a:chExt cx="1845115" cy="1168977"/>
        </a:xfrm>
      </xdr:grpSpPr>
      <xdr:sp macro="" textlink="">
        <xdr:nvSpPr>
          <xdr:cNvPr id="30" name="CaixaDeTexto 29">
            <a:extLst>
              <a:ext uri="{FF2B5EF4-FFF2-40B4-BE49-F238E27FC236}">
                <a16:creationId xmlns:a16="http://schemas.microsoft.com/office/drawing/2014/main" id="{A36EA3EF-583F-BFCE-F7F5-50F770106986}"/>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31" name="Retângulo 30">
            <a:extLst>
              <a:ext uri="{FF2B5EF4-FFF2-40B4-BE49-F238E27FC236}">
                <a16:creationId xmlns:a16="http://schemas.microsoft.com/office/drawing/2014/main" id="{687477C1-715B-CFB9-3233-5188C04AEC49}"/>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2" name="Retângulo 31">
            <a:extLst>
              <a:ext uri="{FF2B5EF4-FFF2-40B4-BE49-F238E27FC236}">
                <a16:creationId xmlns:a16="http://schemas.microsoft.com/office/drawing/2014/main" id="{33B2AC77-50C4-A1AE-0A1D-04B7790745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3" name="CaixaDeTexto 32">
            <a:extLst>
              <a:ext uri="{FF2B5EF4-FFF2-40B4-BE49-F238E27FC236}">
                <a16:creationId xmlns:a16="http://schemas.microsoft.com/office/drawing/2014/main" id="{D97FADF5-48CA-006F-8BB7-F9D312F1F67B}"/>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4" name="CaixaDeTexto 33">
            <a:extLst>
              <a:ext uri="{FF2B5EF4-FFF2-40B4-BE49-F238E27FC236}">
                <a16:creationId xmlns:a16="http://schemas.microsoft.com/office/drawing/2014/main" id="{0EDCD9FF-DE8B-3D54-2AB2-D12AA83075FD}"/>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5" name="CaixaDeTexto 34">
            <a:extLst>
              <a:ext uri="{FF2B5EF4-FFF2-40B4-BE49-F238E27FC236}">
                <a16:creationId xmlns:a16="http://schemas.microsoft.com/office/drawing/2014/main" id="{7C26966B-66E7-86D0-99CF-0255592017F1}"/>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xdr:from>
      <xdr:col>10</xdr:col>
      <xdr:colOff>137583</xdr:colOff>
      <xdr:row>51</xdr:row>
      <xdr:rowOff>63500</xdr:rowOff>
    </xdr:from>
    <xdr:to>
      <xdr:col>15</xdr:col>
      <xdr:colOff>80818</xdr:colOff>
      <xdr:row>59</xdr:row>
      <xdr:rowOff>34636</xdr:rowOff>
    </xdr:to>
    <xdr:sp macro="" textlink="">
      <xdr:nvSpPr>
        <xdr:cNvPr id="12" name="CaixaDeTexto 11">
          <a:extLst>
            <a:ext uri="{FF2B5EF4-FFF2-40B4-BE49-F238E27FC236}">
              <a16:creationId xmlns:a16="http://schemas.microsoft.com/office/drawing/2014/main" id="{17E057F1-58F8-F842-BF59-86F550F63DA2}"/>
            </a:ext>
          </a:extLst>
        </xdr:cNvPr>
        <xdr:cNvSpPr txBox="1"/>
      </xdr:nvSpPr>
      <xdr:spPr>
        <a:xfrm>
          <a:off x="9847310" y="10292773"/>
          <a:ext cx="3556963"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i="1" kern="1200">
              <a:solidFill>
                <a:schemeClr val="accent5"/>
              </a:solidFill>
            </a:rPr>
            <a:t>- If “Yes”: Both discontinuation and death will be considered. Ensure the data are consistent and related (death ≤ discontinuation).</a:t>
          </a:r>
        </a:p>
        <a:p>
          <a:pPr algn="l"/>
          <a:r>
            <a:rPr lang="pt-BR" sz="1050" i="1" kern="1200">
              <a:solidFill>
                <a:schemeClr val="accent5"/>
              </a:solidFill>
            </a:rPr>
            <a:t>- If “No”: Only one exit event will be modeled (recommended when rates are independent).</a:t>
          </a:r>
        </a:p>
        <a:p>
          <a:pPr algn="l"/>
          <a:r>
            <a:rPr lang="pt-BR" sz="1050" i="1" kern="1200">
              <a:solidFill>
                <a:schemeClr val="accent5"/>
              </a:solidFill>
            </a:rPr>
            <a:t>Tip: If discontinuation and death are not clinically linked or sourced from different datasets, select only one to avoid inconsistent results.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16298</xdr:rowOff>
    </xdr:from>
    <xdr:to>
      <xdr:col>4</xdr:col>
      <xdr:colOff>781050</xdr:colOff>
      <xdr:row>3</xdr:row>
      <xdr:rowOff>54398</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371475" y="448733"/>
          <a:ext cx="4758690" cy="285750"/>
          <a:chOff x="390525" y="437284"/>
          <a:chExt cx="5213900"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785026"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Determinist Sensibility Analysis</a:t>
            </a:r>
            <a:endParaRPr lang="pt-BR" sz="1100" i="1" kern="1200">
              <a:solidFill>
                <a:schemeClr val="accent5"/>
              </a:solidFill>
            </a:endParaRPr>
          </a:p>
        </xdr:txBody>
      </xdr:sp>
    </xdr:grpSp>
    <xdr:clientData/>
  </xdr:twoCellAnchor>
  <xdr:twoCellAnchor>
    <xdr:from>
      <xdr:col>12</xdr:col>
      <xdr:colOff>205740</xdr:colOff>
      <xdr:row>14</xdr:row>
      <xdr:rowOff>143827</xdr:rowOff>
    </xdr:from>
    <xdr:to>
      <xdr:col>19</xdr:col>
      <xdr:colOff>510540</xdr:colOff>
      <xdr:row>26</xdr:row>
      <xdr:rowOff>123825</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102869</xdr:colOff>
      <xdr:row>14</xdr:row>
      <xdr:rowOff>145731</xdr:rowOff>
    </xdr:from>
    <xdr:to>
      <xdr:col>23</xdr:col>
      <xdr:colOff>822959</xdr:colOff>
      <xdr:row>26</xdr:row>
      <xdr:rowOff>114300</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205740</xdr:colOff>
      <xdr:row>27</xdr:row>
      <xdr:rowOff>38101</xdr:rowOff>
    </xdr:from>
    <xdr:to>
      <xdr:col>19</xdr:col>
      <xdr:colOff>510540</xdr:colOff>
      <xdr:row>38</xdr:row>
      <xdr:rowOff>152401</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27</xdr:row>
      <xdr:rowOff>9526</xdr:rowOff>
    </xdr:from>
    <xdr:to>
      <xdr:col>23</xdr:col>
      <xdr:colOff>826769</xdr:colOff>
      <xdr:row>38</xdr:row>
      <xdr:rowOff>140970</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40</xdr:row>
      <xdr:rowOff>47626</xdr:rowOff>
    </xdr:from>
    <xdr:to>
      <xdr:col>19</xdr:col>
      <xdr:colOff>552450</xdr:colOff>
      <xdr:row>51</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40</xdr:row>
      <xdr:rowOff>47625</xdr:rowOff>
    </xdr:from>
    <xdr:to>
      <xdr:col>23</xdr:col>
      <xdr:colOff>866774</xdr:colOff>
      <xdr:row>51</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52</xdr:row>
      <xdr:rowOff>57151</xdr:rowOff>
    </xdr:from>
    <xdr:to>
      <xdr:col>19</xdr:col>
      <xdr:colOff>561975</xdr:colOff>
      <xdr:row>63</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52</xdr:row>
      <xdr:rowOff>57150</xdr:rowOff>
    </xdr:from>
    <xdr:to>
      <xdr:col>23</xdr:col>
      <xdr:colOff>876299</xdr:colOff>
      <xdr:row>63</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66</xdr:row>
      <xdr:rowOff>1</xdr:rowOff>
    </xdr:from>
    <xdr:to>
      <xdr:col>19</xdr:col>
      <xdr:colOff>581026</xdr:colOff>
      <xdr:row>77</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66</xdr:row>
      <xdr:rowOff>19050</xdr:rowOff>
    </xdr:from>
    <xdr:to>
      <xdr:col>23</xdr:col>
      <xdr:colOff>914399</xdr:colOff>
      <xdr:row>77</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78</xdr:row>
      <xdr:rowOff>9526</xdr:rowOff>
    </xdr:from>
    <xdr:to>
      <xdr:col>19</xdr:col>
      <xdr:colOff>581025</xdr:colOff>
      <xdr:row>89</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78</xdr:row>
      <xdr:rowOff>19050</xdr:rowOff>
    </xdr:from>
    <xdr:to>
      <xdr:col>23</xdr:col>
      <xdr:colOff>933449</xdr:colOff>
      <xdr:row>89</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DSA</a:t>
          </a:r>
        </a:p>
      </xdr:txBody>
    </xdr:sp>
    <xdr:clientData/>
  </xdr:twoCellAnchor>
  <xdr:twoCellAnchor>
    <xdr:from>
      <xdr:col>1</xdr:col>
      <xdr:colOff>0</xdr:colOff>
      <xdr:row>0</xdr:row>
      <xdr:rowOff>417160</xdr:rowOff>
    </xdr:from>
    <xdr:to>
      <xdr:col>4</xdr:col>
      <xdr:colOff>200025</xdr:colOff>
      <xdr:row>3</xdr:row>
      <xdr:rowOff>18203</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17160"/>
          <a:ext cx="5031105" cy="281128"/>
          <a:chOff x="390525" y="407670"/>
          <a:chExt cx="5234875" cy="303934"/>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analysis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49170" y="407670"/>
            <a:ext cx="277623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Probabilistic Sensitivity </a:t>
            </a:r>
            <a:r>
              <a:rPr lang="pt-BR" sz="1000" i="1" kern="1200">
                <a:solidFill>
                  <a:schemeClr val="accent5"/>
                </a:solidFill>
              </a:rPr>
              <a:t>Analysis</a:t>
            </a: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(Technology cost–only results)</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361950</xdr:colOff>
      <xdr:row>1</xdr:row>
      <xdr:rowOff>1</xdr:rowOff>
    </xdr:from>
    <xdr:to>
      <xdr:col>2</xdr:col>
      <xdr:colOff>1082041</xdr:colOff>
      <xdr:row>1</xdr:row>
      <xdr:rowOff>225720</xdr:rowOff>
    </xdr:to>
    <xdr:grpSp>
      <xdr:nvGrpSpPr>
        <xdr:cNvPr id="4" name="Agrupar 3">
          <a:extLst>
            <a:ext uri="{FF2B5EF4-FFF2-40B4-BE49-F238E27FC236}">
              <a16:creationId xmlns:a16="http://schemas.microsoft.com/office/drawing/2014/main" id="{CEAEF455-FF91-44D0-A867-450E368B6B9A}"/>
            </a:ext>
          </a:extLst>
        </xdr:cNvPr>
        <xdr:cNvGrpSpPr/>
      </xdr:nvGrpSpPr>
      <xdr:grpSpPr>
        <a:xfrm>
          <a:off x="358140" y="428626"/>
          <a:ext cx="1889761" cy="225719"/>
          <a:chOff x="-136151" y="421524"/>
          <a:chExt cx="5266099" cy="250422"/>
        </a:xfrm>
      </xdr:grpSpPr>
      <xdr:sp macro="" textlink="">
        <xdr:nvSpPr>
          <xdr:cNvPr id="5" name="Retângulo: Cantos Superiores Arredondados 4">
            <a:extLst>
              <a:ext uri="{FF2B5EF4-FFF2-40B4-BE49-F238E27FC236}">
                <a16:creationId xmlns:a16="http://schemas.microsoft.com/office/drawing/2014/main" id="{EA785A5E-4C87-5309-D0BD-59F80933D011}"/>
              </a:ext>
            </a:extLst>
          </xdr:cNvPr>
          <xdr:cNvSpPr/>
        </xdr:nvSpPr>
        <xdr:spPr>
          <a:xfrm>
            <a:off x="796637" y="421524"/>
            <a:ext cx="4333311" cy="25042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Probabilistic an.</a:t>
            </a:r>
          </a:p>
        </xdr:txBody>
      </xdr:sp>
      <xdr:sp macro=""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0B7A28F8-0B1A-DBB9-DBFD-73F7C339E79D}"/>
              </a:ext>
            </a:extLst>
          </xdr:cNvPr>
          <xdr:cNvSpPr/>
        </xdr:nvSpPr>
        <xdr:spPr>
          <a:xfrm>
            <a:off x="-136151" y="432091"/>
            <a:ext cx="861944" cy="23248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5</xdr:col>
      <xdr:colOff>133350</xdr:colOff>
      <xdr:row>9</xdr:row>
      <xdr:rowOff>9525</xdr:rowOff>
    </xdr:from>
    <xdr:to>
      <xdr:col>6</xdr:col>
      <xdr:colOff>464820</xdr:colOff>
      <xdr:row>11</xdr:row>
      <xdr:rowOff>116207</xdr:rowOff>
    </xdr:to>
    <xdr:sp macro="[0]!PSA" textlink="">
      <xdr:nvSpPr>
        <xdr:cNvPr id="7" name="Retângulo: Cantos Arredondados 6">
          <a:extLst>
            <a:ext uri="{FF2B5EF4-FFF2-40B4-BE49-F238E27FC236}">
              <a16:creationId xmlns:a16="http://schemas.microsoft.com/office/drawing/2014/main" id="{14472997-1317-4B17-95FF-292C954C4787}"/>
            </a:ext>
          </a:extLst>
        </xdr:cNvPr>
        <xdr:cNvSpPr/>
      </xdr:nvSpPr>
      <xdr:spPr>
        <a:xfrm>
          <a:off x="5497830" y="2272665"/>
          <a:ext cx="1642110" cy="563882"/>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PSA</a:t>
          </a:r>
        </a:p>
      </xdr:txBody>
    </xdr:sp>
    <xdr:clientData/>
  </xdr:twoCellAnchor>
  <xdr:twoCellAnchor>
    <xdr:from>
      <xdr:col>2</xdr:col>
      <xdr:colOff>1114425</xdr:colOff>
      <xdr:row>1</xdr:row>
      <xdr:rowOff>9525</xdr:rowOff>
    </xdr:from>
    <xdr:to>
      <xdr:col>2</xdr:col>
      <xdr:colOff>1455081</xdr:colOff>
      <xdr:row>1</xdr:row>
      <xdr:rowOff>228519</xdr:rowOff>
    </xdr:to>
    <xdr:sp macro="[0]!ocultar_marketshare"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E13D678F-5A12-4FC9-883F-841DC6FEF4E0}"/>
            </a:ext>
          </a:extLst>
        </xdr:cNvPr>
        <xdr:cNvSpPr/>
      </xdr:nvSpPr>
      <xdr:spPr>
        <a:xfrm>
          <a:off x="2276475" y="438150"/>
          <a:ext cx="340656" cy="218994"/>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clientData/>
  </xdr:twoCellAnchor>
  <xdr:twoCellAnchor>
    <xdr:from>
      <xdr:col>2</xdr:col>
      <xdr:colOff>1447800</xdr:colOff>
      <xdr:row>0</xdr:row>
      <xdr:rowOff>400050</xdr:rowOff>
    </xdr:from>
    <xdr:to>
      <xdr:col>4</xdr:col>
      <xdr:colOff>910936</xdr:colOff>
      <xdr:row>2</xdr:row>
      <xdr:rowOff>20143</xdr:rowOff>
    </xdr:to>
    <xdr:sp macro="" textlink="">
      <xdr:nvSpPr>
        <xdr:cNvPr id="9" name="CaixaDeTexto 8">
          <a:extLst>
            <a:ext uri="{FF2B5EF4-FFF2-40B4-BE49-F238E27FC236}">
              <a16:creationId xmlns:a16="http://schemas.microsoft.com/office/drawing/2014/main" id="{BC38E1BC-F1ED-4703-9C9C-06CFAF013753}"/>
            </a:ext>
          </a:extLst>
        </xdr:cNvPr>
        <xdr:cNvSpPr txBox="1"/>
      </xdr:nvSpPr>
      <xdr:spPr>
        <a:xfrm>
          <a:off x="2609850" y="400050"/>
          <a:ext cx="2377786" cy="286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Calculations</a:t>
          </a:r>
          <a:endParaRPr lang="pt-BR" sz="1100" i="1" kern="1200">
            <a:solidFill>
              <a:schemeClr val="accent5"/>
            </a:solidFill>
          </a:endParaRPr>
        </a:p>
      </xdr:txBody>
    </xdr:sp>
    <xdr:clientData/>
  </xdr:twoCellAnchor>
  <xdr:twoCellAnchor>
    <xdr:from>
      <xdr:col>1</xdr:col>
      <xdr:colOff>457199</xdr:colOff>
      <xdr:row>7</xdr:row>
      <xdr:rowOff>228596</xdr:rowOff>
    </xdr:from>
    <xdr:to>
      <xdr:col>4</xdr:col>
      <xdr:colOff>1257298</xdr:colOff>
      <xdr:row>13</xdr:row>
      <xdr:rowOff>76199</xdr:rowOff>
    </xdr:to>
    <xdr:grpSp>
      <xdr:nvGrpSpPr>
        <xdr:cNvPr id="3" name="Agrupar 2">
          <a:extLst>
            <a:ext uri="{FF2B5EF4-FFF2-40B4-BE49-F238E27FC236}">
              <a16:creationId xmlns:a16="http://schemas.microsoft.com/office/drawing/2014/main" id="{B9954603-DC05-4C1E-9669-FA719FA7B96E}"/>
            </a:ext>
          </a:extLst>
        </xdr:cNvPr>
        <xdr:cNvGrpSpPr/>
      </xdr:nvGrpSpPr>
      <xdr:grpSpPr>
        <a:xfrm>
          <a:off x="1162049" y="2038346"/>
          <a:ext cx="4171949" cy="1219203"/>
          <a:chOff x="10067923" y="2743200"/>
          <a:chExt cx="4283426" cy="790909"/>
        </a:xfrm>
      </xdr:grpSpPr>
      <xdr:grpSp>
        <xdr:nvGrpSpPr>
          <xdr:cNvPr id="10" name="Agrupar 9">
            <a:extLst>
              <a:ext uri="{FF2B5EF4-FFF2-40B4-BE49-F238E27FC236}">
                <a16:creationId xmlns:a16="http://schemas.microsoft.com/office/drawing/2014/main" id="{A43EDD17-756C-A115-9091-DF55111EA740}"/>
              </a:ext>
            </a:extLst>
          </xdr:cNvPr>
          <xdr:cNvGrpSpPr/>
        </xdr:nvGrpSpPr>
        <xdr:grpSpPr>
          <a:xfrm>
            <a:off x="10067923" y="2743200"/>
            <a:ext cx="4283426" cy="790909"/>
            <a:chOff x="7244197" y="8503227"/>
            <a:chExt cx="2317747" cy="790909"/>
          </a:xfrm>
        </xdr:grpSpPr>
        <xdr:sp macro="" textlink="">
          <xdr:nvSpPr>
            <xdr:cNvPr id="12" name="CaixaDeTexto 11">
              <a:extLst>
                <a:ext uri="{FF2B5EF4-FFF2-40B4-BE49-F238E27FC236}">
                  <a16:creationId xmlns:a16="http://schemas.microsoft.com/office/drawing/2014/main" id="{8BC53C24-AA61-405F-8D40-3CA59D90C40A}"/>
                </a:ext>
              </a:extLst>
            </xdr:cNvPr>
            <xdr:cNvSpPr txBox="1"/>
          </xdr:nvSpPr>
          <xdr:spPr>
            <a:xfrm>
              <a:off x="7244197" y="8503227"/>
              <a:ext cx="2317747" cy="7909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3" name="CaixaDeTexto 12">
              <a:extLst>
                <a:ext uri="{FF2B5EF4-FFF2-40B4-BE49-F238E27FC236}">
                  <a16:creationId xmlns:a16="http://schemas.microsoft.com/office/drawing/2014/main" id="{C742BD87-E086-DF0A-A10A-06D596A1BEAB}"/>
                </a:ext>
              </a:extLst>
            </xdr:cNvPr>
            <xdr:cNvSpPr txBox="1"/>
          </xdr:nvSpPr>
          <xdr:spPr>
            <a:xfrm>
              <a:off x="7269968" y="8822949"/>
              <a:ext cx="2241223" cy="416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The screen will be frozen for a few minutes while the analysis is taking place. Do not close the page, but you can cancel the analysis by pressing the ESC key.</a:t>
              </a:r>
            </a:p>
          </xdr:txBody>
        </xdr:sp>
        <xdr:sp macro="" textlink="">
          <xdr:nvSpPr>
            <xdr:cNvPr id="14" name="CaixaDeTexto 13">
              <a:extLst>
                <a:ext uri="{FF2B5EF4-FFF2-40B4-BE49-F238E27FC236}">
                  <a16:creationId xmlns:a16="http://schemas.microsoft.com/office/drawing/2014/main" id="{3A4B8887-2B4F-9CE6-5725-D6146A5B0253}"/>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11" name="InfoBox1" descr="Information with solid fill">
            <a:extLst>
              <a:ext uri="{FF2B5EF4-FFF2-40B4-BE49-F238E27FC236}">
                <a16:creationId xmlns:a16="http://schemas.microsoft.com/office/drawing/2014/main" id="{D9B4BF96-4CAF-D95C-744D-36EED0379F2C}"/>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258425" y="2827021"/>
            <a:ext cx="371474" cy="217806"/>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0074" y="440055"/>
          <a:ext cx="1543248" cy="218099"/>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Data</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757238</xdr:colOff>
      <xdr:row>11</xdr:row>
      <xdr:rowOff>115571</xdr:rowOff>
    </xdr:from>
    <xdr:to>
      <xdr:col>15</xdr:col>
      <xdr:colOff>188913</xdr:colOff>
      <xdr:row>24</xdr:row>
      <xdr:rowOff>124461</xdr:rowOff>
    </xdr:to>
    <xdr:sp macro="" textlink="">
      <xdr:nvSpPr>
        <xdr:cNvPr id="5" name="Retângulo 4">
          <a:extLst>
            <a:ext uri="{FF2B5EF4-FFF2-40B4-BE49-F238E27FC236}">
              <a16:creationId xmlns:a16="http://schemas.microsoft.com/office/drawing/2014/main" id="{FFC6150F-F4E2-B2C9-F1D2-6E95812AE7C3}"/>
            </a:ext>
          </a:extLst>
        </xdr:cNvPr>
        <xdr:cNvSpPr/>
      </xdr:nvSpPr>
      <xdr:spPr>
        <a:xfrm>
          <a:off x="8837613" y="2115821"/>
          <a:ext cx="4956175" cy="238220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t-BR" b="1"/>
            <a:t>General data-entry rule (monthly/bimonthly/quarterly):</a:t>
          </a:r>
          <a:endParaRPr lang="pt-BR"/>
        </a:p>
        <a:p>
          <a:r>
            <a:rPr lang="pt-BR" b="1"/>
            <a:t>- Leave truly missing months BLANK.</a:t>
          </a:r>
          <a:r>
            <a:rPr lang="pt-BR"/>
            <a:t> The annual average formula ignores blanks.</a:t>
          </a:r>
        </a:p>
        <a:p>
          <a:r>
            <a:rPr lang="pt-BR" b="1"/>
            <a:t>- Enter 0% when the value is truly zero.</a:t>
          </a:r>
          <a:r>
            <a:rPr lang="pt-BR"/>
            <a:t> Zeros must be counted in the average.</a:t>
          </a:r>
        </a:p>
        <a:p>
          <a:endParaRPr lang="pt-BR"/>
        </a:p>
        <a:p>
          <a:r>
            <a:rPr lang="pt-BR" b="1"/>
            <a:t>PFS (progression-free survival) rates:</a:t>
          </a:r>
          <a:endParaRPr lang="pt-BR"/>
        </a:p>
        <a:p>
          <a:r>
            <a:rPr lang="pt-BR"/>
            <a:t>- In many cases, </a:t>
          </a:r>
          <a:r>
            <a:rPr lang="pt-BR" b="1"/>
            <a:t>PFS reaches 0% by Year 2 or 3</a:t>
          </a:r>
          <a:r>
            <a:rPr lang="pt-BR"/>
            <a:t>. If zeros are real, </a:t>
          </a:r>
          <a:r>
            <a:rPr lang="pt-BR" b="1"/>
            <a:t>enter 0%</a:t>
          </a:r>
          <a:r>
            <a:rPr lang="pt-BR"/>
            <a:t>; do </a:t>
          </a:r>
          <a:r>
            <a:rPr lang="pt-BR" b="1"/>
            <a:t>not</a:t>
          </a:r>
          <a:r>
            <a:rPr lang="pt-BR"/>
            <a:t> leave the cell blank.</a:t>
          </a:r>
        </a:p>
        <a:p>
          <a:r>
            <a:rPr lang="pt-BR"/>
            <a:t>- Leaving zeros blank will </a:t>
          </a:r>
          <a:r>
            <a:rPr lang="pt-BR" b="1"/>
            <a:t>inflate</a:t>
          </a:r>
          <a:r>
            <a:rPr lang="pt-BR"/>
            <a:t> the annual average and may </a:t>
          </a:r>
          <a:r>
            <a:rPr lang="pt-BR" b="1"/>
            <a:t>fail to show 100% progression</a:t>
          </a:r>
          <a:r>
            <a:rPr lang="pt-BR"/>
            <a:t> in that year.</a:t>
          </a:r>
        </a:p>
        <a:p>
          <a:endParaRPr lang="pt-BR"/>
        </a:p>
        <a:p>
          <a:r>
            <a:rPr lang="pt-BR" b="1"/>
            <a:t>Discontinuation rates:</a:t>
          </a:r>
        </a:p>
        <a:p>
          <a:r>
            <a:rPr lang="pt-BR"/>
            <a:t>- If the </a:t>
          </a:r>
          <a:r>
            <a:rPr lang="pt-BR" b="1"/>
            <a:t>first months are 0%</a:t>
          </a:r>
          <a:r>
            <a:rPr lang="pt-BR"/>
            <a:t>, keep them as </a:t>
          </a:r>
          <a:r>
            <a:rPr lang="pt-BR" b="1"/>
            <a:t>0%</a:t>
          </a:r>
          <a:r>
            <a:rPr lang="pt-BR"/>
            <a:t> (do </a:t>
          </a:r>
          <a:r>
            <a:rPr lang="pt-BR" b="1"/>
            <a:t>not</a:t>
          </a:r>
          <a:r>
            <a:rPr lang="pt-BR"/>
            <a:t> leave blank).</a:t>
          </a:r>
        </a:p>
        <a:p>
          <a:r>
            <a:rPr lang="pt-BR"/>
            <a:t>- If </a:t>
          </a:r>
          <a:r>
            <a:rPr lang="pt-BR" b="1"/>
            <a:t>half the year is already at 0%</a:t>
          </a:r>
          <a:r>
            <a:rPr lang="pt-BR"/>
            <a:t>, these zeros </a:t>
          </a:r>
          <a:r>
            <a:rPr lang="pt-BR" b="1"/>
            <a:t>must be included</a:t>
          </a:r>
          <a:r>
            <a:rPr lang="pt-BR"/>
            <a:t> to correctly adjust the annual average.</a:t>
          </a:r>
        </a:p>
        <a:p>
          <a:pPr algn="l"/>
          <a:endParaRPr lang="pt-BR" sz="1100" baseline="0"/>
        </a:p>
        <a:p>
          <a:pPr algn="l"/>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34</xdr:col>
      <xdr:colOff>51955</xdr:colOff>
      <xdr:row>40</xdr:row>
      <xdr:rowOff>17318</xdr:rowOff>
    </xdr:from>
    <xdr:to>
      <xdr:col>39</xdr:col>
      <xdr:colOff>162487</xdr:colOff>
      <xdr:row>53</xdr:row>
      <xdr:rowOff>21292</xdr:rowOff>
    </xdr:to>
    <xdr:graphicFrame macro="">
      <xdr:nvGraphicFramePr>
        <xdr:cNvPr id="5" name="Gráfico 4">
          <a:extLst>
            <a:ext uri="{FF2B5EF4-FFF2-40B4-BE49-F238E27FC236}">
              <a16:creationId xmlns:a16="http://schemas.microsoft.com/office/drawing/2014/main" id="{4A8DAB38-677C-4077-9546-EB8D82E1F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79971</xdr:colOff>
      <xdr:row>55</xdr:row>
      <xdr:rowOff>27405</xdr:rowOff>
    </xdr:from>
    <xdr:to>
      <xdr:col>39</xdr:col>
      <xdr:colOff>190503</xdr:colOff>
      <xdr:row>68</xdr:row>
      <xdr:rowOff>31380</xdr:rowOff>
    </xdr:to>
    <xdr:graphicFrame macro="">
      <xdr:nvGraphicFramePr>
        <xdr:cNvPr id="6" name="Gráfico 5">
          <a:extLst>
            <a:ext uri="{FF2B5EF4-FFF2-40B4-BE49-F238E27FC236}">
              <a16:creationId xmlns:a16="http://schemas.microsoft.com/office/drawing/2014/main" id="{F107B957-EE2D-4A6A-91A5-EE7EBF732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799389</xdr:colOff>
      <xdr:row>70</xdr:row>
      <xdr:rowOff>75217</xdr:rowOff>
    </xdr:from>
    <xdr:to>
      <xdr:col>38</xdr:col>
      <xdr:colOff>528921</xdr:colOff>
      <xdr:row>83</xdr:row>
      <xdr:rowOff>79191</xdr:rowOff>
    </xdr:to>
    <xdr:graphicFrame macro="">
      <xdr:nvGraphicFramePr>
        <xdr:cNvPr id="7" name="Gráfico 6">
          <a:extLst>
            <a:ext uri="{FF2B5EF4-FFF2-40B4-BE49-F238E27FC236}">
              <a16:creationId xmlns:a16="http://schemas.microsoft.com/office/drawing/2014/main" id="{25249FD5-C190-4D8C-AAE6-D9F068F5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1125683</xdr:colOff>
      <xdr:row>25</xdr:row>
      <xdr:rowOff>48491</xdr:rowOff>
    </xdr:from>
    <xdr:to>
      <xdr:col>39</xdr:col>
      <xdr:colOff>155864</xdr:colOff>
      <xdr:row>38</xdr:row>
      <xdr:rowOff>34636</xdr:rowOff>
    </xdr:to>
    <xdr:graphicFrame macro="">
      <xdr:nvGraphicFramePr>
        <xdr:cNvPr id="10" name="Gráfico 9">
          <a:extLst>
            <a:ext uri="{FF2B5EF4-FFF2-40B4-BE49-F238E27FC236}">
              <a16:creationId xmlns:a16="http://schemas.microsoft.com/office/drawing/2014/main" id="{29434FDD-AF79-FE9C-07F3-7B614B33F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xdr:row>
      <xdr:rowOff>0</xdr:rowOff>
    </xdr:from>
    <xdr:to>
      <xdr:col>2</xdr:col>
      <xdr:colOff>447675</xdr:colOff>
      <xdr:row>3</xdr:row>
      <xdr:rowOff>1564</xdr:rowOff>
    </xdr:to>
    <xdr:grpSp>
      <xdr:nvGrpSpPr>
        <xdr:cNvPr id="8" name="Agrupar 7">
          <a:extLst>
            <a:ext uri="{FF2B5EF4-FFF2-40B4-BE49-F238E27FC236}">
              <a16:creationId xmlns:a16="http://schemas.microsoft.com/office/drawing/2014/main" id="{76401D31-3EC9-5848-A206-C74E1B82665E}"/>
            </a:ext>
          </a:extLst>
        </xdr:cNvPr>
        <xdr:cNvGrpSpPr/>
      </xdr:nvGrpSpPr>
      <xdr:grpSpPr>
        <a:xfrm>
          <a:off x="342900" y="428625"/>
          <a:ext cx="1426845" cy="230164"/>
          <a:chOff x="386197" y="438151"/>
          <a:chExt cx="1991590" cy="233795"/>
        </a:xfrm>
      </xdr:grpSpPr>
      <xdr:sp macro="" textlink="">
        <xdr:nvSpPr>
          <xdr:cNvPr id="9" name="Retângulo: Cantos Superiores Arredondados 2">
            <a:extLst>
              <a:ext uri="{FF2B5EF4-FFF2-40B4-BE49-F238E27FC236}">
                <a16:creationId xmlns:a16="http://schemas.microsoft.com/office/drawing/2014/main" id="{E50D32B0-A754-5364-4767-3E87F0EF1A54}"/>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p>
        </xdr:txBody>
      </xdr:sp>
      <xdr:sp macro="" textlink="">
        <xdr:nvSpPr>
          <xdr:cNvPr id="11" name="Retângulo: Cantos Superiores Arredondados 3">
            <a:hlinkClick xmlns:r="http://schemas.openxmlformats.org/officeDocument/2006/relationships" r:id="rId5"/>
            <a:extLst>
              <a:ext uri="{FF2B5EF4-FFF2-40B4-BE49-F238E27FC236}">
                <a16:creationId xmlns:a16="http://schemas.microsoft.com/office/drawing/2014/main" id="{BD068C9C-EBA5-971B-B10C-75FE934B786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619125</xdr:colOff>
      <xdr:row>2</xdr:row>
      <xdr:rowOff>9525</xdr:rowOff>
    </xdr:to>
    <xdr:grpSp>
      <xdr:nvGrpSpPr>
        <xdr:cNvPr id="7" name="Agrupar 6">
          <a:extLst>
            <a:ext uri="{FF2B5EF4-FFF2-40B4-BE49-F238E27FC236}">
              <a16:creationId xmlns:a16="http://schemas.microsoft.com/office/drawing/2014/main" id="{69D8C9B8-6B8B-4A84-9912-3609E5C347CF}"/>
            </a:ext>
          </a:extLst>
        </xdr:cNvPr>
        <xdr:cNvGrpSpPr/>
      </xdr:nvGrpSpPr>
      <xdr:grpSpPr>
        <a:xfrm>
          <a:off x="342900" y="428625"/>
          <a:ext cx="1678305" cy="220980"/>
          <a:chOff x="386197" y="438151"/>
          <a:chExt cx="1991590" cy="233795"/>
        </a:xfrm>
      </xdr:grpSpPr>
      <xdr:sp macro="" textlink="">
        <xdr:nvSpPr>
          <xdr:cNvPr id="8" name="Retângulo: Cantos Superiores Arredondados 2">
            <a:extLst>
              <a:ext uri="{FF2B5EF4-FFF2-40B4-BE49-F238E27FC236}">
                <a16:creationId xmlns:a16="http://schemas.microsoft.com/office/drawing/2014/main" id="{861BEE84-2065-8447-938F-054D1219E387}"/>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r>
              <a:rPr lang="pt-BR" sz="1100" b="1" i="1" kern="1200" baseline="0"/>
              <a:t> 2</a:t>
            </a:r>
            <a:endParaRPr lang="pt-BR" sz="1100" b="1" i="1" kern="1200"/>
          </a:p>
        </xdr:txBody>
      </xdr:sp>
      <xdr:sp macro="" textlink="">
        <xdr:nvSpPr>
          <xdr:cNvPr id="9" name="Retângulo: Cantos Superiores Arredondados 3">
            <a:hlinkClick xmlns:r="http://schemas.openxmlformats.org/officeDocument/2006/relationships" r:id="rId1"/>
            <a:extLst>
              <a:ext uri="{FF2B5EF4-FFF2-40B4-BE49-F238E27FC236}">
                <a16:creationId xmlns:a16="http://schemas.microsoft.com/office/drawing/2014/main" id="{6D450BD5-7BAD-6A0E-ABDE-E603DC06AC9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8150" y="440055"/>
          <a:ext cx="4874894" cy="28575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baseline="0"/>
                <a:t>Calculations 3</a:t>
              </a:r>
              <a:endParaRPr lang="pt-BR" sz="1100" b="1" i="1" kern="1200"/>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18099"/>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Parameters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0070" y="440055"/>
          <a:ext cx="1522293" cy="218099"/>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M61"/>
  <sheetViews>
    <sheetView showGridLines="0" showRowColHeaders="0" zoomScaleNormal="100" workbookViewId="0">
      <selection activeCell="L24" sqref="L24"/>
    </sheetView>
  </sheetViews>
  <sheetFormatPr defaultColWidth="8.77734375" defaultRowHeight="14.4"/>
  <cols>
    <col min="1" max="1" width="5.77734375" style="1" customWidth="1"/>
    <col min="2" max="2" width="19.44140625" style="1" customWidth="1"/>
    <col min="3" max="3" width="4.6640625" style="1" customWidth="1"/>
    <col min="4" max="4" width="50.6640625" style="27" customWidth="1"/>
    <col min="5" max="5" width="9.6640625" style="1" customWidth="1"/>
    <col min="6" max="6" width="50.6640625" style="1" customWidth="1"/>
    <col min="7" max="11" width="8.77734375" style="1" customWidth="1"/>
    <col min="12" max="12" width="12.33203125" style="1" customWidth="1"/>
    <col min="13" max="13" width="4.44140625" style="1" customWidth="1"/>
    <col min="14" max="39" width="8.77734375" style="1" customWidth="1"/>
    <col min="40" max="16384" width="8.77734375" style="1"/>
  </cols>
  <sheetData>
    <row r="1" spans="2:12" s="18" customFormat="1" ht="33.6">
      <c r="B1" s="22" t="str">
        <f>Definitions!$E$8</f>
        <v>Budget impact analysis of PET-CT for treatment of small-cell lung cancer</v>
      </c>
      <c r="C1" s="22"/>
      <c r="D1" s="25"/>
      <c r="E1" s="19"/>
      <c r="F1" s="19"/>
      <c r="G1" s="19"/>
      <c r="H1" s="19"/>
      <c r="I1" s="19"/>
      <c r="J1" s="19"/>
      <c r="K1" s="19"/>
      <c r="L1" s="19"/>
    </row>
    <row r="2" spans="2:12" s="18" customFormat="1" ht="18">
      <c r="B2" s="21"/>
      <c r="C2" s="21"/>
      <c r="D2" s="30"/>
      <c r="E2" s="20"/>
      <c r="F2" s="20"/>
      <c r="G2" s="20"/>
      <c r="H2" s="20"/>
      <c r="I2" s="20"/>
      <c r="J2" s="20"/>
      <c r="K2" s="20"/>
      <c r="L2" s="20"/>
    </row>
    <row r="3" spans="2:12" s="45" customFormat="1" ht="2.25" customHeight="1">
      <c r="D3" s="46"/>
    </row>
    <row r="4" spans="2:12">
      <c r="B4" s="8"/>
      <c r="C4" s="8"/>
      <c r="D4" s="26"/>
      <c r="E4" s="8"/>
      <c r="F4" s="8"/>
      <c r="G4" s="8"/>
      <c r="H4" s="8"/>
      <c r="I4" s="8"/>
      <c r="J4" s="8"/>
      <c r="K4" s="8"/>
      <c r="L4" s="8"/>
    </row>
    <row r="5" spans="2:12">
      <c r="B5" s="8"/>
      <c r="C5" s="8"/>
      <c r="D5" s="26"/>
      <c r="E5" s="8"/>
      <c r="F5" s="8"/>
      <c r="G5" s="8"/>
      <c r="H5" s="8"/>
      <c r="I5" s="8"/>
      <c r="J5" s="8"/>
      <c r="K5" s="8"/>
      <c r="L5" s="8"/>
    </row>
    <row r="6" spans="2:12">
      <c r="B6" s="8"/>
      <c r="C6" s="8"/>
      <c r="D6" s="26"/>
      <c r="E6" s="8"/>
      <c r="F6" s="8"/>
      <c r="G6" s="8"/>
      <c r="H6" s="8"/>
      <c r="I6" s="8"/>
      <c r="J6" s="8"/>
      <c r="K6" s="8"/>
      <c r="L6" s="8"/>
    </row>
    <row r="7" spans="2:12">
      <c r="B7" s="8"/>
      <c r="C7" s="8"/>
      <c r="D7" s="26"/>
      <c r="E7" s="8"/>
      <c r="F7" s="8"/>
      <c r="G7" s="8"/>
      <c r="H7" s="8"/>
      <c r="I7" s="8"/>
      <c r="J7" s="8"/>
      <c r="K7" s="8"/>
      <c r="L7" s="8"/>
    </row>
    <row r="8" spans="2:12">
      <c r="B8" s="8"/>
      <c r="C8" s="8"/>
      <c r="D8" s="26"/>
      <c r="E8" s="8"/>
      <c r="F8" s="8"/>
      <c r="G8" s="8"/>
      <c r="H8" s="8"/>
      <c r="I8" s="8"/>
      <c r="J8" s="8"/>
      <c r="K8" s="8"/>
      <c r="L8" s="8"/>
    </row>
    <row r="9" spans="2:12">
      <c r="B9" s="8"/>
      <c r="C9" s="8"/>
      <c r="D9" s="26"/>
      <c r="E9" s="8"/>
      <c r="F9" s="8"/>
      <c r="G9" s="8"/>
      <c r="H9" s="8"/>
      <c r="I9" s="8"/>
      <c r="J9" s="8"/>
      <c r="K9" s="8"/>
      <c r="L9" s="8"/>
    </row>
    <row r="10" spans="2:12">
      <c r="B10" s="8"/>
      <c r="C10" s="8"/>
      <c r="D10" s="26"/>
      <c r="E10" s="8"/>
      <c r="F10" s="8"/>
      <c r="G10" s="8"/>
      <c r="H10" s="8"/>
      <c r="I10" s="8"/>
      <c r="J10" s="8"/>
      <c r="K10" s="8"/>
      <c r="L10" s="8"/>
    </row>
    <row r="11" spans="2:12">
      <c r="B11" s="8"/>
      <c r="C11" s="8"/>
      <c r="D11" s="26"/>
      <c r="E11" s="8"/>
      <c r="F11" s="8"/>
      <c r="G11" s="8"/>
      <c r="H11" s="8"/>
      <c r="I11" s="8"/>
      <c r="J11" s="8"/>
      <c r="K11" s="8"/>
      <c r="L11" s="8"/>
    </row>
    <row r="12" spans="2:12">
      <c r="B12" s="8"/>
      <c r="C12" s="8"/>
      <c r="D12" s="26"/>
      <c r="E12" s="8"/>
      <c r="F12" s="8"/>
      <c r="G12" s="8"/>
      <c r="H12" s="8"/>
      <c r="I12" s="8"/>
      <c r="J12" s="8"/>
      <c r="K12" s="8"/>
      <c r="L12" s="8"/>
    </row>
    <row r="13" spans="2:12">
      <c r="B13" s="8"/>
      <c r="C13" s="8"/>
      <c r="D13" s="26"/>
      <c r="E13" s="8"/>
      <c r="F13" s="8"/>
      <c r="G13" s="8"/>
      <c r="H13" s="8"/>
      <c r="I13" s="8"/>
      <c r="J13" s="8"/>
      <c r="K13" s="8"/>
      <c r="L13" s="8"/>
    </row>
    <row r="14" spans="2:12">
      <c r="B14" s="8"/>
      <c r="C14" s="8"/>
      <c r="D14" s="8"/>
      <c r="E14" s="8"/>
      <c r="F14" s="8"/>
      <c r="G14" s="8"/>
      <c r="H14" s="8"/>
      <c r="I14" s="8"/>
      <c r="J14" s="8"/>
      <c r="K14" s="8"/>
      <c r="L14" s="8"/>
    </row>
    <row r="15" spans="2:12">
      <c r="B15" s="8"/>
      <c r="C15" s="8"/>
      <c r="D15" s="8"/>
      <c r="E15" s="8"/>
      <c r="F15" s="8"/>
      <c r="G15" s="8"/>
      <c r="H15" s="8"/>
      <c r="I15" s="8"/>
      <c r="J15" s="8"/>
      <c r="K15" s="8"/>
      <c r="L15" s="8"/>
    </row>
    <row r="16" spans="2:12">
      <c r="B16" s="8"/>
      <c r="C16" s="8"/>
      <c r="D16" s="8"/>
      <c r="E16" s="8"/>
      <c r="F16" s="8"/>
      <c r="G16" s="8"/>
      <c r="H16" s="8"/>
      <c r="I16" s="8"/>
      <c r="J16" s="8"/>
      <c r="K16" s="8"/>
      <c r="L16" s="8"/>
    </row>
    <row r="17" spans="2:13">
      <c r="B17" s="8"/>
      <c r="C17" s="8"/>
      <c r="D17" s="8"/>
      <c r="E17" s="8"/>
      <c r="F17" s="8"/>
      <c r="G17" s="8"/>
      <c r="H17" s="8"/>
      <c r="I17" s="8"/>
      <c r="J17" s="8"/>
      <c r="K17" s="8"/>
      <c r="L17" s="8"/>
    </row>
    <row r="18" spans="2:13">
      <c r="B18" s="8"/>
      <c r="C18" s="8"/>
      <c r="D18" s="8"/>
      <c r="E18" s="8"/>
      <c r="F18" s="8"/>
      <c r="G18" s="8"/>
      <c r="H18" s="8"/>
      <c r="I18" s="8"/>
      <c r="J18" s="8"/>
      <c r="K18" s="8"/>
      <c r="L18" s="8"/>
    </row>
    <row r="19" spans="2:13">
      <c r="B19" s="8"/>
      <c r="C19" s="8"/>
      <c r="D19" s="8"/>
      <c r="E19" s="8"/>
      <c r="F19" s="8"/>
      <c r="G19" s="8"/>
      <c r="H19" s="8"/>
      <c r="I19" s="8"/>
      <c r="J19" s="8"/>
      <c r="K19" s="8"/>
      <c r="L19" s="8"/>
    </row>
    <row r="20" spans="2:13">
      <c r="B20" s="8"/>
      <c r="C20" s="8"/>
      <c r="D20" s="8"/>
      <c r="E20" s="8"/>
      <c r="F20" s="8"/>
      <c r="G20" s="8"/>
      <c r="H20" s="8"/>
      <c r="I20" s="8"/>
      <c r="J20" s="8"/>
      <c r="K20" s="8"/>
      <c r="L20" s="8"/>
    </row>
    <row r="21" spans="2:13">
      <c r="B21" s="8"/>
      <c r="C21" s="8"/>
      <c r="D21" s="8"/>
      <c r="E21" s="8"/>
      <c r="F21" s="8"/>
      <c r="G21" s="8"/>
      <c r="H21" s="8"/>
      <c r="I21" s="8"/>
      <c r="J21" s="8"/>
      <c r="K21" s="8"/>
      <c r="L21" s="8"/>
    </row>
    <row r="22" spans="2:13">
      <c r="B22" s="8"/>
      <c r="C22" s="8"/>
      <c r="D22" s="8"/>
      <c r="E22" s="8"/>
      <c r="F22" s="8"/>
      <c r="G22" s="8"/>
      <c r="H22" s="8"/>
      <c r="I22" s="8"/>
      <c r="J22" s="8"/>
      <c r="K22" s="8"/>
      <c r="L22" s="8"/>
    </row>
    <row r="23" spans="2:13">
      <c r="B23" s="8"/>
      <c r="C23" s="8"/>
      <c r="D23" s="8"/>
      <c r="E23" s="8"/>
      <c r="F23" s="8"/>
      <c r="G23" s="8"/>
      <c r="H23" s="8"/>
      <c r="I23" s="8"/>
      <c r="J23" s="8"/>
      <c r="K23" s="8"/>
      <c r="L23" s="8"/>
    </row>
    <row r="24" spans="2:13">
      <c r="B24" s="8"/>
      <c r="C24" s="8"/>
      <c r="D24" s="8"/>
      <c r="E24" s="8"/>
      <c r="F24" s="8"/>
      <c r="G24" s="8"/>
      <c r="H24" s="8"/>
      <c r="I24" s="8"/>
      <c r="J24" s="8"/>
      <c r="K24" s="8"/>
      <c r="L24" s="8"/>
    </row>
    <row r="25" spans="2:13">
      <c r="B25" s="8"/>
      <c r="C25" s="8"/>
      <c r="D25" s="8"/>
      <c r="E25" s="8"/>
      <c r="F25" s="8"/>
      <c r="G25" s="8"/>
      <c r="H25" s="8"/>
      <c r="I25" s="8"/>
      <c r="J25" s="8"/>
      <c r="K25" s="8"/>
      <c r="L25" s="8"/>
    </row>
    <row r="26" spans="2:13">
      <c r="B26" s="24"/>
      <c r="C26" s="24"/>
      <c r="D26" s="26"/>
      <c r="E26" s="8"/>
      <c r="F26" s="8"/>
      <c r="G26" s="8"/>
      <c r="H26" s="8"/>
      <c r="I26" s="8"/>
      <c r="J26" s="8"/>
      <c r="K26" s="8"/>
      <c r="L26" s="16"/>
    </row>
    <row r="27" spans="2:13">
      <c r="B27" s="24"/>
      <c r="C27" s="24"/>
      <c r="D27" s="26"/>
      <c r="E27" s="8"/>
      <c r="F27" s="8"/>
      <c r="G27" s="8"/>
      <c r="H27" s="8"/>
      <c r="I27" s="8"/>
      <c r="J27" s="8"/>
      <c r="K27" s="8"/>
      <c r="L27" s="16"/>
    </row>
    <row r="28" spans="2:13">
      <c r="B28" s="8"/>
      <c r="C28" s="8"/>
      <c r="D28" s="26"/>
      <c r="E28" s="8"/>
      <c r="F28" s="8"/>
      <c r="G28" s="8"/>
      <c r="H28" s="8"/>
      <c r="I28" s="8"/>
      <c r="J28" s="8"/>
      <c r="K28" s="28"/>
      <c r="L28" s="16"/>
    </row>
    <row r="29" spans="2:13" ht="85.95" customHeight="1">
      <c r="B29" s="405" t="e" vm="1">
        <v>#VALUE!</v>
      </c>
      <c r="C29" s="405"/>
      <c r="D29" s="405"/>
      <c r="E29" s="405"/>
      <c r="F29" s="405"/>
      <c r="G29" s="405"/>
      <c r="H29" s="405"/>
      <c r="I29" s="405"/>
      <c r="J29" s="23"/>
      <c r="K29" s="23"/>
      <c r="L29" s="23"/>
      <c r="M29" s="23"/>
    </row>
    <row r="30" spans="2:13">
      <c r="B30" s="24"/>
      <c r="C30" s="24"/>
      <c r="D30" s="26"/>
      <c r="E30" s="8"/>
      <c r="F30" s="8"/>
      <c r="G30" s="8"/>
      <c r="H30" s="8"/>
      <c r="I30" s="8"/>
      <c r="J30" s="8"/>
      <c r="K30" s="8"/>
      <c r="L30" s="8"/>
    </row>
    <row r="31" spans="2:13">
      <c r="B31" s="24"/>
      <c r="C31" s="24"/>
      <c r="D31" s="26"/>
      <c r="E31" s="8"/>
      <c r="F31" s="8"/>
      <c r="G31" s="8"/>
      <c r="H31" s="8"/>
      <c r="I31" s="8"/>
      <c r="J31" s="8"/>
      <c r="K31" s="8"/>
      <c r="L31" s="8"/>
    </row>
    <row r="32" spans="2:13">
      <c r="B32" s="8"/>
      <c r="C32" s="8"/>
      <c r="D32" s="26"/>
      <c r="E32" s="8"/>
      <c r="F32" s="8"/>
      <c r="G32" s="8"/>
      <c r="H32" s="8"/>
      <c r="I32" s="8"/>
      <c r="J32" s="8"/>
      <c r="K32" s="8"/>
      <c r="L32" s="8"/>
    </row>
    <row r="33" spans="2:12">
      <c r="B33" s="23"/>
      <c r="C33" s="23"/>
      <c r="D33" s="16"/>
      <c r="E33" s="8"/>
      <c r="F33" s="8"/>
      <c r="G33" s="9"/>
      <c r="H33" s="9"/>
      <c r="I33" s="9"/>
      <c r="J33" s="9"/>
      <c r="K33" s="9"/>
      <c r="L33" s="9"/>
    </row>
    <row r="34" spans="2:12">
      <c r="B34" s="23"/>
      <c r="C34" s="23"/>
      <c r="D34" s="16"/>
      <c r="E34" s="8"/>
      <c r="F34" s="8"/>
      <c r="G34" s="9"/>
      <c r="H34" s="9"/>
      <c r="I34" s="9"/>
      <c r="J34" s="9"/>
      <c r="K34" s="9"/>
      <c r="L34" s="9"/>
    </row>
    <row r="35" spans="2:12">
      <c r="B35" s="23"/>
      <c r="C35" s="23"/>
      <c r="D35" s="16"/>
      <c r="E35" s="8"/>
      <c r="F35" s="8"/>
      <c r="G35" s="9"/>
      <c r="H35" s="9"/>
      <c r="I35" s="9"/>
      <c r="J35" s="9"/>
      <c r="K35" s="9"/>
      <c r="L35" s="9"/>
    </row>
    <row r="36" spans="2:12">
      <c r="B36" s="23"/>
      <c r="C36" s="23"/>
      <c r="D36" s="13"/>
      <c r="E36" s="8"/>
      <c r="F36" s="8"/>
      <c r="G36" s="9"/>
      <c r="H36" s="9"/>
      <c r="I36" s="9"/>
      <c r="J36" s="9"/>
      <c r="K36" s="9"/>
      <c r="L36" s="9"/>
    </row>
    <row r="37" spans="2:12">
      <c r="B37" s="23"/>
      <c r="C37" s="23"/>
      <c r="D37" s="13"/>
      <c r="E37" s="8"/>
      <c r="F37" s="8"/>
      <c r="G37" s="9"/>
      <c r="H37" s="9"/>
      <c r="I37" s="9"/>
      <c r="J37" s="9"/>
      <c r="K37" s="9"/>
      <c r="L37" s="9"/>
    </row>
    <row r="38" spans="2:12">
      <c r="B38" s="23"/>
      <c r="C38" s="23"/>
      <c r="D38" s="13"/>
      <c r="E38" s="8"/>
      <c r="F38" s="8"/>
      <c r="G38" s="9"/>
      <c r="H38" s="9"/>
      <c r="I38" s="9"/>
      <c r="J38" s="9"/>
      <c r="K38" s="9"/>
      <c r="L38" s="9"/>
    </row>
    <row r="39" spans="2:12">
      <c r="B39" s="23"/>
      <c r="C39" s="23"/>
      <c r="D39" s="13"/>
      <c r="E39" s="9"/>
      <c r="F39" s="8"/>
      <c r="G39" s="9"/>
      <c r="H39" s="9"/>
      <c r="I39" s="9"/>
      <c r="J39" s="9"/>
      <c r="K39" s="9"/>
      <c r="L39" s="9"/>
    </row>
    <row r="40" spans="2:12">
      <c r="B40" s="23"/>
      <c r="C40" s="23"/>
      <c r="D40" s="13"/>
      <c r="E40" s="8"/>
      <c r="F40" s="8"/>
      <c r="G40" s="9"/>
      <c r="H40" s="9"/>
      <c r="I40" s="9"/>
      <c r="J40" s="9"/>
      <c r="K40" s="9"/>
      <c r="L40" s="9"/>
    </row>
    <row r="41" spans="2:12">
      <c r="B41" s="23"/>
      <c r="C41" s="23"/>
      <c r="D41" s="13"/>
      <c r="E41" s="14"/>
      <c r="F41" s="8"/>
      <c r="G41" s="9"/>
      <c r="H41" s="9"/>
      <c r="I41" s="9"/>
      <c r="J41" s="9"/>
      <c r="K41" s="9"/>
      <c r="L41" s="9"/>
    </row>
    <row r="42" spans="2:12">
      <c r="B42" s="23"/>
      <c r="C42" s="23"/>
      <c r="D42" s="13"/>
      <c r="E42" s="8"/>
      <c r="F42" s="8"/>
      <c r="G42" s="9"/>
      <c r="H42" s="9"/>
      <c r="I42" s="9"/>
      <c r="J42" s="9"/>
      <c r="K42" s="9"/>
      <c r="L42" s="9"/>
    </row>
    <row r="43" spans="2:12">
      <c r="B43" s="23"/>
      <c r="C43" s="23"/>
      <c r="D43" s="13"/>
      <c r="E43" s="8"/>
      <c r="F43" s="8"/>
      <c r="G43" s="9"/>
      <c r="H43" s="9"/>
      <c r="I43" s="9"/>
      <c r="J43" s="9"/>
      <c r="K43" s="9"/>
      <c r="L43" s="9"/>
    </row>
    <row r="44" spans="2:12">
      <c r="B44" s="23"/>
      <c r="C44" s="23"/>
      <c r="D44" s="13"/>
      <c r="E44" s="8"/>
      <c r="F44" s="8"/>
      <c r="G44" s="9"/>
      <c r="H44" s="9"/>
      <c r="I44" s="9"/>
      <c r="J44" s="9"/>
      <c r="K44" s="9"/>
      <c r="L44" s="9"/>
    </row>
    <row r="45" spans="2:12">
      <c r="B45" s="23"/>
      <c r="C45" s="23"/>
      <c r="D45" s="13"/>
      <c r="E45" s="15"/>
      <c r="F45" s="8"/>
      <c r="G45" s="8"/>
      <c r="H45" s="8"/>
      <c r="I45" s="8"/>
      <c r="J45" s="8"/>
      <c r="K45" s="8"/>
      <c r="L45" s="8"/>
    </row>
    <row r="46" spans="2:12">
      <c r="B46" s="8"/>
      <c r="C46" s="8"/>
      <c r="D46" s="13"/>
      <c r="E46" s="8"/>
      <c r="F46" s="8"/>
      <c r="G46" s="8"/>
      <c r="H46" s="8"/>
      <c r="I46" s="8"/>
      <c r="J46" s="8"/>
      <c r="K46" s="8"/>
      <c r="L46" s="8"/>
    </row>
    <row r="47" spans="2:12">
      <c r="B47" s="8"/>
      <c r="C47" s="8"/>
      <c r="D47" s="13"/>
      <c r="E47" s="14"/>
      <c r="F47" s="8"/>
      <c r="G47" s="8"/>
      <c r="H47" s="8"/>
      <c r="I47" s="8"/>
      <c r="J47" s="8"/>
      <c r="K47" s="8"/>
      <c r="L47" s="8"/>
    </row>
    <row r="48" spans="2:12">
      <c r="B48" s="8"/>
      <c r="C48" s="8"/>
      <c r="D48" s="13"/>
      <c r="E48" s="14"/>
      <c r="F48" s="8"/>
      <c r="G48" s="8"/>
      <c r="H48" s="8"/>
      <c r="I48" s="8"/>
      <c r="J48" s="8"/>
      <c r="K48" s="8"/>
      <c r="L48" s="8"/>
    </row>
    <row r="49" spans="4:12">
      <c r="D49" s="13"/>
      <c r="E49" s="14"/>
      <c r="F49" s="8"/>
      <c r="G49" s="8"/>
      <c r="H49" s="8"/>
      <c r="I49" s="8"/>
      <c r="J49" s="8"/>
      <c r="K49" s="8"/>
      <c r="L49" s="8"/>
    </row>
    <row r="50" spans="4:12">
      <c r="D50" s="13"/>
      <c r="E50" s="14"/>
      <c r="F50" s="8"/>
      <c r="G50" s="8"/>
      <c r="H50" s="9"/>
      <c r="I50" s="8"/>
      <c r="J50" s="8"/>
      <c r="K50" s="8"/>
      <c r="L50" s="8"/>
    </row>
    <row r="51" spans="4:12">
      <c r="D51" s="13"/>
      <c r="E51" s="14"/>
      <c r="F51" s="8"/>
      <c r="G51" s="8"/>
      <c r="H51" s="8"/>
      <c r="I51" s="8"/>
      <c r="J51" s="8"/>
      <c r="K51" s="8"/>
      <c r="L51" s="8"/>
    </row>
    <row r="52" spans="4:12">
      <c r="D52" s="13"/>
      <c r="E52" s="14" t="str">
        <f>IF(comparador2=0," ",comparador2)</f>
        <v xml:space="preserve"> </v>
      </c>
      <c r="F52" s="8"/>
      <c r="G52" s="8"/>
      <c r="H52" s="8"/>
      <c r="I52" s="8"/>
      <c r="J52" s="8"/>
      <c r="K52" s="8"/>
      <c r="L52" s="8"/>
    </row>
    <row r="56" spans="4:12">
      <c r="D56" s="29"/>
      <c r="E56" s="17"/>
      <c r="F56" s="8"/>
      <c r="G56" s="8"/>
      <c r="H56" s="8"/>
      <c r="I56" s="8"/>
      <c r="J56" s="8"/>
      <c r="K56" s="8"/>
      <c r="L56" s="8"/>
    </row>
    <row r="57" spans="4:12">
      <c r="D57" s="29"/>
      <c r="E57" s="17"/>
      <c r="F57" s="8"/>
      <c r="G57" s="8"/>
      <c r="H57" s="8"/>
      <c r="I57" s="8"/>
      <c r="J57" s="8"/>
      <c r="K57" s="8"/>
      <c r="L57" s="8"/>
    </row>
    <row r="58" spans="4:12">
      <c r="D58" s="29"/>
      <c r="E58" s="17"/>
      <c r="F58" s="8"/>
      <c r="G58" s="8"/>
      <c r="H58" s="8"/>
      <c r="I58" s="8"/>
      <c r="J58" s="8"/>
      <c r="K58" s="8"/>
      <c r="L58" s="8"/>
    </row>
    <row r="59" spans="4:12">
      <c r="D59" s="29"/>
      <c r="E59" s="17"/>
      <c r="F59" s="8"/>
      <c r="G59" s="8"/>
      <c r="H59" s="8"/>
      <c r="I59" s="8"/>
      <c r="J59" s="8"/>
      <c r="K59" s="8"/>
      <c r="L59" s="8"/>
    </row>
    <row r="60" spans="4:12">
      <c r="D60" s="29"/>
      <c r="E60" s="17"/>
      <c r="F60" s="8"/>
      <c r="G60" s="8"/>
      <c r="H60" s="8"/>
      <c r="I60" s="8"/>
      <c r="J60" s="8"/>
      <c r="K60" s="8"/>
      <c r="L60" s="8"/>
    </row>
    <row r="61" spans="4:12">
      <c r="D61" s="29"/>
      <c r="E61" s="17"/>
      <c r="F61" s="8"/>
      <c r="G61" s="8"/>
      <c r="H61" s="8"/>
      <c r="I61" s="8"/>
      <c r="J61" s="8"/>
      <c r="K61" s="8"/>
      <c r="L61" s="8"/>
    </row>
  </sheetData>
  <sheetProtection algorithmName="SHA-512" hashValue="5XTL+Zn4mhPG27pr5oryYQ89qm6V5/a3w9xnhjiJZ08ieT3DsxQxVACe2kioIdHd0RBi7q4E8b2+9pd+fOt6ig==" saltValue="Yx9kTeRAQYp9bv9+xZBvGg==" spinCount="100000" sheet="1" objects="1" scenarios="1" selectLockedCells="1" selectUnlockedCells="1"/>
  <mergeCells count="1">
    <mergeCell ref="B29:I29"/>
  </mergeCells>
  <pageMargins left="0.511811024" right="0.511811024" top="0.78740157499999996" bottom="0.78740157499999996" header="0.31496062000000002" footer="0.31496062000000002"/>
  <ignoredErrors>
    <ignoredError sqref="B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70"/>
  <sheetViews>
    <sheetView showGridLines="0" showRowColHeaders="0" topLeftCell="A21" zoomScaleNormal="100" workbookViewId="0">
      <selection activeCell="X34" sqref="X34"/>
    </sheetView>
  </sheetViews>
  <sheetFormatPr defaultColWidth="8.77734375" defaultRowHeight="14.4"/>
  <cols>
    <col min="1" max="1" width="5.77734375" style="142" customWidth="1"/>
    <col min="2" max="2" width="3.44140625" style="142" customWidth="1"/>
    <col min="3" max="3" width="39" style="142" customWidth="1"/>
    <col min="4" max="4" width="4.77734375" style="79" customWidth="1"/>
    <col min="5" max="5" width="37.109375" style="142" customWidth="1"/>
    <col min="6" max="6" width="12.109375" style="142" customWidth="1"/>
    <col min="7" max="7" width="4.6640625" style="142" customWidth="1"/>
    <col min="8" max="16" width="8.77734375" style="142" customWidth="1"/>
    <col min="17" max="17" width="4.44140625" style="142" customWidth="1"/>
    <col min="18" max="18" width="47.109375" style="142" hidden="1" customWidth="1"/>
    <col min="19" max="19" width="2.109375" style="142" hidden="1" customWidth="1"/>
    <col min="20" max="20" width="8.77734375" style="142" hidden="1" customWidth="1"/>
    <col min="21" max="43" width="8.77734375" style="142" customWidth="1"/>
    <col min="44" max="16384" width="8.77734375" style="142"/>
  </cols>
  <sheetData>
    <row r="1" spans="1:21" s="130" customFormat="1" ht="33.6">
      <c r="A1" s="127"/>
      <c r="B1" s="128" t="str">
        <f>Introduction!$B$1</f>
        <v>Budget impact analysis of PET-CT for treatment of small-cell lung cancer</v>
      </c>
      <c r="C1" s="128"/>
      <c r="D1" s="129"/>
      <c r="E1" s="127"/>
      <c r="F1" s="127"/>
      <c r="G1" s="127"/>
      <c r="H1" s="127"/>
      <c r="I1" s="127"/>
      <c r="J1" s="127"/>
      <c r="K1" s="127"/>
      <c r="L1" s="127"/>
      <c r="M1" s="127"/>
      <c r="N1" s="127"/>
      <c r="O1" s="127"/>
      <c r="P1" s="127"/>
      <c r="Q1" s="127"/>
      <c r="R1" s="127"/>
      <c r="S1" s="127"/>
      <c r="T1" s="127"/>
      <c r="U1" s="127"/>
    </row>
    <row r="2" spans="1:21" s="130" customFormat="1" ht="18">
      <c r="A2" s="127"/>
      <c r="B2" s="131"/>
      <c r="C2" s="131"/>
      <c r="D2" s="132"/>
      <c r="E2" s="133"/>
      <c r="F2" s="133"/>
      <c r="G2" s="133"/>
      <c r="H2" s="133"/>
      <c r="I2" s="133"/>
      <c r="J2" s="133"/>
      <c r="K2" s="133"/>
      <c r="L2" s="133"/>
      <c r="M2" s="127"/>
      <c r="N2" s="127"/>
      <c r="O2" s="127"/>
      <c r="P2" s="127"/>
      <c r="Q2" s="127"/>
      <c r="R2" s="127"/>
      <c r="S2" s="127"/>
      <c r="T2" s="127"/>
      <c r="U2" s="127"/>
    </row>
    <row r="3" spans="1:21" s="134" customFormat="1" ht="2.25" customHeight="1">
      <c r="D3" s="135"/>
    </row>
    <row r="4" spans="1:21" s="137" customFormat="1">
      <c r="A4" s="136"/>
      <c r="D4" s="138"/>
      <c r="P4" s="139"/>
      <c r="Q4" s="139"/>
      <c r="R4" s="149" t="s">
        <v>60</v>
      </c>
      <c r="S4" s="149"/>
      <c r="T4" s="149"/>
      <c r="U4" s="139"/>
    </row>
    <row r="5" spans="1:21" ht="18">
      <c r="A5" s="136"/>
      <c r="B5" s="136"/>
      <c r="C5" s="140" t="s">
        <v>61</v>
      </c>
      <c r="D5" s="141"/>
      <c r="E5" s="83"/>
      <c r="F5" s="136"/>
      <c r="G5" s="136"/>
      <c r="H5" s="136"/>
      <c r="I5" s="136"/>
      <c r="J5" s="136"/>
      <c r="K5" s="136"/>
      <c r="L5" s="136"/>
      <c r="M5" s="136"/>
      <c r="N5" s="136"/>
      <c r="O5" s="136"/>
      <c r="P5" s="139"/>
      <c r="Q5" s="139">
        <v>1</v>
      </c>
      <c r="R5" s="149" t="str">
        <f>"Budget impact analysis of "&amp;E33&amp;" for treatment of "&amp;E27</f>
        <v>Budget impact analysis of PET-CT for treatment of small-cell lung cancer</v>
      </c>
      <c r="S5" s="149" t="str">
        <f>intervencao1</f>
        <v>PET-CT</v>
      </c>
      <c r="T5" s="149"/>
      <c r="U5" s="139"/>
    </row>
    <row r="6" spans="1:21">
      <c r="A6" s="136"/>
      <c r="B6" s="136"/>
      <c r="C6" s="136" t="s">
        <v>62</v>
      </c>
      <c r="D6" s="136"/>
      <c r="E6" s="83"/>
      <c r="F6" s="136"/>
      <c r="G6" s="136"/>
      <c r="H6" s="136"/>
      <c r="I6" s="136"/>
      <c r="J6" s="136"/>
      <c r="K6" s="136"/>
      <c r="L6" s="136"/>
      <c r="M6" s="136"/>
      <c r="N6" s="136"/>
      <c r="O6" s="136"/>
      <c r="P6" s="139"/>
      <c r="Q6" s="139">
        <v>2</v>
      </c>
      <c r="R6" s="149" t="str">
        <f>"Budget impact analysis of treatments for "&amp;E27</f>
        <v>Budget impact analysis of treatments for small-cell lung cancer</v>
      </c>
      <c r="S6" s="149">
        <f>intervencao2</f>
        <v>0</v>
      </c>
      <c r="T6" s="149"/>
      <c r="U6" s="139"/>
    </row>
    <row r="7" spans="1:21">
      <c r="A7" s="136"/>
      <c r="B7" s="136"/>
      <c r="C7" s="136"/>
      <c r="D7" s="136"/>
      <c r="E7" s="83"/>
      <c r="F7" s="143"/>
      <c r="G7" s="136"/>
      <c r="H7" s="136"/>
      <c r="I7" s="136"/>
      <c r="J7" s="136"/>
      <c r="K7" s="136"/>
      <c r="L7" s="136"/>
      <c r="M7" s="136"/>
      <c r="N7" s="136"/>
      <c r="O7" s="136"/>
      <c r="P7" s="139"/>
      <c r="Q7" s="139">
        <v>3</v>
      </c>
      <c r="R7" s="149"/>
      <c r="S7" s="149">
        <f>intervencao3</f>
        <v>0</v>
      </c>
      <c r="T7" s="149"/>
      <c r="U7" s="139"/>
    </row>
    <row r="8" spans="1:21" ht="57" customHeight="1">
      <c r="A8" s="136"/>
      <c r="B8" s="136"/>
      <c r="C8" s="144" t="s">
        <v>135</v>
      </c>
      <c r="D8" s="145"/>
      <c r="E8" s="146" t="str">
        <f>IF(AND(E33="",n_interv&lt;2),R4,IF(n_interv&lt;2,R5,R6))</f>
        <v>Budget impact analysis of PET-CT for treatment of small-cell lung cancer</v>
      </c>
      <c r="F8" s="408" t="s">
        <v>63</v>
      </c>
      <c r="G8" s="409"/>
      <c r="H8" s="409"/>
      <c r="I8" s="409"/>
      <c r="J8" s="136"/>
      <c r="K8" s="136"/>
      <c r="L8" s="136"/>
      <c r="M8" s="136"/>
      <c r="N8" s="136"/>
      <c r="O8" s="136"/>
      <c r="P8" s="139"/>
      <c r="Q8" s="139">
        <v>4</v>
      </c>
      <c r="R8" s="149"/>
      <c r="S8" s="149">
        <f>intervencao4</f>
        <v>0</v>
      </c>
      <c r="T8" s="149"/>
      <c r="U8" s="139"/>
    </row>
    <row r="9" spans="1:21">
      <c r="A9" s="136"/>
      <c r="B9" s="136"/>
      <c r="C9" s="42"/>
      <c r="D9" s="145"/>
      <c r="E9" s="145"/>
      <c r="F9" s="43"/>
      <c r="G9" s="136"/>
      <c r="H9" s="136"/>
      <c r="I9" s="136"/>
      <c r="J9" s="136"/>
      <c r="K9" s="136"/>
      <c r="L9" s="136"/>
      <c r="M9" s="136"/>
      <c r="N9" s="136"/>
      <c r="O9" s="136"/>
      <c r="P9" s="139"/>
      <c r="Q9" s="139">
        <v>5</v>
      </c>
      <c r="R9" s="149"/>
      <c r="S9" s="149" t="str">
        <f>comparador1</f>
        <v>CT scan + scintigraphy</v>
      </c>
      <c r="T9" s="149"/>
      <c r="U9" s="139"/>
    </row>
    <row r="10" spans="1:21">
      <c r="A10" s="136"/>
      <c r="B10" s="136"/>
      <c r="C10" s="42" t="s">
        <v>210</v>
      </c>
      <c r="D10" s="145"/>
      <c r="E10" s="44" t="s">
        <v>347</v>
      </c>
      <c r="F10" s="43"/>
      <c r="G10" s="136"/>
      <c r="H10" s="136"/>
      <c r="I10" s="136"/>
      <c r="J10" s="136"/>
      <c r="K10" s="136"/>
      <c r="L10" s="136"/>
      <c r="M10" s="136"/>
      <c r="N10" s="136"/>
      <c r="O10" s="136"/>
      <c r="P10" s="139"/>
      <c r="Q10" s="139">
        <v>6</v>
      </c>
      <c r="R10" s="149"/>
      <c r="S10" s="149">
        <f>comparador2</f>
        <v>0</v>
      </c>
      <c r="T10" s="149"/>
      <c r="U10" s="139"/>
    </row>
    <row r="11" spans="1:21">
      <c r="A11" s="136"/>
      <c r="B11" s="136"/>
      <c r="C11" s="42"/>
      <c r="D11" s="145"/>
      <c r="E11" s="145"/>
      <c r="F11" s="43"/>
      <c r="G11" s="136"/>
      <c r="H11" s="136"/>
      <c r="I11" s="136"/>
      <c r="J11" s="136"/>
      <c r="K11" s="136"/>
      <c r="L11" s="136"/>
      <c r="M11" s="136"/>
      <c r="N11" s="136"/>
      <c r="O11" s="136"/>
      <c r="P11" s="139"/>
      <c r="Q11" s="139">
        <v>7</v>
      </c>
      <c r="R11" s="149"/>
      <c r="S11" s="149">
        <f>comparador3</f>
        <v>0</v>
      </c>
      <c r="T11" s="149"/>
      <c r="U11" s="139"/>
    </row>
    <row r="12" spans="1:21">
      <c r="A12" s="136"/>
      <c r="B12" s="136"/>
      <c r="C12" s="42" t="s">
        <v>64</v>
      </c>
      <c r="D12" s="145"/>
      <c r="E12" s="44"/>
      <c r="F12" s="43"/>
      <c r="G12" s="136"/>
      <c r="H12" s="136"/>
      <c r="I12" s="136"/>
      <c r="J12" s="136"/>
      <c r="K12" s="136"/>
      <c r="L12" s="136"/>
      <c r="M12" s="136"/>
      <c r="N12" s="136"/>
      <c r="O12" s="136"/>
      <c r="P12" s="139"/>
      <c r="Q12" s="139">
        <v>8</v>
      </c>
      <c r="R12" s="149"/>
      <c r="S12" s="149">
        <f>comparador4</f>
        <v>0</v>
      </c>
      <c r="T12" s="149"/>
      <c r="U12" s="139"/>
    </row>
    <row r="13" spans="1:21">
      <c r="A13" s="136"/>
      <c r="B13" s="136"/>
      <c r="C13" s="42"/>
      <c r="D13" s="145"/>
      <c r="E13" s="145"/>
      <c r="F13" s="43"/>
      <c r="G13" s="136"/>
      <c r="H13" s="136"/>
      <c r="I13" s="136"/>
      <c r="J13" s="136"/>
      <c r="K13" s="136"/>
      <c r="L13" s="136"/>
      <c r="M13" s="136"/>
      <c r="N13" s="136"/>
      <c r="O13" s="136"/>
      <c r="P13" s="139"/>
      <c r="Q13" s="139">
        <v>9</v>
      </c>
      <c r="R13" s="149"/>
      <c r="S13" s="149">
        <f>comparador5</f>
        <v>0</v>
      </c>
      <c r="T13" s="149"/>
      <c r="U13" s="139"/>
    </row>
    <row r="14" spans="1:21">
      <c r="A14" s="136"/>
      <c r="B14" s="136"/>
      <c r="C14" s="42" t="s">
        <v>65</v>
      </c>
      <c r="D14" s="145"/>
      <c r="E14" s="125"/>
      <c r="F14" s="43"/>
      <c r="G14" s="136"/>
      <c r="H14" s="136"/>
      <c r="I14" s="136"/>
      <c r="J14" s="136"/>
      <c r="K14" s="136"/>
      <c r="L14" s="136"/>
      <c r="M14" s="136"/>
      <c r="N14" s="136"/>
      <c r="O14" s="136"/>
      <c r="P14" s="139"/>
      <c r="Q14" s="139">
        <v>10</v>
      </c>
      <c r="R14" s="149"/>
      <c r="S14" s="149">
        <f>comparador6</f>
        <v>0</v>
      </c>
      <c r="T14" s="149"/>
      <c r="U14" s="139"/>
    </row>
    <row r="15" spans="1:21">
      <c r="A15" s="136"/>
      <c r="B15" s="136"/>
      <c r="C15" s="42"/>
      <c r="D15" s="42"/>
      <c r="E15" s="42"/>
      <c r="F15" s="43"/>
      <c r="G15" s="136"/>
      <c r="H15" s="136"/>
      <c r="I15" s="136"/>
      <c r="J15" s="136"/>
      <c r="K15" s="136"/>
      <c r="L15" s="136"/>
      <c r="M15" s="136"/>
      <c r="N15" s="136"/>
      <c r="O15" s="136"/>
      <c r="P15" s="139"/>
      <c r="Q15" s="139" t="s">
        <v>0</v>
      </c>
      <c r="R15" s="149"/>
      <c r="S15" s="149">
        <f>comparador7</f>
        <v>0</v>
      </c>
      <c r="T15" s="149"/>
      <c r="U15" s="139"/>
    </row>
    <row r="16" spans="1:21">
      <c r="A16" s="136"/>
      <c r="B16" s="136"/>
      <c r="C16" s="42" t="s">
        <v>66</v>
      </c>
      <c r="D16" s="145"/>
      <c r="E16" s="44"/>
      <c r="F16" s="43"/>
      <c r="G16" s="136"/>
      <c r="H16" s="136"/>
      <c r="I16" s="136"/>
      <c r="J16" s="136"/>
      <c r="K16" s="136"/>
      <c r="L16" s="136"/>
      <c r="M16" s="136"/>
      <c r="N16" s="136"/>
      <c r="O16" s="136"/>
      <c r="P16" s="139"/>
      <c r="Q16" s="139" t="s">
        <v>1</v>
      </c>
      <c r="R16" s="149"/>
      <c r="S16" s="149">
        <f>comparador8</f>
        <v>0</v>
      </c>
      <c r="T16" s="149"/>
      <c r="U16" s="139"/>
    </row>
    <row r="17" spans="3:21">
      <c r="C17" s="136"/>
      <c r="D17" s="145"/>
      <c r="E17" s="44"/>
      <c r="F17" s="43"/>
      <c r="G17" s="136"/>
      <c r="H17" s="136"/>
      <c r="I17" s="136"/>
      <c r="J17" s="136"/>
      <c r="K17" s="136"/>
      <c r="L17" s="136"/>
      <c r="M17" s="136"/>
      <c r="N17" s="136"/>
      <c r="O17" s="136"/>
      <c r="P17" s="139"/>
      <c r="Q17" s="139"/>
      <c r="R17" s="149"/>
      <c r="S17" s="149">
        <f>comparador9</f>
        <v>0</v>
      </c>
      <c r="T17" s="149"/>
      <c r="U17" s="139"/>
    </row>
    <row r="18" spans="3:21">
      <c r="C18" s="145"/>
      <c r="D18" s="145"/>
      <c r="E18" s="44"/>
      <c r="F18" s="43"/>
      <c r="G18" s="136"/>
      <c r="H18" s="136"/>
      <c r="I18" s="136"/>
      <c r="J18" s="136"/>
      <c r="K18" s="136"/>
      <c r="L18" s="136"/>
      <c r="M18" s="136"/>
      <c r="N18" s="136"/>
      <c r="O18" s="136"/>
      <c r="P18" s="139"/>
      <c r="Q18" s="139"/>
      <c r="R18" s="149"/>
      <c r="S18" s="149">
        <f>comparador10</f>
        <v>0</v>
      </c>
      <c r="T18" s="149"/>
      <c r="U18" s="139"/>
    </row>
    <row r="19" spans="3:21">
      <c r="C19" s="145"/>
      <c r="D19" s="145"/>
      <c r="E19" s="32"/>
      <c r="F19" s="43"/>
      <c r="G19" s="136"/>
      <c r="H19" s="136"/>
      <c r="I19" s="136"/>
      <c r="J19" s="136"/>
      <c r="K19" s="136"/>
      <c r="L19" s="136"/>
      <c r="M19" s="136"/>
      <c r="N19" s="136"/>
      <c r="O19" s="136"/>
      <c r="P19" s="139"/>
      <c r="Q19" s="139"/>
      <c r="R19" s="150"/>
      <c r="S19" s="151"/>
      <c r="T19" s="150"/>
      <c r="U19" s="139"/>
    </row>
    <row r="20" spans="3:21" customFormat="1">
      <c r="C20" s="63"/>
      <c r="D20" s="7"/>
      <c r="E20" s="7"/>
      <c r="F20" s="7"/>
      <c r="G20" s="7"/>
      <c r="H20" s="7"/>
      <c r="I20" s="7"/>
      <c r="J20" s="7"/>
      <c r="K20" s="7"/>
      <c r="L20" s="7"/>
      <c r="M20" s="7"/>
      <c r="N20" s="7"/>
      <c r="O20" s="7"/>
      <c r="P20" s="7"/>
      <c r="Q20" s="7"/>
      <c r="R20" s="152"/>
      <c r="S20" s="151"/>
      <c r="T20" s="152"/>
    </row>
    <row r="21" spans="3:21" customFormat="1">
      <c r="C21" s="64"/>
      <c r="D21" s="65"/>
      <c r="E21" s="65"/>
      <c r="F21" s="65"/>
      <c r="G21" s="65"/>
      <c r="H21" s="65"/>
      <c r="I21" s="65"/>
      <c r="J21" s="65"/>
      <c r="K21" s="65"/>
      <c r="L21" s="65"/>
      <c r="M21" s="65"/>
      <c r="N21" s="65"/>
      <c r="O21" s="7"/>
      <c r="P21" s="7"/>
      <c r="Q21" s="7"/>
      <c r="R21" s="7"/>
      <c r="S21" s="147"/>
      <c r="T21" s="7"/>
    </row>
    <row r="22" spans="3:21" customFormat="1">
      <c r="C22" s="63"/>
      <c r="D22" s="7"/>
      <c r="E22" s="7"/>
      <c r="F22" s="7"/>
      <c r="G22" s="7"/>
      <c r="H22" s="7"/>
      <c r="I22" s="7"/>
      <c r="J22" s="7"/>
      <c r="K22" s="7"/>
      <c r="L22" s="7"/>
      <c r="M22" s="7"/>
      <c r="N22" s="7"/>
      <c r="O22" s="7"/>
      <c r="P22" s="7"/>
      <c r="Q22" s="7"/>
      <c r="R22" s="7"/>
      <c r="S22" s="7"/>
      <c r="T22" s="7"/>
    </row>
    <row r="23" spans="3:21" ht="18">
      <c r="C23" s="140" t="s">
        <v>67</v>
      </c>
      <c r="D23" s="141"/>
      <c r="E23" s="83"/>
      <c r="F23" s="43"/>
      <c r="G23" s="136"/>
      <c r="H23" s="136"/>
      <c r="I23" s="136"/>
      <c r="J23" s="136"/>
      <c r="K23" s="136"/>
      <c r="L23" s="136"/>
      <c r="M23" s="136"/>
      <c r="N23" s="136"/>
      <c r="O23" s="136"/>
      <c r="P23" s="136"/>
      <c r="Q23" s="136"/>
      <c r="R23" s="136"/>
      <c r="S23" s="136"/>
      <c r="T23" s="136"/>
      <c r="U23" s="136"/>
    </row>
    <row r="24" spans="3:21">
      <c r="C24" s="136" t="s">
        <v>211</v>
      </c>
      <c r="D24" s="136"/>
      <c r="E24" s="83"/>
      <c r="F24" s="43"/>
      <c r="G24" s="136"/>
      <c r="H24" s="136"/>
      <c r="I24" s="136"/>
      <c r="J24" s="136"/>
      <c r="K24" s="136"/>
      <c r="L24" s="136"/>
      <c r="M24" s="136"/>
      <c r="N24" s="136"/>
      <c r="O24" s="136"/>
      <c r="P24" s="136"/>
      <c r="Q24" s="136"/>
      <c r="R24" s="136"/>
      <c r="S24" s="136"/>
      <c r="T24" s="136"/>
      <c r="U24" s="136"/>
    </row>
    <row r="25" spans="3:21">
      <c r="C25" s="136"/>
      <c r="D25" s="136"/>
      <c r="E25" s="83"/>
      <c r="F25" s="43"/>
      <c r="G25" s="136"/>
      <c r="H25" s="136"/>
      <c r="I25" s="136"/>
      <c r="J25" s="136"/>
      <c r="K25" s="136"/>
      <c r="L25" s="136"/>
      <c r="M25" s="136"/>
      <c r="N25" s="136"/>
      <c r="O25" s="136"/>
      <c r="P25" s="136"/>
      <c r="Q25" s="136"/>
      <c r="R25" s="136"/>
      <c r="S25" s="136"/>
      <c r="T25" s="136"/>
      <c r="U25" s="136"/>
    </row>
    <row r="26" spans="3:21">
      <c r="C26" s="42" t="s">
        <v>68</v>
      </c>
      <c r="D26" s="145"/>
      <c r="E26" s="136"/>
      <c r="F26" s="43"/>
      <c r="G26" s="136"/>
      <c r="H26" s="136"/>
      <c r="I26" s="136"/>
      <c r="J26" s="136"/>
      <c r="K26" s="136"/>
      <c r="L26" s="136"/>
      <c r="M26" s="136"/>
      <c r="N26" s="136"/>
      <c r="O26" s="136"/>
      <c r="P26" s="136"/>
      <c r="Q26" s="136"/>
      <c r="R26" s="136"/>
      <c r="S26" s="136"/>
      <c r="T26" s="136"/>
      <c r="U26" s="136"/>
    </row>
    <row r="27" spans="3:21">
      <c r="C27" s="407" t="s">
        <v>212</v>
      </c>
      <c r="D27" s="145"/>
      <c r="E27" s="44" t="s">
        <v>348</v>
      </c>
      <c r="F27" s="43"/>
      <c r="G27" s="136"/>
      <c r="H27" s="136"/>
      <c r="I27" s="136"/>
      <c r="J27" s="136"/>
      <c r="K27" s="136"/>
      <c r="L27" s="136"/>
      <c r="M27" s="136"/>
      <c r="N27" s="136"/>
      <c r="O27" s="136"/>
      <c r="P27" s="136"/>
      <c r="Q27" s="136"/>
      <c r="R27" s="136"/>
      <c r="S27" s="136"/>
      <c r="T27" s="136"/>
      <c r="U27" s="136"/>
    </row>
    <row r="28" spans="3:21">
      <c r="C28" s="407"/>
      <c r="D28" s="145"/>
      <c r="E28" s="145"/>
      <c r="F28" s="145"/>
      <c r="G28" s="145"/>
      <c r="H28" s="145"/>
      <c r="I28" s="136"/>
      <c r="J28" s="136"/>
      <c r="K28" s="136"/>
      <c r="L28" s="136"/>
      <c r="M28" s="136"/>
      <c r="N28" s="136"/>
      <c r="O28" s="136"/>
      <c r="P28" s="136"/>
      <c r="Q28" s="136"/>
      <c r="R28" s="136"/>
      <c r="S28" s="136"/>
      <c r="T28" s="136"/>
      <c r="U28" s="136"/>
    </row>
    <row r="29" spans="3:21">
      <c r="C29" s="42" t="s">
        <v>69</v>
      </c>
      <c r="D29" s="145"/>
      <c r="E29" s="145"/>
      <c r="F29" s="43"/>
      <c r="G29" s="136"/>
      <c r="H29" s="136"/>
      <c r="I29" s="136"/>
      <c r="J29" s="136"/>
      <c r="K29" s="136"/>
      <c r="L29" s="136"/>
      <c r="M29" s="136"/>
      <c r="N29" s="136"/>
      <c r="O29" s="136"/>
      <c r="P29" s="136"/>
      <c r="Q29" s="136"/>
      <c r="R29" s="136"/>
      <c r="S29" s="136"/>
      <c r="T29" s="136"/>
      <c r="U29" s="136"/>
    </row>
    <row r="30" spans="3:21">
      <c r="C30" s="148" t="s">
        <v>213</v>
      </c>
      <c r="D30" s="145"/>
      <c r="E30" s="145"/>
      <c r="F30" s="43"/>
      <c r="G30" s="136"/>
      <c r="H30" s="136"/>
      <c r="I30" s="136"/>
      <c r="J30" s="136"/>
      <c r="K30" s="136"/>
      <c r="L30" s="136"/>
      <c r="M30" s="136"/>
      <c r="N30" s="136"/>
      <c r="O30" s="136"/>
      <c r="P30" s="136"/>
      <c r="Q30" s="136"/>
      <c r="R30" s="136"/>
      <c r="S30" s="136"/>
      <c r="T30" s="136"/>
      <c r="U30" s="136"/>
    </row>
    <row r="31" spans="3:21">
      <c r="C31" s="48" t="s">
        <v>214</v>
      </c>
      <c r="D31" s="145"/>
      <c r="E31" s="44">
        <v>1</v>
      </c>
      <c r="F31" s="410" t="s">
        <v>72</v>
      </c>
      <c r="G31" s="410"/>
      <c r="H31" s="410"/>
      <c r="I31" s="410"/>
      <c r="J31" s="410"/>
      <c r="K31" s="410"/>
      <c r="L31" s="136"/>
      <c r="M31" s="136"/>
      <c r="N31" s="136"/>
      <c r="O31" s="136"/>
      <c r="P31" s="136"/>
      <c r="Q31" s="136"/>
      <c r="R31" s="136"/>
      <c r="S31" s="136"/>
      <c r="T31" s="136"/>
      <c r="U31" s="136"/>
    </row>
    <row r="32" spans="3:21">
      <c r="C32" s="48"/>
      <c r="D32" s="145"/>
      <c r="E32" s="145"/>
      <c r="F32" s="410"/>
      <c r="G32" s="410"/>
      <c r="H32" s="410"/>
      <c r="I32" s="410"/>
      <c r="J32" s="410"/>
      <c r="K32" s="410"/>
      <c r="L32" s="136"/>
      <c r="M32" s="136"/>
      <c r="N32" s="136"/>
      <c r="O32" s="136"/>
      <c r="P32" s="136"/>
      <c r="Q32" s="136"/>
      <c r="R32" s="136"/>
      <c r="S32" s="136"/>
      <c r="T32" s="136"/>
      <c r="U32" s="136"/>
    </row>
    <row r="33" spans="3:21">
      <c r="C33" s="48" t="s">
        <v>215</v>
      </c>
      <c r="D33" s="145">
        <v>1</v>
      </c>
      <c r="E33" s="44" t="s">
        <v>349</v>
      </c>
      <c r="F33" s="43"/>
      <c r="G33" s="136"/>
      <c r="H33" s="136"/>
      <c r="I33" s="136"/>
      <c r="J33" s="136"/>
      <c r="K33" s="136"/>
      <c r="L33" s="136"/>
      <c r="M33" s="136"/>
      <c r="N33" s="136"/>
      <c r="O33" s="136"/>
      <c r="P33" s="136"/>
      <c r="Q33" s="136"/>
      <c r="R33" s="136"/>
      <c r="S33" s="136"/>
      <c r="T33" s="136"/>
      <c r="U33" s="136"/>
    </row>
    <row r="34" spans="3:21">
      <c r="C34" s="48" t="s">
        <v>215</v>
      </c>
      <c r="D34" s="145">
        <v>2</v>
      </c>
      <c r="E34" s="44"/>
      <c r="F34" s="43"/>
      <c r="G34" s="136"/>
      <c r="H34" s="136"/>
      <c r="I34" s="136"/>
      <c r="J34" s="136"/>
      <c r="K34" s="136"/>
      <c r="L34" s="136"/>
      <c r="M34" s="136"/>
      <c r="N34" s="136"/>
      <c r="O34" s="136"/>
      <c r="P34" s="136"/>
      <c r="Q34" s="136"/>
      <c r="R34" s="136"/>
      <c r="S34" s="136"/>
      <c r="T34" s="136"/>
      <c r="U34" s="136"/>
    </row>
    <row r="35" spans="3:21">
      <c r="C35" s="48" t="s">
        <v>215</v>
      </c>
      <c r="D35" s="145">
        <v>3</v>
      </c>
      <c r="E35" s="44"/>
      <c r="F35" s="43"/>
      <c r="G35" s="136"/>
      <c r="H35" s="136"/>
      <c r="I35" s="136"/>
      <c r="J35" s="136"/>
      <c r="K35" s="136"/>
      <c r="L35" s="136"/>
      <c r="M35" s="136"/>
      <c r="N35" s="136"/>
      <c r="O35" s="136"/>
      <c r="P35" s="136"/>
      <c r="Q35" s="136"/>
      <c r="R35" s="136"/>
      <c r="S35" s="136"/>
      <c r="T35" s="136"/>
      <c r="U35" s="136"/>
    </row>
    <row r="36" spans="3:21">
      <c r="C36" s="48" t="s">
        <v>215</v>
      </c>
      <c r="D36" s="145">
        <v>4</v>
      </c>
      <c r="E36" s="44"/>
      <c r="F36" s="43"/>
      <c r="G36" s="136"/>
      <c r="H36" s="136"/>
      <c r="I36" s="136"/>
      <c r="J36" s="136"/>
      <c r="K36" s="136"/>
      <c r="L36" s="136"/>
      <c r="M36" s="136"/>
      <c r="N36" s="136"/>
      <c r="O36" s="136"/>
      <c r="P36" s="136"/>
      <c r="Q36" s="136"/>
      <c r="R36" s="136"/>
      <c r="S36" s="136"/>
      <c r="T36" s="136"/>
      <c r="U36" s="136"/>
    </row>
    <row r="37" spans="3:21">
      <c r="C37" s="136"/>
      <c r="D37" s="136"/>
      <c r="E37" s="136"/>
      <c r="F37" s="43"/>
      <c r="G37" s="136"/>
      <c r="H37" s="136"/>
      <c r="I37" s="136"/>
      <c r="J37" s="136"/>
      <c r="K37" s="136"/>
      <c r="L37" s="136"/>
      <c r="M37" s="136"/>
      <c r="N37" s="136"/>
      <c r="O37" s="136"/>
      <c r="P37" s="136"/>
      <c r="Q37" s="136"/>
      <c r="R37" s="136"/>
      <c r="S37" s="136"/>
      <c r="T37" s="136"/>
      <c r="U37" s="136"/>
    </row>
    <row r="38" spans="3:21">
      <c r="C38" s="42" t="s">
        <v>70</v>
      </c>
      <c r="D38" s="145"/>
      <c r="E38" s="145"/>
      <c r="F38" s="43"/>
      <c r="G38" s="136"/>
      <c r="H38" s="136"/>
      <c r="I38" s="136"/>
      <c r="J38" s="136"/>
      <c r="K38" s="136"/>
      <c r="L38" s="136"/>
      <c r="M38" s="136"/>
      <c r="N38" s="136"/>
      <c r="O38" s="136"/>
      <c r="P38" s="136"/>
      <c r="Q38" s="136"/>
      <c r="R38" s="136"/>
      <c r="S38" s="136"/>
      <c r="T38" s="136"/>
      <c r="U38" s="136"/>
    </row>
    <row r="39" spans="3:21">
      <c r="C39" s="148" t="s">
        <v>71</v>
      </c>
      <c r="D39" s="145"/>
      <c r="E39" s="145"/>
      <c r="F39" s="43"/>
      <c r="G39" s="136"/>
      <c r="H39" s="136"/>
      <c r="I39" s="136"/>
      <c r="J39" s="136"/>
      <c r="K39" s="136"/>
      <c r="L39" s="136"/>
      <c r="M39" s="136"/>
      <c r="N39" s="136"/>
      <c r="O39" s="136"/>
      <c r="P39" s="136"/>
      <c r="Q39" s="136"/>
      <c r="R39" s="136"/>
      <c r="S39" s="136"/>
      <c r="T39" s="136"/>
      <c r="U39" s="136"/>
    </row>
    <row r="40" spans="3:21">
      <c r="C40" s="48" t="s">
        <v>217</v>
      </c>
      <c r="D40" s="145"/>
      <c r="E40" s="44">
        <v>1</v>
      </c>
      <c r="F40" s="410" t="s">
        <v>73</v>
      </c>
      <c r="G40" s="410"/>
      <c r="H40" s="410"/>
      <c r="I40" s="410"/>
      <c r="J40" s="410"/>
      <c r="K40" s="136"/>
      <c r="L40" s="136"/>
      <c r="M40" s="136"/>
      <c r="N40" s="136"/>
      <c r="O40" s="136"/>
      <c r="P40" s="136"/>
      <c r="Q40" s="136"/>
      <c r="R40" s="136"/>
      <c r="S40" s="136"/>
      <c r="T40" s="136"/>
      <c r="U40" s="136"/>
    </row>
    <row r="41" spans="3:21">
      <c r="C41" s="48"/>
      <c r="D41" s="145"/>
      <c r="E41" s="145"/>
      <c r="F41" s="410"/>
      <c r="G41" s="410"/>
      <c r="H41" s="410"/>
      <c r="I41" s="410"/>
      <c r="J41" s="410"/>
      <c r="K41" s="136"/>
      <c r="L41" s="136"/>
      <c r="M41" s="136"/>
      <c r="N41" s="136"/>
      <c r="O41" s="136"/>
      <c r="P41" s="136"/>
      <c r="Q41" s="136"/>
      <c r="R41" s="136"/>
      <c r="S41" s="136"/>
      <c r="T41" s="136"/>
      <c r="U41" s="136"/>
    </row>
    <row r="42" spans="3:21">
      <c r="C42" s="48" t="s">
        <v>216</v>
      </c>
      <c r="D42" s="145">
        <v>1</v>
      </c>
      <c r="E42" s="44" t="s">
        <v>363</v>
      </c>
      <c r="F42" s="43"/>
      <c r="G42" s="136"/>
      <c r="H42" s="136"/>
      <c r="I42" s="136"/>
      <c r="J42" s="136"/>
      <c r="K42" s="136"/>
      <c r="L42" s="136"/>
      <c r="M42" s="136"/>
      <c r="N42" s="136"/>
      <c r="O42" s="136"/>
      <c r="P42" s="136"/>
      <c r="Q42" s="136"/>
      <c r="R42" s="136"/>
      <c r="S42" s="136"/>
      <c r="T42" s="136"/>
      <c r="U42" s="136"/>
    </row>
    <row r="43" spans="3:21">
      <c r="C43" s="48" t="s">
        <v>216</v>
      </c>
      <c r="D43" s="145">
        <v>2</v>
      </c>
      <c r="E43" s="44"/>
      <c r="F43" s="43"/>
      <c r="G43" s="136"/>
      <c r="H43" s="136"/>
      <c r="I43" s="136"/>
      <c r="J43" s="136"/>
      <c r="K43" s="136"/>
      <c r="L43" s="136"/>
      <c r="M43" s="136"/>
      <c r="N43" s="136"/>
      <c r="O43" s="136"/>
      <c r="P43" s="136"/>
      <c r="Q43" s="136"/>
      <c r="R43" s="136"/>
      <c r="S43" s="136"/>
      <c r="T43" s="136"/>
      <c r="U43" s="136"/>
    </row>
    <row r="44" spans="3:21">
      <c r="C44" s="48" t="s">
        <v>216</v>
      </c>
      <c r="D44" s="145">
        <v>3</v>
      </c>
      <c r="E44" s="44"/>
      <c r="F44" s="43"/>
      <c r="G44" s="136"/>
      <c r="H44" s="136"/>
      <c r="I44" s="136"/>
      <c r="J44" s="136"/>
      <c r="K44" s="136"/>
      <c r="L44" s="136"/>
      <c r="M44" s="136"/>
      <c r="N44" s="136"/>
      <c r="O44" s="136"/>
      <c r="P44" s="136"/>
      <c r="Q44" s="136"/>
      <c r="R44" s="136"/>
      <c r="S44" s="136"/>
      <c r="T44" s="136"/>
      <c r="U44" s="136"/>
    </row>
    <row r="45" spans="3:21">
      <c r="C45" s="48" t="s">
        <v>216</v>
      </c>
      <c r="D45" s="145">
        <v>4</v>
      </c>
      <c r="E45" s="44"/>
      <c r="F45" s="43"/>
      <c r="G45" s="136"/>
      <c r="H45" s="136"/>
      <c r="I45" s="136"/>
      <c r="J45" s="136"/>
      <c r="K45" s="136"/>
      <c r="L45" s="136"/>
      <c r="M45" s="136"/>
      <c r="N45" s="136"/>
      <c r="O45" s="136"/>
      <c r="P45" s="136"/>
      <c r="Q45" s="136"/>
      <c r="R45" s="136"/>
      <c r="S45" s="136"/>
      <c r="T45" s="136"/>
      <c r="U45" s="136"/>
    </row>
    <row r="46" spans="3:21">
      <c r="C46" s="48" t="s">
        <v>216</v>
      </c>
      <c r="D46" s="145">
        <v>5</v>
      </c>
      <c r="E46" s="44"/>
      <c r="F46" s="43"/>
      <c r="G46" s="136"/>
      <c r="H46" s="136"/>
      <c r="I46" s="136"/>
      <c r="J46" s="136"/>
      <c r="K46" s="136"/>
      <c r="L46" s="136"/>
      <c r="M46" s="136"/>
      <c r="N46" s="136"/>
      <c r="O46" s="136"/>
      <c r="P46" s="136"/>
      <c r="Q46" s="136"/>
      <c r="R46" s="136"/>
      <c r="S46" s="136"/>
      <c r="T46" s="136"/>
      <c r="U46" s="136"/>
    </row>
    <row r="47" spans="3:21">
      <c r="C47" s="48" t="s">
        <v>216</v>
      </c>
      <c r="D47" s="145">
        <v>6</v>
      </c>
      <c r="E47" s="44"/>
      <c r="F47" s="43"/>
      <c r="G47" s="136"/>
      <c r="H47" s="136"/>
      <c r="I47" s="136"/>
      <c r="J47" s="136"/>
      <c r="K47" s="136"/>
      <c r="L47" s="136"/>
      <c r="M47" s="136"/>
      <c r="N47" s="136"/>
      <c r="O47" s="136"/>
      <c r="P47" s="136"/>
      <c r="Q47" s="136"/>
      <c r="R47" s="136"/>
      <c r="S47" s="136"/>
      <c r="T47" s="136"/>
      <c r="U47" s="136"/>
    </row>
    <row r="48" spans="3:21">
      <c r="C48" s="48" t="s">
        <v>216</v>
      </c>
      <c r="D48" s="145">
        <v>7</v>
      </c>
      <c r="E48" s="44"/>
      <c r="F48" s="43"/>
      <c r="G48" s="136"/>
      <c r="H48" s="136"/>
      <c r="I48" s="136"/>
      <c r="J48" s="136"/>
      <c r="K48" s="136"/>
      <c r="L48" s="136"/>
      <c r="M48" s="136"/>
      <c r="N48" s="136"/>
      <c r="O48" s="136"/>
      <c r="P48" s="136"/>
      <c r="Q48" s="136"/>
      <c r="R48" s="136"/>
      <c r="S48" s="136"/>
      <c r="T48" s="136"/>
      <c r="U48" s="136"/>
    </row>
    <row r="49" spans="3:12">
      <c r="C49" s="48" t="s">
        <v>216</v>
      </c>
      <c r="D49" s="145">
        <v>8</v>
      </c>
      <c r="E49" s="44"/>
      <c r="F49" s="43"/>
      <c r="G49" s="136"/>
      <c r="H49" s="136"/>
      <c r="I49" s="136"/>
      <c r="J49" s="136"/>
      <c r="K49" s="136"/>
      <c r="L49" s="136"/>
    </row>
    <row r="50" spans="3:12">
      <c r="C50" s="48" t="s">
        <v>216</v>
      </c>
      <c r="D50" s="145">
        <v>9</v>
      </c>
      <c r="E50" s="44"/>
      <c r="F50" s="43"/>
      <c r="G50" s="136"/>
      <c r="H50" s="136"/>
      <c r="I50" s="136"/>
      <c r="J50" s="136"/>
      <c r="K50" s="136"/>
      <c r="L50" s="136"/>
    </row>
    <row r="51" spans="3:12">
      <c r="C51" s="48" t="s">
        <v>216</v>
      </c>
      <c r="D51" s="145">
        <v>10</v>
      </c>
      <c r="E51" s="44"/>
      <c r="F51" s="43"/>
      <c r="G51" s="136"/>
      <c r="H51" s="136"/>
      <c r="I51" s="136"/>
      <c r="J51" s="136"/>
      <c r="K51" s="136"/>
      <c r="L51" s="136"/>
    </row>
    <row r="52" spans="3:12">
      <c r="C52" s="42"/>
      <c r="D52" s="42"/>
      <c r="E52" s="42"/>
      <c r="F52" s="43"/>
      <c r="G52" s="136"/>
      <c r="H52" s="136"/>
      <c r="I52" s="136"/>
      <c r="J52" s="136"/>
      <c r="K52" s="136"/>
      <c r="L52" s="136"/>
    </row>
    <row r="53" spans="3:12">
      <c r="C53" s="42" t="s">
        <v>218</v>
      </c>
      <c r="D53" s="42"/>
      <c r="E53" s="42"/>
      <c r="F53" s="43"/>
      <c r="G53" s="136"/>
      <c r="H53" s="136"/>
      <c r="I53" s="136"/>
      <c r="J53" s="136"/>
      <c r="K53" s="136"/>
      <c r="L53" s="136"/>
    </row>
    <row r="54" spans="3:12">
      <c r="C54" s="148" t="s">
        <v>219</v>
      </c>
      <c r="D54" s="42"/>
      <c r="E54" s="42"/>
      <c r="F54" s="43"/>
      <c r="G54" s="136"/>
      <c r="H54" s="136"/>
      <c r="I54" s="136"/>
      <c r="J54" s="136"/>
      <c r="K54" s="136"/>
      <c r="L54" s="136"/>
    </row>
    <row r="55" spans="3:12" ht="15" customHeight="1">
      <c r="C55" s="48" t="s">
        <v>220</v>
      </c>
      <c r="D55" s="42"/>
      <c r="E55" s="44" t="s">
        <v>350</v>
      </c>
      <c r="F55" s="410" t="s">
        <v>74</v>
      </c>
      <c r="G55" s="410"/>
      <c r="H55" s="410"/>
      <c r="I55" s="410"/>
      <c r="J55" s="410"/>
      <c r="K55" s="307"/>
      <c r="L55" s="307"/>
    </row>
    <row r="56" spans="3:12">
      <c r="C56" s="48"/>
      <c r="D56" s="48"/>
      <c r="E56" s="48"/>
      <c r="F56" s="410"/>
      <c r="G56" s="410"/>
      <c r="H56" s="410"/>
      <c r="I56" s="410"/>
      <c r="J56" s="410"/>
      <c r="K56" s="307"/>
      <c r="L56" s="307"/>
    </row>
    <row r="57" spans="3:12">
      <c r="C57" s="48" t="s">
        <v>221</v>
      </c>
      <c r="D57" s="42"/>
      <c r="E57" s="44" t="s">
        <v>351</v>
      </c>
      <c r="F57" s="408" t="s">
        <v>75</v>
      </c>
      <c r="G57" s="409"/>
      <c r="H57" s="409"/>
      <c r="I57" s="409"/>
      <c r="J57" s="409"/>
      <c r="K57" s="409"/>
      <c r="L57" s="136"/>
    </row>
    <row r="58" spans="3:12">
      <c r="C58" s="48" t="s">
        <v>222</v>
      </c>
      <c r="D58" s="42"/>
      <c r="E58" s="44" t="s">
        <v>352</v>
      </c>
      <c r="F58" s="408"/>
      <c r="G58" s="409"/>
      <c r="H58" s="409"/>
      <c r="I58" s="409"/>
      <c r="J58" s="409"/>
      <c r="K58" s="409"/>
      <c r="L58" s="136"/>
    </row>
    <row r="59" spans="3:12">
      <c r="C59" s="48" t="s">
        <v>223</v>
      </c>
      <c r="D59" s="42"/>
      <c r="E59" s="44"/>
      <c r="F59" s="43" t="s">
        <v>76</v>
      </c>
      <c r="G59" s="136"/>
      <c r="H59" s="136"/>
      <c r="I59" s="136"/>
      <c r="J59" s="136"/>
      <c r="K59" s="136"/>
      <c r="L59" s="136"/>
    </row>
    <row r="60" spans="3:12">
      <c r="C60" s="136"/>
      <c r="D60" s="83"/>
      <c r="E60" s="136"/>
      <c r="F60" s="43"/>
      <c r="G60" s="136"/>
      <c r="H60" s="136"/>
      <c r="I60" s="136"/>
      <c r="J60" s="136"/>
      <c r="K60" s="136"/>
      <c r="L60" s="136"/>
    </row>
    <row r="61" spans="3:12">
      <c r="C61" s="136"/>
      <c r="D61" s="83"/>
      <c r="E61" s="136"/>
      <c r="F61" s="43"/>
      <c r="G61" s="136"/>
      <c r="H61" s="136"/>
      <c r="I61" s="136"/>
      <c r="J61" s="136"/>
      <c r="K61" s="136"/>
      <c r="L61" s="136"/>
    </row>
    <row r="62" spans="3:12">
      <c r="C62" s="136"/>
      <c r="D62" s="83"/>
      <c r="E62" s="136"/>
      <c r="F62" s="43"/>
      <c r="G62" s="136"/>
      <c r="H62" s="136"/>
      <c r="I62" s="136"/>
      <c r="J62" s="136"/>
      <c r="K62" s="136"/>
      <c r="L62" s="136"/>
    </row>
    <row r="63" spans="3:12">
      <c r="C63" s="136"/>
      <c r="D63" s="83"/>
      <c r="E63" s="136"/>
      <c r="F63" s="43"/>
      <c r="G63" s="136"/>
      <c r="H63" s="136"/>
      <c r="I63" s="136"/>
      <c r="J63" s="136"/>
      <c r="K63" s="136"/>
      <c r="L63" s="136"/>
    </row>
    <row r="66" spans="2:14">
      <c r="C66" s="7"/>
      <c r="D66" s="7"/>
      <c r="E66" s="7"/>
      <c r="F66" s="7"/>
      <c r="G66" s="7"/>
      <c r="H66" s="7"/>
      <c r="I66" s="7"/>
      <c r="J66" s="7"/>
      <c r="K66" s="7"/>
      <c r="L66" s="7"/>
    </row>
    <row r="67" spans="2:14">
      <c r="C67" s="65"/>
      <c r="D67" s="65"/>
      <c r="E67" s="65"/>
      <c r="F67" s="65"/>
      <c r="G67" s="65"/>
      <c r="H67" s="65"/>
      <c r="I67" s="65"/>
      <c r="J67" s="65"/>
      <c r="K67" s="65"/>
      <c r="L67" s="65"/>
      <c r="M67" s="65"/>
      <c r="N67" s="65"/>
    </row>
    <row r="68" spans="2:14" ht="15" customHeight="1">
      <c r="C68" s="406" t="s">
        <v>224</v>
      </c>
      <c r="D68" s="406"/>
      <c r="E68" s="406"/>
      <c r="F68" s="406"/>
      <c r="G68" s="406"/>
      <c r="H68" s="406"/>
      <c r="I68" s="406"/>
      <c r="J68" s="406"/>
      <c r="K68" s="406"/>
      <c r="L68" s="406"/>
      <c r="M68" s="406"/>
      <c r="N68" s="406"/>
    </row>
    <row r="69" spans="2:14">
      <c r="C69" s="406"/>
      <c r="D69" s="406"/>
      <c r="E69" s="406"/>
      <c r="F69" s="406"/>
      <c r="G69" s="406"/>
      <c r="H69" s="406"/>
      <c r="I69" s="406"/>
      <c r="J69" s="406"/>
      <c r="K69" s="406"/>
      <c r="L69" s="406"/>
      <c r="M69" s="406"/>
      <c r="N69" s="406"/>
    </row>
    <row r="70" spans="2:14" s="1" customFormat="1" ht="85.95" customHeight="1">
      <c r="B70" s="405" t="e" vm="1">
        <v>#VALUE!</v>
      </c>
      <c r="C70" s="405"/>
      <c r="D70" s="405"/>
      <c r="E70" s="405"/>
      <c r="F70" s="405"/>
      <c r="G70" s="405"/>
      <c r="H70" s="405"/>
      <c r="I70" s="405"/>
      <c r="J70" s="405"/>
      <c r="K70" s="405"/>
      <c r="L70" s="405"/>
      <c r="M70" s="405"/>
      <c r="N70" s="405"/>
    </row>
  </sheetData>
  <sheetProtection algorithmName="SHA-512" hashValue="4NoPnzzsXKJV4cOIQhPZbzxuNg9aTJZyQAZOD/F5reEZDv5hMJgquJG7jIIfRAMepcdY8wv4QezNunUn/j+hWQ==" saltValue="YjL0cm/yPCU3Blpx+C8dNw==" spinCount="100000" sheet="1" objects="1" scenarios="1" formatCells="0" formatColumns="0" formatRows="0"/>
  <protectedRanges>
    <protectedRange sqref="E9:E26 E28:E32 E37:E41 E51:E54 E56 E59:E64" name="Intervalo2"/>
    <protectedRange sqref="E27" name="Intervalo2_1"/>
    <protectedRange sqref="E33:E36" name="Intervalo2_2"/>
    <protectedRange sqref="E42:E50" name="Intervalo2_3"/>
    <protectedRange sqref="E55" name="Intervalo2_4"/>
    <protectedRange sqref="E57:E58" name="Intervalo2_5"/>
  </protectedRanges>
  <mergeCells count="8">
    <mergeCell ref="B70:N70"/>
    <mergeCell ref="C68:N69"/>
    <mergeCell ref="C27:C28"/>
    <mergeCell ref="F8:I8"/>
    <mergeCell ref="F40:J41"/>
    <mergeCell ref="F31:K32"/>
    <mergeCell ref="F55:J56"/>
    <mergeCell ref="F57:K58"/>
  </mergeCells>
  <phoneticPr fontId="2" type="noConversion"/>
  <conditionalFormatting sqref="E51">
    <cfRule type="expression" dxfId="106" priority="3" stopIfTrue="1">
      <formula>$E$40&lt;D51</formula>
    </cfRule>
  </conditionalFormatting>
  <conditionalFormatting sqref="E34:E36">
    <cfRule type="expression" dxfId="105" priority="2">
      <formula>$E$31&lt;D34</formula>
    </cfRule>
  </conditionalFormatting>
  <conditionalFormatting sqref="E43:E50">
    <cfRule type="expression" dxfId="104" priority="1" stopIfTrue="1">
      <formula>$E$40&lt;D43</formula>
    </cfRule>
  </conditionalFormatting>
  <dataValidations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Z269"/>
  <sheetViews>
    <sheetView showGridLines="0" showRowColHeaders="0" topLeftCell="A38" zoomScaleNormal="100" workbookViewId="0">
      <selection activeCell="AF19" sqref="AF19"/>
    </sheetView>
  </sheetViews>
  <sheetFormatPr defaultColWidth="8.77734375" defaultRowHeight="14.4"/>
  <cols>
    <col min="1" max="1" width="6.77734375" style="3" customWidth="1"/>
    <col min="2" max="2" width="21.6640625" style="3" customWidth="1"/>
    <col min="3" max="7" width="13.44140625" style="3" customWidth="1"/>
    <col min="8" max="8" width="33.77734375" style="182" customWidth="1"/>
    <col min="9" max="9" width="8.77734375" style="3" customWidth="1"/>
    <col min="10" max="14" width="15.109375" style="3" hidden="1" customWidth="1"/>
    <col min="15" max="15" width="8.77734375" style="3" hidden="1" customWidth="1"/>
    <col min="16" max="16" width="13" style="172" hidden="1" customWidth="1"/>
    <col min="17" max="18" width="8.77734375" style="3" hidden="1" customWidth="1"/>
    <col min="19" max="38" width="8.77734375" style="3" customWidth="1"/>
    <col min="39" max="16384" width="8.77734375" style="3"/>
  </cols>
  <sheetData>
    <row r="1" spans="1:20" s="157" customFormat="1" ht="33.6">
      <c r="A1" s="153"/>
      <c r="B1" s="154" t="str">
        <f>Definitions!$E$8</f>
        <v>Budget impact analysis of PET-CT for treatment of small-cell lung cancer</v>
      </c>
      <c r="C1" s="154"/>
      <c r="D1" s="155"/>
      <c r="E1" s="153"/>
      <c r="F1" s="153"/>
      <c r="G1" s="153"/>
      <c r="H1" s="156"/>
      <c r="I1" s="153"/>
      <c r="J1" s="153"/>
      <c r="K1" s="153"/>
      <c r="L1" s="153"/>
      <c r="M1" s="153"/>
      <c r="N1" s="153"/>
      <c r="O1" s="153"/>
      <c r="P1" s="153"/>
      <c r="Q1" s="153"/>
      <c r="R1" s="153"/>
      <c r="S1" s="153"/>
      <c r="T1" s="153"/>
    </row>
    <row r="2" spans="1:20" s="157" customFormat="1" ht="18">
      <c r="A2" s="153"/>
      <c r="B2" s="158"/>
      <c r="C2" s="158"/>
      <c r="D2" s="159"/>
      <c r="E2" s="160"/>
      <c r="F2" s="160"/>
      <c r="G2" s="160"/>
      <c r="H2" s="161"/>
      <c r="I2" s="160"/>
      <c r="J2" s="160"/>
      <c r="K2" s="160"/>
      <c r="L2" s="160"/>
      <c r="M2" s="153"/>
      <c r="N2" s="153"/>
      <c r="O2" s="153"/>
      <c r="P2" s="153"/>
      <c r="Q2" s="153"/>
      <c r="R2" s="153"/>
      <c r="S2" s="153"/>
      <c r="T2" s="153"/>
    </row>
    <row r="3" spans="1:20" s="134" customFormat="1" ht="2.25" customHeight="1">
      <c r="D3" s="135"/>
      <c r="H3" s="162"/>
    </row>
    <row r="4" spans="1:20" s="142" customFormat="1">
      <c r="A4" s="136"/>
      <c r="B4" s="136"/>
      <c r="C4" s="136"/>
      <c r="D4" s="163"/>
      <c r="E4" s="136"/>
      <c r="F4" s="43"/>
      <c r="G4" s="136"/>
      <c r="H4" s="136"/>
      <c r="I4" s="136"/>
      <c r="J4" s="136"/>
      <c r="K4" s="136"/>
      <c r="L4" s="136"/>
      <c r="M4" s="136"/>
      <c r="N4" s="136"/>
      <c r="O4" s="136"/>
      <c r="P4" s="136"/>
      <c r="Q4" s="136"/>
      <c r="R4" s="136"/>
      <c r="S4" s="136"/>
      <c r="T4" s="136"/>
    </row>
    <row r="5" spans="1:20" s="137" customFormat="1" ht="18">
      <c r="A5" s="136"/>
      <c r="B5" s="140" t="s">
        <v>78</v>
      </c>
      <c r="D5" s="138"/>
      <c r="F5" s="43"/>
    </row>
    <row r="6" spans="1:20" s="137" customFormat="1">
      <c r="A6" s="136"/>
      <c r="B6" s="136" t="s">
        <v>84</v>
      </c>
      <c r="D6" s="138"/>
      <c r="F6" s="43"/>
    </row>
    <row r="7" spans="1:20" s="142" customFormat="1">
      <c r="A7" s="136"/>
      <c r="B7" s="136"/>
      <c r="C7" s="136"/>
      <c r="D7" s="163"/>
      <c r="E7" s="136"/>
      <c r="F7" s="43"/>
      <c r="G7" s="136"/>
      <c r="H7" s="136"/>
      <c r="I7" s="136"/>
      <c r="J7" s="136"/>
      <c r="K7" s="136"/>
      <c r="L7" s="136"/>
      <c r="M7" s="136"/>
      <c r="N7" s="136"/>
      <c r="O7" s="136"/>
      <c r="P7" s="136"/>
      <c r="Q7" s="136"/>
      <c r="R7" s="136"/>
      <c r="S7" s="136"/>
      <c r="T7" s="136"/>
    </row>
    <row r="8" spans="1:20" s="142" customFormat="1">
      <c r="A8" s="136"/>
      <c r="B8" s="136"/>
      <c r="C8" s="42" t="s">
        <v>80</v>
      </c>
      <c r="D8" s="83"/>
      <c r="E8" s="164" t="s">
        <v>79</v>
      </c>
      <c r="F8" s="43" t="s">
        <v>86</v>
      </c>
      <c r="G8" s="136"/>
      <c r="I8" s="136"/>
      <c r="J8" s="136"/>
      <c r="K8" s="136"/>
      <c r="L8" s="136"/>
      <c r="M8" s="139">
        <f>IF(E8="5 anos",5,IF(E8="4 anos",4,3))</f>
        <v>3</v>
      </c>
      <c r="N8" s="136"/>
      <c r="O8" s="136"/>
      <c r="P8" s="136"/>
      <c r="Q8" s="136"/>
      <c r="R8" s="136"/>
      <c r="S8" s="136"/>
      <c r="T8" s="136"/>
    </row>
    <row r="9" spans="1:20" s="142" customFormat="1">
      <c r="A9" s="136"/>
      <c r="B9" s="136"/>
      <c r="C9" s="136"/>
      <c r="D9" s="83"/>
      <c r="E9" s="136"/>
      <c r="F9" s="43"/>
      <c r="G9" s="136"/>
      <c r="H9" s="136"/>
      <c r="I9" s="136"/>
      <c r="J9" s="136"/>
      <c r="K9" s="136"/>
      <c r="L9" s="136"/>
      <c r="M9" s="136"/>
      <c r="N9" s="136"/>
      <c r="O9" s="136"/>
      <c r="P9" s="136"/>
      <c r="Q9" s="136"/>
      <c r="R9" s="136"/>
      <c r="S9" s="136"/>
      <c r="T9" s="136"/>
    </row>
    <row r="10" spans="1:20" s="142" customFormat="1">
      <c r="A10" s="136"/>
      <c r="B10" s="136"/>
      <c r="C10" s="42" t="s">
        <v>87</v>
      </c>
      <c r="D10" s="83"/>
      <c r="E10" s="44">
        <v>2024</v>
      </c>
      <c r="F10" s="43" t="s">
        <v>85</v>
      </c>
      <c r="G10" s="136"/>
      <c r="H10" s="136"/>
      <c r="I10" s="136"/>
      <c r="J10" s="136"/>
      <c r="K10" s="136"/>
      <c r="L10" s="136"/>
      <c r="M10" s="136"/>
      <c r="N10" s="136"/>
      <c r="O10" s="136"/>
      <c r="P10" s="136"/>
      <c r="Q10" s="136"/>
      <c r="R10" s="136"/>
      <c r="S10" s="136"/>
      <c r="T10" s="136"/>
    </row>
    <row r="11" spans="1:20" s="142" customFormat="1">
      <c r="A11" s="136"/>
      <c r="B11" s="136"/>
      <c r="C11" s="136"/>
      <c r="D11" s="83"/>
      <c r="E11" s="136"/>
      <c r="F11" s="43"/>
      <c r="G11" s="136"/>
      <c r="H11" s="136"/>
      <c r="I11" s="136"/>
      <c r="J11" s="136"/>
      <c r="K11" s="136"/>
      <c r="L11" s="136"/>
      <c r="M11" s="136"/>
      <c r="N11" s="136"/>
      <c r="O11" s="136"/>
      <c r="P11" s="136"/>
      <c r="Q11" s="136"/>
      <c r="R11" s="136"/>
      <c r="S11" s="136"/>
      <c r="T11" s="136"/>
    </row>
    <row r="12" spans="1:20" customFormat="1">
      <c r="B12" s="63"/>
      <c r="C12" s="63"/>
      <c r="D12" s="7"/>
      <c r="E12" s="7"/>
      <c r="F12" s="7"/>
      <c r="G12" s="7"/>
      <c r="H12" s="7"/>
      <c r="I12" s="7"/>
      <c r="J12" s="7"/>
      <c r="K12" s="7"/>
      <c r="L12" s="7"/>
      <c r="M12" s="7"/>
      <c r="N12" s="7"/>
      <c r="O12" s="7"/>
      <c r="P12" s="7"/>
      <c r="Q12" s="7"/>
      <c r="R12" s="7"/>
      <c r="S12" s="7"/>
      <c r="T12" s="7"/>
    </row>
    <row r="13" spans="1:20" customFormat="1">
      <c r="B13" s="64"/>
      <c r="C13" s="64"/>
      <c r="D13" s="65"/>
      <c r="E13" s="65"/>
      <c r="F13" s="65"/>
      <c r="G13" s="65"/>
      <c r="H13" s="65"/>
      <c r="I13" s="65"/>
      <c r="J13" s="65"/>
      <c r="K13" s="65"/>
      <c r="L13" s="65"/>
      <c r="M13" s="65"/>
      <c r="N13" s="65"/>
      <c r="O13" s="7"/>
      <c r="P13" s="7"/>
      <c r="Q13" s="7"/>
      <c r="R13" s="7"/>
      <c r="S13" s="7"/>
      <c r="T13" s="7"/>
    </row>
    <row r="14" spans="1:20" s="142" customFormat="1">
      <c r="A14" s="136"/>
      <c r="B14" s="136"/>
      <c r="C14" s="136"/>
      <c r="D14" s="163"/>
      <c r="E14" s="136"/>
      <c r="F14" s="43"/>
      <c r="G14" s="136"/>
      <c r="H14" s="136"/>
      <c r="I14" s="136"/>
      <c r="J14" s="136"/>
      <c r="K14" s="136"/>
      <c r="L14" s="136"/>
      <c r="M14" s="136"/>
      <c r="N14" s="136"/>
      <c r="O14" s="136"/>
      <c r="P14" s="136"/>
      <c r="Q14" s="136"/>
      <c r="R14" s="136"/>
      <c r="S14" s="136"/>
      <c r="T14" s="136"/>
    </row>
    <row r="15" spans="1:20" s="137" customFormat="1" ht="18">
      <c r="A15" s="136"/>
      <c r="B15" s="140" t="s">
        <v>2</v>
      </c>
      <c r="D15" s="138"/>
      <c r="F15" s="43"/>
    </row>
    <row r="16" spans="1:20" s="137" customFormat="1">
      <c r="A16" s="136"/>
      <c r="B16" s="136" t="s">
        <v>88</v>
      </c>
      <c r="D16" s="138"/>
      <c r="F16" s="43"/>
    </row>
    <row r="17" spans="1:18" s="142" customFormat="1">
      <c r="A17" s="136"/>
      <c r="B17" s="136" t="s">
        <v>340</v>
      </c>
      <c r="C17" s="136"/>
      <c r="D17" s="163"/>
      <c r="E17" s="136"/>
      <c r="F17" s="43"/>
      <c r="G17" s="136"/>
      <c r="H17" s="136"/>
      <c r="I17" s="136"/>
      <c r="J17" s="136"/>
      <c r="K17" s="136"/>
      <c r="L17" s="136"/>
      <c r="M17" s="136"/>
      <c r="N17" s="136"/>
      <c r="O17" s="136"/>
      <c r="P17" s="136"/>
      <c r="Q17" s="136"/>
      <c r="R17" s="136"/>
    </row>
    <row r="18" spans="1:18" s="142" customFormat="1" ht="15.6">
      <c r="A18" s="136"/>
      <c r="B18" s="136" t="s">
        <v>341</v>
      </c>
      <c r="C18" s="83"/>
      <c r="D18" s="83"/>
      <c r="E18" s="83"/>
      <c r="F18" s="43"/>
      <c r="G18" s="136"/>
      <c r="H18" s="136"/>
      <c r="I18" s="136"/>
      <c r="J18" s="165" t="s">
        <v>3</v>
      </c>
      <c r="K18" s="136"/>
      <c r="L18" s="136"/>
      <c r="M18" s="136"/>
      <c r="N18" s="136"/>
      <c r="O18" s="136"/>
      <c r="P18" s="136"/>
      <c r="Q18" s="136"/>
      <c r="R18" s="136"/>
    </row>
    <row r="19" spans="1:18" s="166" customFormat="1" ht="18">
      <c r="B19" s="167" t="s">
        <v>83</v>
      </c>
      <c r="C19" s="168" t="str">
        <f>cen_atual</f>
        <v>Without PET-CT</v>
      </c>
      <c r="D19" s="140"/>
      <c r="E19" s="140"/>
      <c r="F19" s="169"/>
      <c r="G19" s="140"/>
      <c r="H19" s="170"/>
      <c r="J19" s="171" t="str">
        <f>cen_atual</f>
        <v>Without PET-CT</v>
      </c>
      <c r="K19" s="9"/>
      <c r="L19" s="9"/>
      <c r="M19" s="9"/>
      <c r="N19" s="9"/>
      <c r="O19" s="9"/>
      <c r="P19" s="172"/>
      <c r="Q19" s="9"/>
      <c r="R19" s="9"/>
    </row>
    <row r="20" spans="1:18">
      <c r="A20" s="9"/>
      <c r="B20" s="9"/>
      <c r="C20" s="9"/>
      <c r="D20" s="9"/>
      <c r="E20" s="9"/>
      <c r="F20" s="9"/>
      <c r="G20" s="9"/>
      <c r="H20" s="173"/>
      <c r="I20" s="9"/>
      <c r="J20" s="9"/>
      <c r="K20" s="9"/>
      <c r="L20" s="9"/>
      <c r="M20" s="9"/>
      <c r="N20" s="9"/>
      <c r="O20" s="9"/>
      <c r="Q20" s="9"/>
      <c r="R20" s="9"/>
    </row>
    <row r="21" spans="1:18">
      <c r="A21" s="9"/>
      <c r="B21" s="174" t="s">
        <v>81</v>
      </c>
      <c r="C21" s="174">
        <f>ano_1</f>
        <v>2024</v>
      </c>
      <c r="D21" s="174">
        <f>ano_1+1</f>
        <v>2025</v>
      </c>
      <c r="E21" s="174">
        <f>ano_1+2</f>
        <v>2026</v>
      </c>
      <c r="F21" s="174">
        <f>ano_1+3</f>
        <v>2027</v>
      </c>
      <c r="G21" s="174">
        <f>ano_1+4</f>
        <v>2028</v>
      </c>
      <c r="H21" s="173" t="s">
        <v>93</v>
      </c>
      <c r="I21" s="9"/>
      <c r="J21" s="174">
        <f>ano_1</f>
        <v>2024</v>
      </c>
      <c r="K21" s="174">
        <f>ano_1+1</f>
        <v>2025</v>
      </c>
      <c r="L21" s="174">
        <f>ano_1+2</f>
        <v>2026</v>
      </c>
      <c r="M21" s="174">
        <f>ano_1+3</f>
        <v>2027</v>
      </c>
      <c r="N21" s="174">
        <f>ano_1+4</f>
        <v>2028</v>
      </c>
      <c r="O21" s="9"/>
      <c r="P21" s="174" t="s">
        <v>4</v>
      </c>
      <c r="Q21" s="9"/>
      <c r="R21" s="9"/>
    </row>
    <row r="22" spans="1:18" ht="15" customHeight="1">
      <c r="A22" s="412" t="s">
        <v>91</v>
      </c>
      <c r="B22" s="175" t="str">
        <f>IF(intervencao1=0,"Do not fill this line",intervencao1)</f>
        <v>PET-CT</v>
      </c>
      <c r="C22" s="51"/>
      <c r="D22" s="51"/>
      <c r="E22" s="51"/>
      <c r="F22" s="51"/>
      <c r="G22" s="51"/>
      <c r="H22" s="411" t="s">
        <v>95</v>
      </c>
      <c r="I22" s="9"/>
      <c r="J22" s="164">
        <f>C22*Results!$D$9</f>
        <v>0</v>
      </c>
      <c r="K22" s="164">
        <f>D22*Results!$E$9</f>
        <v>0</v>
      </c>
      <c r="L22" s="164">
        <f>E22*Results!$F$9</f>
        <v>0</v>
      </c>
      <c r="M22" s="164">
        <f>F22*Results!$G$9</f>
        <v>0</v>
      </c>
      <c r="N22" s="164">
        <f>G22*Results!$H$9</f>
        <v>0</v>
      </c>
      <c r="O22" s="9"/>
      <c r="P22" s="176" t="str">
        <f t="shared" ref="P22:P37" si="0">IF(B22="Do not fill this line","Não","Sim")</f>
        <v>Sim</v>
      </c>
      <c r="Q22" s="9"/>
      <c r="R22" s="9"/>
    </row>
    <row r="23" spans="1:18">
      <c r="A23" s="412"/>
      <c r="B23" s="175" t="str">
        <f>IF(intervencao2=0,"Do not fill this line",intervencao2)</f>
        <v>Do not fill this line</v>
      </c>
      <c r="C23" s="51"/>
      <c r="D23" s="51"/>
      <c r="E23" s="51"/>
      <c r="F23" s="51"/>
      <c r="G23" s="51"/>
      <c r="H23" s="411"/>
      <c r="I23" s="9"/>
      <c r="J23" s="164">
        <f>C23*Results!$D$9</f>
        <v>0</v>
      </c>
      <c r="K23" s="164">
        <f>D23*Results!$E$9</f>
        <v>0</v>
      </c>
      <c r="L23" s="164">
        <f>E23*Results!$F$9</f>
        <v>0</v>
      </c>
      <c r="M23" s="164">
        <f>F23*Results!$G$9</f>
        <v>0</v>
      </c>
      <c r="N23" s="164">
        <f>G23*Results!$H$9</f>
        <v>0</v>
      </c>
      <c r="O23" s="9"/>
      <c r="P23" s="176" t="str">
        <f t="shared" si="0"/>
        <v>Não</v>
      </c>
      <c r="Q23" s="9"/>
      <c r="R23" s="9"/>
    </row>
    <row r="24" spans="1:18">
      <c r="A24" s="412"/>
      <c r="B24" s="175" t="str">
        <f>IF(intervencao3=0,"Do not fill this line",intervencao3)</f>
        <v>Do not fill this line</v>
      </c>
      <c r="C24" s="51"/>
      <c r="D24" s="51"/>
      <c r="E24" s="51"/>
      <c r="F24" s="51"/>
      <c r="G24" s="51"/>
      <c r="H24" s="411"/>
      <c r="I24" s="9"/>
      <c r="J24" s="164">
        <f>C24*Results!$D$9</f>
        <v>0</v>
      </c>
      <c r="K24" s="164">
        <f>D24*Results!$E$9</f>
        <v>0</v>
      </c>
      <c r="L24" s="164">
        <f>E24*Results!$F$9</f>
        <v>0</v>
      </c>
      <c r="M24" s="164">
        <f>F24*Results!$G$9</f>
        <v>0</v>
      </c>
      <c r="N24" s="164">
        <f>G24*Results!$H$9</f>
        <v>0</v>
      </c>
      <c r="O24" s="9"/>
      <c r="P24" s="176" t="str">
        <f t="shared" si="0"/>
        <v>Não</v>
      </c>
      <c r="Q24" s="9"/>
      <c r="R24" s="9"/>
    </row>
    <row r="25" spans="1:18">
      <c r="A25" s="412"/>
      <c r="B25" s="175" t="str">
        <f>IF(intervencao4=0,"Do not fill this line",intervencao4)</f>
        <v>Do not fill this line</v>
      </c>
      <c r="C25" s="51"/>
      <c r="D25" s="51"/>
      <c r="E25" s="51"/>
      <c r="F25" s="51"/>
      <c r="G25" s="51"/>
      <c r="H25" s="411"/>
      <c r="I25" s="9"/>
      <c r="J25" s="164">
        <f>C25*Results!$D$9</f>
        <v>0</v>
      </c>
      <c r="K25" s="164">
        <f>D25*Results!$E$9</f>
        <v>0</v>
      </c>
      <c r="L25" s="164">
        <f>E25*Results!$F$9</f>
        <v>0</v>
      </c>
      <c r="M25" s="164">
        <f>F25*Results!$G$9</f>
        <v>0</v>
      </c>
      <c r="N25" s="164">
        <f>G25*Results!$H$9</f>
        <v>0</v>
      </c>
      <c r="O25" s="9"/>
      <c r="P25" s="176" t="str">
        <f t="shared" si="0"/>
        <v>Não</v>
      </c>
      <c r="Q25" s="9"/>
      <c r="R25" s="9"/>
    </row>
    <row r="26" spans="1:18" ht="15" customHeight="1">
      <c r="A26" s="413" t="s">
        <v>92</v>
      </c>
      <c r="B26" s="11" t="str">
        <f>IF(comparador1=0,"Do not fill this line",comparador1)</f>
        <v>CT scan + scintigraphy</v>
      </c>
      <c r="C26" s="385">
        <v>1</v>
      </c>
      <c r="D26" s="385">
        <v>1</v>
      </c>
      <c r="E26" s="385">
        <v>1</v>
      </c>
      <c r="F26" s="385">
        <v>1</v>
      </c>
      <c r="G26" s="385">
        <v>1</v>
      </c>
      <c r="H26" s="173"/>
      <c r="I26" s="9"/>
      <c r="J26" s="164">
        <f>C26*Results!$D$9</f>
        <v>4950.1446658799996</v>
      </c>
      <c r="K26" s="164">
        <f>D26*Results!$E$9</f>
        <v>4980.7215748199997</v>
      </c>
      <c r="L26" s="164">
        <f>E26*Results!$F$9</f>
        <v>5009.9978922</v>
      </c>
      <c r="M26" s="164">
        <f>F26*Results!$G$9</f>
        <v>5037.9386211600004</v>
      </c>
      <c r="N26" s="164">
        <f>G26*Results!$H$9</f>
        <v>5064.5088330599992</v>
      </c>
      <c r="O26" s="9"/>
      <c r="P26" s="176" t="str">
        <f t="shared" si="0"/>
        <v>Sim</v>
      </c>
      <c r="Q26" s="9"/>
      <c r="R26" s="9"/>
    </row>
    <row r="27" spans="1:18">
      <c r="A27" s="413"/>
      <c r="B27" s="11" t="str">
        <f>IF(comparador2=0,"Do not fill this line",comparador2)</f>
        <v>Do not fill this line</v>
      </c>
      <c r="C27" s="385"/>
      <c r="D27" s="385"/>
      <c r="E27" s="385"/>
      <c r="F27" s="385"/>
      <c r="G27" s="385"/>
      <c r="H27" s="177"/>
      <c r="I27" s="9"/>
      <c r="J27" s="164">
        <f>C27*Results!$D$9</f>
        <v>0</v>
      </c>
      <c r="K27" s="164">
        <f>D27*Results!$E$9</f>
        <v>0</v>
      </c>
      <c r="L27" s="164">
        <f>E27*Results!$F$9</f>
        <v>0</v>
      </c>
      <c r="M27" s="164">
        <f>F27*Results!$G$9</f>
        <v>0</v>
      </c>
      <c r="N27" s="164">
        <f>G27*Results!$H$9</f>
        <v>0</v>
      </c>
      <c r="O27" s="9"/>
      <c r="P27" s="176" t="str">
        <f t="shared" si="0"/>
        <v>Não</v>
      </c>
      <c r="Q27" s="9"/>
      <c r="R27" s="9"/>
    </row>
    <row r="28" spans="1:18">
      <c r="A28" s="413"/>
      <c r="B28" s="11" t="str">
        <f>IF(comparador3=0,"Do not fill this line",comparador3)</f>
        <v>Do not fill this line</v>
      </c>
      <c r="C28" s="385"/>
      <c r="D28" s="385"/>
      <c r="E28" s="385"/>
      <c r="F28" s="385"/>
      <c r="G28" s="385"/>
      <c r="H28" s="173"/>
      <c r="I28" s="9"/>
      <c r="J28" s="164">
        <f>C28*Results!$D$9</f>
        <v>0</v>
      </c>
      <c r="K28" s="164">
        <f>D28*Results!$E$9</f>
        <v>0</v>
      </c>
      <c r="L28" s="164">
        <f>E28*Results!$F$9</f>
        <v>0</v>
      </c>
      <c r="M28" s="164">
        <f>F28*Results!$G$9</f>
        <v>0</v>
      </c>
      <c r="N28" s="164">
        <f>G28*Results!$H$9</f>
        <v>0</v>
      </c>
      <c r="O28" s="9"/>
      <c r="P28" s="176" t="str">
        <f t="shared" si="0"/>
        <v>Não</v>
      </c>
      <c r="Q28" s="9"/>
      <c r="R28" s="9"/>
    </row>
    <row r="29" spans="1:18">
      <c r="A29" s="413"/>
      <c r="B29" s="11" t="str">
        <f>IF(comparador4=0,"Do not fill this line",comparador4)</f>
        <v>Do not fill this line</v>
      </c>
      <c r="C29" s="385"/>
      <c r="D29" s="385"/>
      <c r="E29" s="385"/>
      <c r="F29" s="385"/>
      <c r="G29" s="385"/>
      <c r="H29" s="173"/>
      <c r="I29" s="9"/>
      <c r="J29" s="164">
        <f>C29*Results!$D$9</f>
        <v>0</v>
      </c>
      <c r="K29" s="164">
        <f>D29*Results!$E$9</f>
        <v>0</v>
      </c>
      <c r="L29" s="164">
        <f>E29*Results!$F$9</f>
        <v>0</v>
      </c>
      <c r="M29" s="164">
        <f>F29*Results!$G$9</f>
        <v>0</v>
      </c>
      <c r="N29" s="164">
        <f>G29*Results!$H$9</f>
        <v>0</v>
      </c>
      <c r="O29" s="9"/>
      <c r="P29" s="176" t="str">
        <f t="shared" si="0"/>
        <v>Não</v>
      </c>
      <c r="Q29" s="9"/>
      <c r="R29" s="9"/>
    </row>
    <row r="30" spans="1:18">
      <c r="A30" s="413"/>
      <c r="B30" s="11" t="str">
        <f>IF(comparador5=0,"Do not fill this line",comparador5)</f>
        <v>Do not fill this line</v>
      </c>
      <c r="C30" s="385"/>
      <c r="D30" s="385"/>
      <c r="E30" s="385"/>
      <c r="F30" s="385"/>
      <c r="G30" s="385"/>
      <c r="H30" s="173"/>
      <c r="I30" s="9"/>
      <c r="J30" s="164">
        <f>C30*Results!$D$9</f>
        <v>0</v>
      </c>
      <c r="K30" s="164">
        <f>D30*Results!$E$9</f>
        <v>0</v>
      </c>
      <c r="L30" s="164">
        <f>E30*Results!$F$9</f>
        <v>0</v>
      </c>
      <c r="M30" s="164">
        <f>F30*Results!$G$9</f>
        <v>0</v>
      </c>
      <c r="N30" s="164">
        <f>G30*Results!$H$9</f>
        <v>0</v>
      </c>
      <c r="O30" s="9"/>
      <c r="P30" s="176" t="str">
        <f t="shared" si="0"/>
        <v>Não</v>
      </c>
      <c r="Q30" s="9"/>
      <c r="R30" s="9"/>
    </row>
    <row r="31" spans="1:18">
      <c r="A31" s="413"/>
      <c r="B31" s="11" t="str">
        <f>IF(comparador6=0,"Do not fill this line",comparador6)</f>
        <v>Do not fill this line</v>
      </c>
      <c r="C31" s="385"/>
      <c r="D31" s="385"/>
      <c r="E31" s="385"/>
      <c r="F31" s="385"/>
      <c r="G31" s="385"/>
      <c r="H31" s="173"/>
      <c r="I31" s="9"/>
      <c r="J31" s="164">
        <f>C31*Results!$D$9</f>
        <v>0</v>
      </c>
      <c r="K31" s="164">
        <f>D31*Results!$E$9</f>
        <v>0</v>
      </c>
      <c r="L31" s="164">
        <f>E31*Results!$F$9</f>
        <v>0</v>
      </c>
      <c r="M31" s="164">
        <f>F31*Results!$G$9</f>
        <v>0</v>
      </c>
      <c r="N31" s="164">
        <f>G31*Results!$H$9</f>
        <v>0</v>
      </c>
      <c r="O31" s="9"/>
      <c r="P31" s="176" t="str">
        <f t="shared" si="0"/>
        <v>Não</v>
      </c>
      <c r="Q31" s="9"/>
      <c r="R31" s="9"/>
    </row>
    <row r="32" spans="1:18">
      <c r="A32" s="413"/>
      <c r="B32" s="11" t="str">
        <f>IF(comparador7=0,"Do not fill this line",comparador7)</f>
        <v>Do not fill this line</v>
      </c>
      <c r="C32" s="385"/>
      <c r="D32" s="385"/>
      <c r="E32" s="385"/>
      <c r="F32" s="385"/>
      <c r="G32" s="385"/>
      <c r="H32" s="173"/>
      <c r="I32" s="9"/>
      <c r="J32" s="164">
        <f>C32*Results!$D$9</f>
        <v>0</v>
      </c>
      <c r="K32" s="164">
        <f>D32*Results!$E$9</f>
        <v>0</v>
      </c>
      <c r="L32" s="164">
        <f>E32*Results!$F$9</f>
        <v>0</v>
      </c>
      <c r="M32" s="164">
        <f>F32*Results!$G$9</f>
        <v>0</v>
      </c>
      <c r="N32" s="164">
        <f>G32*Results!$H$9</f>
        <v>0</v>
      </c>
      <c r="O32" s="9"/>
      <c r="P32" s="176" t="str">
        <f t="shared" si="0"/>
        <v>Não</v>
      </c>
      <c r="Q32" s="9"/>
      <c r="R32" s="9"/>
    </row>
    <row r="33" spans="1:18">
      <c r="A33" s="413"/>
      <c r="B33" s="11" t="str">
        <f>IF(comparador8=0,"Do not fill this line",comparador8)</f>
        <v>Do not fill this line</v>
      </c>
      <c r="C33" s="385"/>
      <c r="D33" s="385"/>
      <c r="E33" s="385"/>
      <c r="F33" s="385"/>
      <c r="G33" s="385"/>
      <c r="H33" s="173"/>
      <c r="I33" s="9"/>
      <c r="J33" s="164">
        <f>C33*Results!$D$9</f>
        <v>0</v>
      </c>
      <c r="K33" s="164">
        <f>D33*Results!$E$9</f>
        <v>0</v>
      </c>
      <c r="L33" s="164">
        <f>E33*Results!$F$9</f>
        <v>0</v>
      </c>
      <c r="M33" s="164">
        <f>F33*Results!$G$9</f>
        <v>0</v>
      </c>
      <c r="N33" s="164">
        <f>G33*Results!$H$9</f>
        <v>0</v>
      </c>
      <c r="O33" s="9"/>
      <c r="P33" s="176" t="str">
        <f t="shared" si="0"/>
        <v>Não</v>
      </c>
      <c r="Q33" s="9"/>
      <c r="R33" s="9"/>
    </row>
    <row r="34" spans="1:18">
      <c r="A34" s="413"/>
      <c r="B34" s="11" t="str">
        <f>IF(comparador9=0,"Do not fill this line",comparador9)</f>
        <v>Do not fill this line</v>
      </c>
      <c r="C34" s="385"/>
      <c r="D34" s="385"/>
      <c r="E34" s="385"/>
      <c r="F34" s="385"/>
      <c r="G34" s="385"/>
      <c r="H34" s="173"/>
      <c r="I34" s="9"/>
      <c r="J34" s="164">
        <f>C34*Results!$D$9</f>
        <v>0</v>
      </c>
      <c r="K34" s="164">
        <f>D34*Results!$E$9</f>
        <v>0</v>
      </c>
      <c r="L34" s="164">
        <f>E34*Results!$F$9</f>
        <v>0</v>
      </c>
      <c r="M34" s="164">
        <f>F34*Results!$G$9</f>
        <v>0</v>
      </c>
      <c r="N34" s="164">
        <f>G34*Results!$H$9</f>
        <v>0</v>
      </c>
      <c r="O34" s="9"/>
      <c r="P34" s="176" t="str">
        <f t="shared" si="0"/>
        <v>Não</v>
      </c>
      <c r="Q34" s="9"/>
      <c r="R34" s="9"/>
    </row>
    <row r="35" spans="1:18" ht="15" customHeight="1">
      <c r="A35" s="413"/>
      <c r="B35" s="11" t="str">
        <f>IF(comparador10=0,"Do not fill this line",comparador10)</f>
        <v>Do not fill this line</v>
      </c>
      <c r="C35" s="50"/>
      <c r="D35" s="50"/>
      <c r="E35" s="50"/>
      <c r="F35" s="50"/>
      <c r="G35" s="50"/>
      <c r="H35" s="173"/>
      <c r="I35" s="9"/>
      <c r="J35" s="164">
        <f>C35*Results!$D$9</f>
        <v>0</v>
      </c>
      <c r="K35" s="164">
        <f>D35*Results!$E$9</f>
        <v>0</v>
      </c>
      <c r="L35" s="164">
        <f>E35*Results!$F$9</f>
        <v>0</v>
      </c>
      <c r="M35" s="164">
        <f>F35*Results!$G$9</f>
        <v>0</v>
      </c>
      <c r="N35" s="164">
        <f>G35*Results!$H$9</f>
        <v>0</v>
      </c>
      <c r="O35" s="9"/>
      <c r="P35" s="176" t="str">
        <f t="shared" si="0"/>
        <v>Não</v>
      </c>
      <c r="Q35" s="9"/>
      <c r="R35" s="9"/>
    </row>
    <row r="36" spans="1:18">
      <c r="A36" s="9"/>
      <c r="B36" s="9"/>
      <c r="C36" s="178">
        <f>SUM(C22:C35)</f>
        <v>1</v>
      </c>
      <c r="D36" s="178">
        <f t="shared" ref="D36:G36" si="1">SUM(D22:D35)</f>
        <v>1</v>
      </c>
      <c r="E36" s="178">
        <f t="shared" si="1"/>
        <v>1</v>
      </c>
      <c r="F36" s="178">
        <f t="shared" si="1"/>
        <v>1</v>
      </c>
      <c r="G36" s="178">
        <f t="shared" si="1"/>
        <v>1</v>
      </c>
      <c r="H36" s="173"/>
      <c r="I36" s="9"/>
      <c r="J36" s="9"/>
      <c r="K36" s="9"/>
      <c r="L36" s="9"/>
      <c r="M36" s="9"/>
      <c r="N36" s="9"/>
      <c r="O36" s="9"/>
      <c r="P36" s="176" t="str">
        <f t="shared" si="0"/>
        <v>Sim</v>
      </c>
      <c r="Q36" s="9"/>
      <c r="R36" s="9"/>
    </row>
    <row r="37" spans="1:18" ht="15.6">
      <c r="A37" s="9"/>
      <c r="B37" s="9"/>
      <c r="C37" s="179" t="str">
        <f>IF(C36=1,"ok","check")</f>
        <v>ok</v>
      </c>
      <c r="D37" s="179" t="str">
        <f>IF(D36=1,"ok","check")</f>
        <v>ok</v>
      </c>
      <c r="E37" s="179" t="str">
        <f>IF(E36=1,"ok","check")</f>
        <v>ok</v>
      </c>
      <c r="F37" s="179" t="str">
        <f>IF(F36=1,"ok","check")</f>
        <v>ok</v>
      </c>
      <c r="G37" s="179" t="str">
        <f>IF(G36=1,"ok","check")</f>
        <v>ok</v>
      </c>
      <c r="H37" s="173" t="s">
        <v>94</v>
      </c>
      <c r="I37" s="9"/>
      <c r="J37" s="165" t="s">
        <v>3</v>
      </c>
      <c r="K37" s="9"/>
      <c r="L37" s="9"/>
      <c r="M37" s="9"/>
      <c r="N37" s="9"/>
      <c r="O37" s="9"/>
      <c r="P37" s="176" t="str">
        <f t="shared" si="0"/>
        <v>Sim</v>
      </c>
      <c r="Q37" s="9"/>
      <c r="R37" s="9"/>
    </row>
    <row r="38" spans="1:18" ht="15.6">
      <c r="A38" s="9"/>
      <c r="B38" s="9"/>
      <c r="C38" s="179"/>
      <c r="D38" s="179"/>
      <c r="E38" s="179"/>
      <c r="F38" s="179"/>
      <c r="G38" s="179"/>
      <c r="H38" s="173"/>
      <c r="I38" s="9"/>
      <c r="J38" s="165"/>
      <c r="K38" s="9"/>
      <c r="L38" s="9"/>
      <c r="M38" s="9"/>
      <c r="N38" s="9"/>
      <c r="O38" s="9"/>
      <c r="P38" s="176"/>
      <c r="Q38" s="9"/>
      <c r="R38" s="9"/>
    </row>
    <row r="39" spans="1:18" s="166" customFormat="1" ht="18">
      <c r="B39" s="167" t="s">
        <v>82</v>
      </c>
      <c r="C39" s="168" t="str">
        <f>cen_prop1</f>
        <v>With PET-CT 20-100%</v>
      </c>
      <c r="D39" s="168"/>
      <c r="E39" s="168"/>
      <c r="F39" s="168"/>
      <c r="G39" s="168"/>
      <c r="H39" s="170"/>
      <c r="J39" s="171" t="str">
        <f>cen_prop1</f>
        <v>With PET-CT 20-100%</v>
      </c>
      <c r="K39" s="9"/>
      <c r="L39" s="9"/>
      <c r="M39" s="9"/>
      <c r="N39" s="9"/>
      <c r="O39" s="9"/>
      <c r="P39" s="176" t="str">
        <f t="shared" ref="P39:P57" si="2">IF(B39="Do not fill this line","Não","Sim")</f>
        <v>Sim</v>
      </c>
      <c r="Q39" s="9"/>
      <c r="R39" s="9"/>
    </row>
    <row r="40" spans="1:18">
      <c r="A40" s="9"/>
      <c r="B40" s="9"/>
      <c r="C40" s="9"/>
      <c r="D40" s="9"/>
      <c r="E40" s="9"/>
      <c r="F40" s="9"/>
      <c r="G40" s="9"/>
      <c r="H40" s="173"/>
      <c r="I40" s="9"/>
      <c r="J40" s="9"/>
      <c r="K40" s="9"/>
      <c r="L40" s="9"/>
      <c r="M40" s="9"/>
      <c r="N40" s="9"/>
      <c r="O40" s="9"/>
      <c r="P40" s="176" t="str">
        <f t="shared" si="2"/>
        <v>Sim</v>
      </c>
      <c r="Q40" s="9"/>
      <c r="R40" s="9"/>
    </row>
    <row r="41" spans="1:18">
      <c r="A41" s="9"/>
      <c r="B41" s="174" t="s">
        <v>81</v>
      </c>
      <c r="C41" s="174">
        <f>ano_1</f>
        <v>2024</v>
      </c>
      <c r="D41" s="174">
        <f>ano_1+1</f>
        <v>2025</v>
      </c>
      <c r="E41" s="174">
        <f>ano_1+2</f>
        <v>2026</v>
      </c>
      <c r="F41" s="174">
        <f>ano_1+3</f>
        <v>2027</v>
      </c>
      <c r="G41" s="174">
        <f>ano_1+4</f>
        <v>2028</v>
      </c>
      <c r="H41" s="173" t="s">
        <v>93</v>
      </c>
      <c r="I41" s="9"/>
      <c r="J41" s="174">
        <f>ano_1</f>
        <v>2024</v>
      </c>
      <c r="K41" s="174">
        <f>ano_1+1</f>
        <v>2025</v>
      </c>
      <c r="L41" s="174">
        <f>ano_1+2</f>
        <v>2026</v>
      </c>
      <c r="M41" s="174">
        <f>ano_1+3</f>
        <v>2027</v>
      </c>
      <c r="N41" s="174">
        <f>ano_1+4</f>
        <v>2028</v>
      </c>
      <c r="O41" s="9"/>
      <c r="P41" s="176" t="str">
        <f t="shared" si="2"/>
        <v>Sim</v>
      </c>
      <c r="Q41" s="9"/>
      <c r="R41" s="9"/>
    </row>
    <row r="42" spans="1:18" ht="15" customHeight="1">
      <c r="A42" s="412" t="s">
        <v>91</v>
      </c>
      <c r="B42" s="175" t="str">
        <f>IF(intervencao1=0,"Do not fill this line",intervencao1)</f>
        <v>PET-CT</v>
      </c>
      <c r="C42" s="385">
        <v>0.2</v>
      </c>
      <c r="D42" s="385">
        <v>0.4</v>
      </c>
      <c r="E42" s="385">
        <v>0.6</v>
      </c>
      <c r="F42" s="385">
        <v>0.8</v>
      </c>
      <c r="G42" s="385">
        <v>1</v>
      </c>
      <c r="H42" s="173"/>
      <c r="I42" s="9"/>
      <c r="J42" s="164">
        <f>C42*Results!$D$9</f>
        <v>990.02893317600001</v>
      </c>
      <c r="K42" s="164">
        <f>D42*Results!$E$9</f>
        <v>1992.2886299279999</v>
      </c>
      <c r="L42" s="164">
        <f>E42*Results!$F$9</f>
        <v>3005.9987353199999</v>
      </c>
      <c r="M42" s="164">
        <f>F42*Results!$G$9</f>
        <v>4030.3508969280006</v>
      </c>
      <c r="N42" s="164">
        <f>G42*Results!$H$9</f>
        <v>5064.5088330599992</v>
      </c>
      <c r="O42" s="9"/>
      <c r="P42" s="176" t="str">
        <f t="shared" si="2"/>
        <v>Sim</v>
      </c>
      <c r="Q42" s="9"/>
      <c r="R42" s="9"/>
    </row>
    <row r="43" spans="1:18">
      <c r="A43" s="412"/>
      <c r="B43" s="175" t="str">
        <f>IF(intervencao2=0,"Do not fill this line",intervencao2)</f>
        <v>Do not fill this line</v>
      </c>
      <c r="C43" s="385"/>
      <c r="D43" s="385"/>
      <c r="E43" s="385"/>
      <c r="F43" s="385"/>
      <c r="G43" s="385"/>
      <c r="H43" s="173"/>
      <c r="I43" s="9"/>
      <c r="J43" s="164">
        <f>C43*Results!$D$9</f>
        <v>0</v>
      </c>
      <c r="K43" s="164">
        <f>D43*Results!$E$9</f>
        <v>0</v>
      </c>
      <c r="L43" s="164">
        <f>E43*Results!$F$9</f>
        <v>0</v>
      </c>
      <c r="M43" s="164">
        <f>F43*Results!$G$9</f>
        <v>0</v>
      </c>
      <c r="N43" s="164">
        <f>G43*Results!$H$9</f>
        <v>0</v>
      </c>
      <c r="O43" s="9"/>
      <c r="P43" s="176" t="str">
        <f t="shared" si="2"/>
        <v>Não</v>
      </c>
      <c r="Q43" s="9"/>
      <c r="R43" s="9"/>
    </row>
    <row r="44" spans="1:18">
      <c r="A44" s="412"/>
      <c r="B44" s="175" t="str">
        <f>IF(intervencao3=0,"Do not fill this line",intervencao3)</f>
        <v>Do not fill this line</v>
      </c>
      <c r="C44" s="385"/>
      <c r="D44" s="385"/>
      <c r="E44" s="385"/>
      <c r="F44" s="385"/>
      <c r="G44" s="385"/>
      <c r="H44" s="173"/>
      <c r="I44" s="9"/>
      <c r="J44" s="164">
        <f>C44*Results!$D$9</f>
        <v>0</v>
      </c>
      <c r="K44" s="164">
        <f>D44*Results!$E$9</f>
        <v>0</v>
      </c>
      <c r="L44" s="164">
        <f>E44*Results!$F$9</f>
        <v>0</v>
      </c>
      <c r="M44" s="164">
        <f>F44*Results!$G$9</f>
        <v>0</v>
      </c>
      <c r="N44" s="164">
        <f>G44*Results!$H$9</f>
        <v>0</v>
      </c>
      <c r="O44" s="9"/>
      <c r="P44" s="176" t="str">
        <f t="shared" si="2"/>
        <v>Não</v>
      </c>
      <c r="Q44" s="9"/>
      <c r="R44" s="9"/>
    </row>
    <row r="45" spans="1:18">
      <c r="A45" s="412"/>
      <c r="B45" s="175" t="str">
        <f>IF(intervencao4=0,"Do not fill this line",intervencao4)</f>
        <v>Do not fill this line</v>
      </c>
      <c r="C45" s="385"/>
      <c r="D45" s="385"/>
      <c r="E45" s="385"/>
      <c r="F45" s="385"/>
      <c r="G45" s="385"/>
      <c r="H45" s="173"/>
      <c r="I45" s="9"/>
      <c r="J45" s="164">
        <f>C45*Results!$D$9</f>
        <v>0</v>
      </c>
      <c r="K45" s="164">
        <f>D45*Results!$E$9</f>
        <v>0</v>
      </c>
      <c r="L45" s="164">
        <f>E45*Results!$F$9</f>
        <v>0</v>
      </c>
      <c r="M45" s="164">
        <f>F45*Results!$G$9</f>
        <v>0</v>
      </c>
      <c r="N45" s="164">
        <f>G45*Results!$H$9</f>
        <v>0</v>
      </c>
      <c r="O45" s="9"/>
      <c r="P45" s="176" t="str">
        <f t="shared" si="2"/>
        <v>Não</v>
      </c>
      <c r="Q45" s="9"/>
      <c r="R45" s="9"/>
    </row>
    <row r="46" spans="1:18" s="180" customFormat="1" ht="15" customHeight="1">
      <c r="A46" s="413" t="s">
        <v>92</v>
      </c>
      <c r="B46" s="11" t="str">
        <f>IF(comparador1=0,"Do not fill this line",comparador1)</f>
        <v>CT scan + scintigraphy</v>
      </c>
      <c r="C46" s="385">
        <f>1-C42</f>
        <v>0.8</v>
      </c>
      <c r="D46" s="385">
        <f t="shared" ref="D46:G46" si="3">1-D42</f>
        <v>0.6</v>
      </c>
      <c r="E46" s="385">
        <f t="shared" si="3"/>
        <v>0.4</v>
      </c>
      <c r="F46" s="385">
        <f t="shared" si="3"/>
        <v>0.19999999999999996</v>
      </c>
      <c r="G46" s="385">
        <f t="shared" si="3"/>
        <v>0</v>
      </c>
      <c r="H46" s="173"/>
      <c r="I46" s="7"/>
      <c r="J46" s="164">
        <f>C46*Results!$D$9</f>
        <v>3960.115732704</v>
      </c>
      <c r="K46" s="164">
        <f>D46*Results!$E$9</f>
        <v>2988.4329448919998</v>
      </c>
      <c r="L46" s="164">
        <f>E46*Results!$F$9</f>
        <v>2003.9991568800001</v>
      </c>
      <c r="M46" s="164">
        <f>F46*Results!$G$9</f>
        <v>1007.5877242319998</v>
      </c>
      <c r="N46" s="164">
        <f>G46*Results!$H$9</f>
        <v>0</v>
      </c>
      <c r="O46" s="7"/>
      <c r="P46" s="176" t="str">
        <f t="shared" si="2"/>
        <v>Sim</v>
      </c>
      <c r="Q46" s="7"/>
      <c r="R46" s="7"/>
    </row>
    <row r="47" spans="1:18" s="180" customFormat="1">
      <c r="A47" s="413"/>
      <c r="B47" s="11" t="str">
        <f>IF(comparador2=0,"Do not fill this line",comparador2)</f>
        <v>Do not fill this line</v>
      </c>
      <c r="C47" s="385"/>
      <c r="D47" s="385"/>
      <c r="E47" s="385"/>
      <c r="F47" s="385"/>
      <c r="G47" s="385"/>
      <c r="H47" s="177"/>
      <c r="I47" s="7"/>
      <c r="J47" s="164">
        <f>C47*Results!$D$9</f>
        <v>0</v>
      </c>
      <c r="K47" s="164">
        <f>D47*Results!$E$9</f>
        <v>0</v>
      </c>
      <c r="L47" s="164">
        <f>E47*Results!$F$9</f>
        <v>0</v>
      </c>
      <c r="M47" s="164">
        <f>F47*Results!$G$9</f>
        <v>0</v>
      </c>
      <c r="N47" s="164">
        <f>G47*Results!$H$9</f>
        <v>0</v>
      </c>
      <c r="O47" s="7"/>
      <c r="P47" s="176" t="str">
        <f t="shared" si="2"/>
        <v>Não</v>
      </c>
      <c r="Q47" s="7"/>
      <c r="R47" s="7"/>
    </row>
    <row r="48" spans="1:18">
      <c r="A48" s="413"/>
      <c r="B48" s="11" t="str">
        <f>IF(comparador3=0,"Do not fill this line",comparador3)</f>
        <v>Do not fill this line</v>
      </c>
      <c r="C48" s="385"/>
      <c r="D48" s="385"/>
      <c r="E48" s="385"/>
      <c r="F48" s="385"/>
      <c r="G48" s="385"/>
      <c r="H48" s="173"/>
      <c r="I48" s="9"/>
      <c r="J48" s="164">
        <f>C48*Results!$D$9</f>
        <v>0</v>
      </c>
      <c r="K48" s="164">
        <f>D48*Results!$E$9</f>
        <v>0</v>
      </c>
      <c r="L48" s="164">
        <f>E48*Results!$F$9</f>
        <v>0</v>
      </c>
      <c r="M48" s="164">
        <f>F48*Results!$G$9</f>
        <v>0</v>
      </c>
      <c r="N48" s="164">
        <f>G48*Results!$H$9</f>
        <v>0</v>
      </c>
      <c r="O48" s="9"/>
      <c r="P48" s="176" t="str">
        <f t="shared" si="2"/>
        <v>Não</v>
      </c>
      <c r="Q48" s="9"/>
      <c r="R48" s="9"/>
    </row>
    <row r="49" spans="1:18">
      <c r="A49" s="413"/>
      <c r="B49" s="11" t="str">
        <f>IF(comparador4=0,"Do not fill this line",comparador4)</f>
        <v>Do not fill this line</v>
      </c>
      <c r="C49" s="385"/>
      <c r="D49" s="385"/>
      <c r="E49" s="385"/>
      <c r="F49" s="385"/>
      <c r="G49" s="385"/>
      <c r="H49" s="173"/>
      <c r="I49" s="9"/>
      <c r="J49" s="164">
        <f>C49*Results!$D$9</f>
        <v>0</v>
      </c>
      <c r="K49" s="164">
        <f>D49*Results!$E$9</f>
        <v>0</v>
      </c>
      <c r="L49" s="164">
        <f>E49*Results!$F$9</f>
        <v>0</v>
      </c>
      <c r="M49" s="164">
        <f>F49*Results!$G$9</f>
        <v>0</v>
      </c>
      <c r="N49" s="164">
        <f>G49*Results!$H$9</f>
        <v>0</v>
      </c>
      <c r="O49" s="9"/>
      <c r="P49" s="176" t="str">
        <f t="shared" si="2"/>
        <v>Não</v>
      </c>
      <c r="Q49" s="9"/>
      <c r="R49" s="9"/>
    </row>
    <row r="50" spans="1:18">
      <c r="A50" s="413"/>
      <c r="B50" s="11" t="str">
        <f>IF(comparador5=0,"Do not fill this line",comparador5)</f>
        <v>Do not fill this line</v>
      </c>
      <c r="C50" s="385"/>
      <c r="D50" s="385"/>
      <c r="E50" s="385"/>
      <c r="F50" s="385"/>
      <c r="G50" s="385"/>
      <c r="H50" s="173"/>
      <c r="I50" s="9"/>
      <c r="J50" s="164">
        <f>C50*Results!$D$9</f>
        <v>0</v>
      </c>
      <c r="K50" s="164">
        <f>D50*Results!$E$9</f>
        <v>0</v>
      </c>
      <c r="L50" s="164">
        <f>E50*Results!$F$9</f>
        <v>0</v>
      </c>
      <c r="M50" s="164">
        <f>F50*Results!$G$9</f>
        <v>0</v>
      </c>
      <c r="N50" s="164">
        <f>G50*Results!$H$9</f>
        <v>0</v>
      </c>
      <c r="O50" s="9"/>
      <c r="P50" s="176" t="str">
        <f t="shared" si="2"/>
        <v>Não</v>
      </c>
      <c r="Q50" s="9"/>
      <c r="R50" s="9"/>
    </row>
    <row r="51" spans="1:18">
      <c r="A51" s="413"/>
      <c r="B51" s="11" t="str">
        <f>IF(comparador6=0,"Do not fill this line",comparador6)</f>
        <v>Do not fill this line</v>
      </c>
      <c r="C51" s="385"/>
      <c r="D51" s="385"/>
      <c r="E51" s="385"/>
      <c r="F51" s="385"/>
      <c r="G51" s="385"/>
      <c r="H51" s="173"/>
      <c r="I51" s="9"/>
      <c r="J51" s="164">
        <f>C51*Results!$D$9</f>
        <v>0</v>
      </c>
      <c r="K51" s="164">
        <f>D51*Results!$E$9</f>
        <v>0</v>
      </c>
      <c r="L51" s="164">
        <f>E51*Results!$F$9</f>
        <v>0</v>
      </c>
      <c r="M51" s="164">
        <f>F51*Results!$G$9</f>
        <v>0</v>
      </c>
      <c r="N51" s="164">
        <f>G51*Results!$H$9</f>
        <v>0</v>
      </c>
      <c r="O51" s="9"/>
      <c r="P51" s="176" t="str">
        <f t="shared" si="2"/>
        <v>Não</v>
      </c>
      <c r="Q51" s="9"/>
      <c r="R51" s="9"/>
    </row>
    <row r="52" spans="1:18">
      <c r="A52" s="413"/>
      <c r="B52" s="11" t="str">
        <f>IF(comparador7=0,"Do not fill this line",comparador7)</f>
        <v>Do not fill this line</v>
      </c>
      <c r="C52" s="385"/>
      <c r="D52" s="385"/>
      <c r="E52" s="385"/>
      <c r="F52" s="385"/>
      <c r="G52" s="385"/>
      <c r="H52" s="173"/>
      <c r="I52" s="9"/>
      <c r="J52" s="164">
        <f>C52*Results!$D$9</f>
        <v>0</v>
      </c>
      <c r="K52" s="164">
        <f>D52*Results!$E$9</f>
        <v>0</v>
      </c>
      <c r="L52" s="164">
        <f>E52*Results!$F$9</f>
        <v>0</v>
      </c>
      <c r="M52" s="164">
        <f>F52*Results!$G$9</f>
        <v>0</v>
      </c>
      <c r="N52" s="164">
        <f>G52*Results!$H$9</f>
        <v>0</v>
      </c>
      <c r="O52" s="9"/>
      <c r="P52" s="176" t="str">
        <f t="shared" si="2"/>
        <v>Não</v>
      </c>
      <c r="Q52" s="9"/>
      <c r="R52" s="9"/>
    </row>
    <row r="53" spans="1:18">
      <c r="A53" s="413"/>
      <c r="B53" s="11" t="str">
        <f>IF(comparador8=0,"Do not fill this line",comparador8)</f>
        <v>Do not fill this line</v>
      </c>
      <c r="C53" s="385"/>
      <c r="D53" s="385"/>
      <c r="E53" s="385"/>
      <c r="F53" s="385"/>
      <c r="G53" s="385"/>
      <c r="H53" s="173"/>
      <c r="I53" s="9"/>
      <c r="J53" s="164">
        <f>C53*Results!$D$9</f>
        <v>0</v>
      </c>
      <c r="K53" s="164">
        <f>D53*Results!$E$9</f>
        <v>0</v>
      </c>
      <c r="L53" s="164">
        <f>E53*Results!$F$9</f>
        <v>0</v>
      </c>
      <c r="M53" s="164">
        <f>F53*Results!$G$9</f>
        <v>0</v>
      </c>
      <c r="N53" s="164">
        <f>G53*Results!$H$9</f>
        <v>0</v>
      </c>
      <c r="O53" s="9"/>
      <c r="P53" s="176" t="str">
        <f t="shared" si="2"/>
        <v>Não</v>
      </c>
      <c r="Q53" s="9"/>
      <c r="R53" s="9"/>
    </row>
    <row r="54" spans="1:18">
      <c r="A54" s="413"/>
      <c r="B54" s="11" t="str">
        <f>IF(comparador9=0,"Do not fill this line",comparador9)</f>
        <v>Do not fill this line</v>
      </c>
      <c r="C54" s="385"/>
      <c r="D54" s="385"/>
      <c r="E54" s="385"/>
      <c r="F54" s="385"/>
      <c r="G54" s="385"/>
      <c r="H54" s="173"/>
      <c r="I54" s="9"/>
      <c r="J54" s="164">
        <f>C54*Results!$D$9</f>
        <v>0</v>
      </c>
      <c r="K54" s="164">
        <f>D54*Results!$E$9</f>
        <v>0</v>
      </c>
      <c r="L54" s="164">
        <f>E54*Results!$F$9</f>
        <v>0</v>
      </c>
      <c r="M54" s="164">
        <f>F54*Results!$G$9</f>
        <v>0</v>
      </c>
      <c r="N54" s="164">
        <f>G54*Results!$H$9</f>
        <v>0</v>
      </c>
      <c r="O54" s="9"/>
      <c r="P54" s="176" t="str">
        <f t="shared" si="2"/>
        <v>Não</v>
      </c>
      <c r="Q54" s="9"/>
      <c r="R54" s="9"/>
    </row>
    <row r="55" spans="1:18">
      <c r="A55" s="413"/>
      <c r="B55" s="11" t="str">
        <f>IF(comparador10=0,"Do not fill this line",comparador10)</f>
        <v>Do not fill this line</v>
      </c>
      <c r="C55" s="50"/>
      <c r="D55" s="50"/>
      <c r="E55" s="50"/>
      <c r="F55" s="50"/>
      <c r="G55" s="50"/>
      <c r="H55" s="173"/>
      <c r="I55" s="9"/>
      <c r="J55" s="164">
        <f>C55*Results!$D$9</f>
        <v>0</v>
      </c>
      <c r="K55" s="164">
        <f>D55*Results!$E$9</f>
        <v>0</v>
      </c>
      <c r="L55" s="164">
        <f>E55*Results!$F$9</f>
        <v>0</v>
      </c>
      <c r="M55" s="164">
        <f>F55*Results!$G$9</f>
        <v>0</v>
      </c>
      <c r="N55" s="164">
        <f>G55*Results!$H$9</f>
        <v>0</v>
      </c>
      <c r="O55" s="9"/>
      <c r="P55" s="176" t="str">
        <f t="shared" si="2"/>
        <v>Não</v>
      </c>
      <c r="Q55" s="9"/>
      <c r="R55" s="9"/>
    </row>
    <row r="56" spans="1:18">
      <c r="A56" s="9"/>
      <c r="B56" s="9"/>
      <c r="C56" s="178">
        <f>SUM(C42:C55)</f>
        <v>1</v>
      </c>
      <c r="D56" s="178">
        <f t="shared" ref="D56:G56" si="4">SUM(D42:D55)</f>
        <v>1</v>
      </c>
      <c r="E56" s="178">
        <f t="shared" si="4"/>
        <v>1</v>
      </c>
      <c r="F56" s="178">
        <f t="shared" si="4"/>
        <v>1</v>
      </c>
      <c r="G56" s="178">
        <f t="shared" si="4"/>
        <v>1</v>
      </c>
      <c r="H56" s="173"/>
      <c r="I56" s="9"/>
      <c r="J56" s="9"/>
      <c r="K56" s="9"/>
      <c r="L56" s="9"/>
      <c r="M56" s="9"/>
      <c r="N56" s="9"/>
      <c r="O56" s="9"/>
      <c r="P56" s="176" t="str">
        <f t="shared" si="2"/>
        <v>Sim</v>
      </c>
      <c r="Q56" s="9"/>
      <c r="R56" s="9"/>
    </row>
    <row r="57" spans="1:18" ht="15.6">
      <c r="A57" s="9"/>
      <c r="B57" s="9"/>
      <c r="C57" s="179" t="str">
        <f>IF(C56=1,"ok","check")</f>
        <v>ok</v>
      </c>
      <c r="D57" s="179" t="str">
        <f>IF(D56=1,"ok","check")</f>
        <v>ok</v>
      </c>
      <c r="E57" s="179" t="str">
        <f>IF(E56=1,"ok","check")</f>
        <v>ok</v>
      </c>
      <c r="F57" s="179" t="str">
        <f>IF(F56=1,"ok","check")</f>
        <v>ok</v>
      </c>
      <c r="G57" s="179" t="str">
        <f>IF(G56=1,"ok","check")</f>
        <v>ok</v>
      </c>
      <c r="H57" s="173" t="s">
        <v>94</v>
      </c>
      <c r="I57" s="9"/>
      <c r="J57" s="165" t="s">
        <v>3</v>
      </c>
      <c r="K57" s="9"/>
      <c r="L57" s="9"/>
      <c r="M57" s="9"/>
      <c r="N57" s="9"/>
      <c r="O57" s="9"/>
      <c r="P57" s="176" t="str">
        <f t="shared" si="2"/>
        <v>Sim</v>
      </c>
      <c r="Q57" s="9"/>
      <c r="R57" s="9"/>
    </row>
    <row r="58" spans="1:18" ht="15.6">
      <c r="A58" s="9"/>
      <c r="B58" s="9"/>
      <c r="C58" s="179"/>
      <c r="D58" s="179"/>
      <c r="E58" s="179"/>
      <c r="F58" s="179"/>
      <c r="G58" s="179"/>
      <c r="H58" s="173"/>
      <c r="I58" s="9"/>
      <c r="J58" s="165"/>
      <c r="K58" s="9"/>
      <c r="L58" s="9"/>
      <c r="M58" s="9"/>
      <c r="N58" s="9"/>
      <c r="O58" s="9"/>
      <c r="P58" s="176"/>
      <c r="Q58" s="9"/>
      <c r="R58" s="9"/>
    </row>
    <row r="59" spans="1:18" s="166" customFormat="1" ht="18">
      <c r="B59" s="167" t="s">
        <v>89</v>
      </c>
      <c r="C59" s="168" t="str">
        <f>cen_prop2</f>
        <v>With PET-CT 10-50%</v>
      </c>
      <c r="D59" s="168"/>
      <c r="E59" s="168"/>
      <c r="F59" s="168"/>
      <c r="G59" s="168"/>
      <c r="H59" s="170"/>
      <c r="J59" s="171" t="str">
        <f>cen_prop2</f>
        <v>With PET-CT 10-50%</v>
      </c>
      <c r="K59" s="9"/>
      <c r="L59" s="9"/>
      <c r="M59" s="9"/>
      <c r="N59" s="9"/>
      <c r="O59" s="9"/>
      <c r="P59" s="176" t="str">
        <f t="shared" ref="P59:P76" si="5">IF(B59="Do not fill this line","Não","Sim")</f>
        <v>Sim</v>
      </c>
      <c r="Q59" s="9"/>
      <c r="R59" s="9"/>
    </row>
    <row r="60" spans="1:18">
      <c r="A60" s="9"/>
      <c r="B60" s="9"/>
      <c r="C60" s="9"/>
      <c r="D60" s="9"/>
      <c r="E60" s="9"/>
      <c r="F60" s="9"/>
      <c r="G60" s="9"/>
      <c r="H60" s="173"/>
      <c r="I60" s="9"/>
      <c r="J60" s="9"/>
      <c r="K60" s="9"/>
      <c r="L60" s="9"/>
      <c r="M60" s="9"/>
      <c r="N60" s="9"/>
      <c r="O60" s="9"/>
      <c r="P60" s="176" t="str">
        <f t="shared" si="5"/>
        <v>Sim</v>
      </c>
      <c r="Q60" s="9"/>
      <c r="R60" s="9"/>
    </row>
    <row r="61" spans="1:18">
      <c r="A61" s="9"/>
      <c r="B61" s="174" t="s">
        <v>81</v>
      </c>
      <c r="C61" s="174">
        <f>ano_1</f>
        <v>2024</v>
      </c>
      <c r="D61" s="174">
        <f>ano_1+1</f>
        <v>2025</v>
      </c>
      <c r="E61" s="174">
        <f>ano_1+2</f>
        <v>2026</v>
      </c>
      <c r="F61" s="174">
        <f>ano_1+3</f>
        <v>2027</v>
      </c>
      <c r="G61" s="174">
        <f>ano_1+4</f>
        <v>2028</v>
      </c>
      <c r="H61" s="173" t="s">
        <v>93</v>
      </c>
      <c r="I61" s="9"/>
      <c r="J61" s="174">
        <f>ano_1</f>
        <v>2024</v>
      </c>
      <c r="K61" s="174">
        <f>ano_1+1</f>
        <v>2025</v>
      </c>
      <c r="L61" s="174">
        <f>ano_1+2</f>
        <v>2026</v>
      </c>
      <c r="M61" s="174">
        <f>ano_1+3</f>
        <v>2027</v>
      </c>
      <c r="N61" s="174">
        <f>ano_1+4</f>
        <v>2028</v>
      </c>
      <c r="O61" s="9"/>
      <c r="P61" s="176" t="str">
        <f t="shared" si="5"/>
        <v>Sim</v>
      </c>
      <c r="Q61" s="9"/>
      <c r="R61" s="9"/>
    </row>
    <row r="62" spans="1:18" ht="15" customHeight="1">
      <c r="A62" s="412" t="s">
        <v>91</v>
      </c>
      <c r="B62" s="175" t="str">
        <f>IF(intervencao1=0,"Do not fill this line",intervencao1)</f>
        <v>PET-CT</v>
      </c>
      <c r="C62" s="385">
        <v>0.1</v>
      </c>
      <c r="D62" s="385">
        <v>0.2</v>
      </c>
      <c r="E62" s="385">
        <v>0.3</v>
      </c>
      <c r="F62" s="385">
        <v>0.4</v>
      </c>
      <c r="G62" s="385">
        <v>0.5</v>
      </c>
      <c r="H62" s="173"/>
      <c r="I62" s="9"/>
      <c r="J62" s="164">
        <f>C62*Results!$D$9</f>
        <v>495.014466588</v>
      </c>
      <c r="K62" s="164">
        <f>D62*Results!$E$9</f>
        <v>996.14431496399993</v>
      </c>
      <c r="L62" s="164">
        <f>E62*Results!$F$9</f>
        <v>1502.99936766</v>
      </c>
      <c r="M62" s="164">
        <f>F62*Results!$G$9</f>
        <v>2015.1754484640003</v>
      </c>
      <c r="N62" s="164">
        <f>G62*Results!$H$9</f>
        <v>2532.2544165299996</v>
      </c>
      <c r="O62" s="9"/>
      <c r="P62" s="176" t="str">
        <f t="shared" si="5"/>
        <v>Sim</v>
      </c>
      <c r="Q62" s="9"/>
      <c r="R62" s="9"/>
    </row>
    <row r="63" spans="1:18">
      <c r="A63" s="412"/>
      <c r="B63" s="175" t="str">
        <f>IF(intervencao2=0,"Do not fill this line",intervencao2)</f>
        <v>Do not fill this line</v>
      </c>
      <c r="C63" s="385"/>
      <c r="D63" s="385"/>
      <c r="E63" s="385"/>
      <c r="F63" s="385"/>
      <c r="G63" s="385"/>
      <c r="H63" s="173"/>
      <c r="I63" s="9"/>
      <c r="J63" s="164">
        <f>C63*Results!$D$9</f>
        <v>0</v>
      </c>
      <c r="K63" s="164">
        <f>D63*Results!$E$9</f>
        <v>0</v>
      </c>
      <c r="L63" s="164">
        <f>E63*Results!$F$9</f>
        <v>0</v>
      </c>
      <c r="M63" s="164">
        <f>F63*Results!$G$9</f>
        <v>0</v>
      </c>
      <c r="N63" s="164">
        <f>G63*Results!$H$9</f>
        <v>0</v>
      </c>
      <c r="O63" s="9"/>
      <c r="P63" s="176" t="str">
        <f t="shared" si="5"/>
        <v>Não</v>
      </c>
      <c r="Q63" s="9"/>
      <c r="R63" s="9"/>
    </row>
    <row r="64" spans="1:18">
      <c r="A64" s="412"/>
      <c r="B64" s="175" t="str">
        <f>IF(intervencao3=0,"Do not fill this line",intervencao3)</f>
        <v>Do not fill this line</v>
      </c>
      <c r="C64" s="385"/>
      <c r="D64" s="385"/>
      <c r="E64" s="385"/>
      <c r="F64" s="385"/>
      <c r="G64" s="385"/>
      <c r="H64" s="173"/>
      <c r="I64" s="9"/>
      <c r="J64" s="164">
        <f>C64*Results!$D$9</f>
        <v>0</v>
      </c>
      <c r="K64" s="164">
        <f>D64*Results!$E$9</f>
        <v>0</v>
      </c>
      <c r="L64" s="164">
        <f>E64*Results!$F$9</f>
        <v>0</v>
      </c>
      <c r="M64" s="164">
        <f>F64*Results!$G$9</f>
        <v>0</v>
      </c>
      <c r="N64" s="164">
        <f>G64*Results!$H$9</f>
        <v>0</v>
      </c>
      <c r="O64" s="9"/>
      <c r="P64" s="176" t="str">
        <f t="shared" si="5"/>
        <v>Não</v>
      </c>
      <c r="Q64" s="9"/>
      <c r="R64" s="9"/>
    </row>
    <row r="65" spans="1:18">
      <c r="A65" s="412"/>
      <c r="B65" s="175" t="str">
        <f>IF(intervencao4=0,"Do not fill this line",intervencao4)</f>
        <v>Do not fill this line</v>
      </c>
      <c r="C65" s="385"/>
      <c r="D65" s="385"/>
      <c r="E65" s="385"/>
      <c r="F65" s="385"/>
      <c r="G65" s="385"/>
      <c r="H65" s="173"/>
      <c r="I65" s="9"/>
      <c r="J65" s="164">
        <f>C65*Results!$D$9</f>
        <v>0</v>
      </c>
      <c r="K65" s="164">
        <f>D65*Results!$E$9</f>
        <v>0</v>
      </c>
      <c r="L65" s="164">
        <f>E65*Results!$F$9</f>
        <v>0</v>
      </c>
      <c r="M65" s="164">
        <f>F65*Results!$G$9</f>
        <v>0</v>
      </c>
      <c r="N65" s="164">
        <f>G65*Results!$H$9</f>
        <v>0</v>
      </c>
      <c r="O65" s="9"/>
      <c r="P65" s="176" t="str">
        <f t="shared" si="5"/>
        <v>Não</v>
      </c>
      <c r="Q65" s="9"/>
      <c r="R65" s="9"/>
    </row>
    <row r="66" spans="1:18" s="180" customFormat="1" ht="15" customHeight="1">
      <c r="A66" s="413" t="s">
        <v>92</v>
      </c>
      <c r="B66" s="11" t="str">
        <f>IF(comparador1=0,"Do not fill this line",comparador1)</f>
        <v>CT scan + scintigraphy</v>
      </c>
      <c r="C66" s="385">
        <f>1-C62</f>
        <v>0.9</v>
      </c>
      <c r="D66" s="385">
        <f t="shared" ref="D66:G66" si="6">1-D62</f>
        <v>0.8</v>
      </c>
      <c r="E66" s="385">
        <f t="shared" si="6"/>
        <v>0.7</v>
      </c>
      <c r="F66" s="385">
        <f t="shared" si="6"/>
        <v>0.6</v>
      </c>
      <c r="G66" s="385">
        <f t="shared" si="6"/>
        <v>0.5</v>
      </c>
      <c r="H66" s="173"/>
      <c r="I66" s="7"/>
      <c r="J66" s="164">
        <f>C66*Results!$D$9</f>
        <v>4455.1301992919998</v>
      </c>
      <c r="K66" s="164">
        <f>D66*Results!$E$9</f>
        <v>3984.5772598559997</v>
      </c>
      <c r="L66" s="164">
        <f>E66*Results!$F$9</f>
        <v>3506.9985245399998</v>
      </c>
      <c r="M66" s="164">
        <f>F66*Results!$G$9</f>
        <v>3022.7631726960003</v>
      </c>
      <c r="N66" s="164">
        <f>G66*Results!$H$9</f>
        <v>2532.2544165299996</v>
      </c>
      <c r="O66" s="7"/>
      <c r="P66" s="176" t="str">
        <f t="shared" si="5"/>
        <v>Sim</v>
      </c>
      <c r="Q66" s="7"/>
      <c r="R66" s="7"/>
    </row>
    <row r="67" spans="1:18" s="180" customFormat="1">
      <c r="A67" s="413"/>
      <c r="B67" s="11" t="str">
        <f>IF(comparador2=0,"Do not fill this line",comparador2)</f>
        <v>Do not fill this line</v>
      </c>
      <c r="C67" s="385"/>
      <c r="D67" s="385"/>
      <c r="E67" s="385"/>
      <c r="F67" s="385"/>
      <c r="G67" s="385"/>
      <c r="H67" s="177"/>
      <c r="I67" s="7"/>
      <c r="J67" s="164">
        <f>C67*Results!$D$9</f>
        <v>0</v>
      </c>
      <c r="K67" s="164">
        <f>D67*Results!$E$9</f>
        <v>0</v>
      </c>
      <c r="L67" s="164">
        <f>E67*Results!$F$9</f>
        <v>0</v>
      </c>
      <c r="M67" s="164">
        <f>F67*Results!$G$9</f>
        <v>0</v>
      </c>
      <c r="N67" s="164">
        <f>G67*Results!$H$9</f>
        <v>0</v>
      </c>
      <c r="O67" s="7"/>
      <c r="P67" s="176" t="str">
        <f t="shared" si="5"/>
        <v>Não</v>
      </c>
      <c r="Q67" s="7"/>
      <c r="R67" s="7"/>
    </row>
    <row r="68" spans="1:18">
      <c r="A68" s="413"/>
      <c r="B68" s="11" t="str">
        <f>IF(comparador3=0,"Do not fill this line",comparador3)</f>
        <v>Do not fill this line</v>
      </c>
      <c r="C68" s="385"/>
      <c r="D68" s="385"/>
      <c r="E68" s="385"/>
      <c r="F68" s="385"/>
      <c r="G68" s="385"/>
      <c r="H68" s="173"/>
      <c r="I68" s="9"/>
      <c r="J68" s="164">
        <f>C68*Results!$D$9</f>
        <v>0</v>
      </c>
      <c r="K68" s="164">
        <f>D68*Results!$E$9</f>
        <v>0</v>
      </c>
      <c r="L68" s="164">
        <f>E68*Results!$F$9</f>
        <v>0</v>
      </c>
      <c r="M68" s="164">
        <f>F68*Results!$G$9</f>
        <v>0</v>
      </c>
      <c r="N68" s="164">
        <f>G68*Results!$H$9</f>
        <v>0</v>
      </c>
      <c r="O68" s="9"/>
      <c r="P68" s="176" t="str">
        <f t="shared" si="5"/>
        <v>Não</v>
      </c>
      <c r="Q68" s="9"/>
      <c r="R68" s="9"/>
    </row>
    <row r="69" spans="1:18">
      <c r="A69" s="413"/>
      <c r="B69" s="11" t="str">
        <f>IF(comparador4=0,"Do not fill this line",comparador4)</f>
        <v>Do not fill this line</v>
      </c>
      <c r="C69" s="385"/>
      <c r="D69" s="385"/>
      <c r="E69" s="385"/>
      <c r="F69" s="385"/>
      <c r="G69" s="385"/>
      <c r="H69" s="173"/>
      <c r="I69" s="9"/>
      <c r="J69" s="164">
        <f>C69*Results!$D$9</f>
        <v>0</v>
      </c>
      <c r="K69" s="164">
        <f>D69*Results!$E$9</f>
        <v>0</v>
      </c>
      <c r="L69" s="164">
        <f>E69*Results!$F$9</f>
        <v>0</v>
      </c>
      <c r="M69" s="164">
        <f>F69*Results!$G$9</f>
        <v>0</v>
      </c>
      <c r="N69" s="164">
        <f>G69*Results!$H$9</f>
        <v>0</v>
      </c>
      <c r="O69" s="9"/>
      <c r="P69" s="176" t="str">
        <f t="shared" si="5"/>
        <v>Não</v>
      </c>
      <c r="Q69" s="9"/>
      <c r="R69" s="9"/>
    </row>
    <row r="70" spans="1:18">
      <c r="A70" s="413"/>
      <c r="B70" s="11" t="str">
        <f>IF(comparador5=0,"Do not fill this line",comparador5)</f>
        <v>Do not fill this line</v>
      </c>
      <c r="C70" s="385"/>
      <c r="D70" s="385"/>
      <c r="E70" s="385"/>
      <c r="F70" s="385"/>
      <c r="G70" s="385"/>
      <c r="H70" s="173"/>
      <c r="I70" s="9"/>
      <c r="J70" s="164">
        <f>C70*Results!$D$9</f>
        <v>0</v>
      </c>
      <c r="K70" s="164">
        <f>D70*Results!$E$9</f>
        <v>0</v>
      </c>
      <c r="L70" s="164">
        <f>E70*Results!$F$9</f>
        <v>0</v>
      </c>
      <c r="M70" s="164">
        <f>F70*Results!$G$9</f>
        <v>0</v>
      </c>
      <c r="N70" s="164">
        <f>G70*Results!$H$9</f>
        <v>0</v>
      </c>
      <c r="O70" s="9"/>
      <c r="P70" s="176" t="str">
        <f t="shared" si="5"/>
        <v>Não</v>
      </c>
      <c r="Q70" s="9"/>
      <c r="R70" s="9"/>
    </row>
    <row r="71" spans="1:18">
      <c r="A71" s="413"/>
      <c r="B71" s="11" t="str">
        <f>IF(comparador6=0,"Do not fill this line",comparador6)</f>
        <v>Do not fill this line</v>
      </c>
      <c r="C71" s="385"/>
      <c r="D71" s="385"/>
      <c r="E71" s="385"/>
      <c r="F71" s="385"/>
      <c r="G71" s="385"/>
      <c r="H71" s="173"/>
      <c r="I71" s="9"/>
      <c r="J71" s="164">
        <f>C71*Results!$D$9</f>
        <v>0</v>
      </c>
      <c r="K71" s="164">
        <f>D71*Results!$E$9</f>
        <v>0</v>
      </c>
      <c r="L71" s="164">
        <f>E71*Results!$F$9</f>
        <v>0</v>
      </c>
      <c r="M71" s="164">
        <f>F71*Results!$G$9</f>
        <v>0</v>
      </c>
      <c r="N71" s="164">
        <f>G71*Results!$H$9</f>
        <v>0</v>
      </c>
      <c r="O71" s="9"/>
      <c r="P71" s="176" t="str">
        <f t="shared" si="5"/>
        <v>Não</v>
      </c>
      <c r="Q71" s="9"/>
      <c r="R71" s="9"/>
    </row>
    <row r="72" spans="1:18">
      <c r="A72" s="413"/>
      <c r="B72" s="11" t="str">
        <f>IF(comparador7=0,"Do not fill this line",comparador7)</f>
        <v>Do not fill this line</v>
      </c>
      <c r="C72" s="385"/>
      <c r="D72" s="385"/>
      <c r="E72" s="385"/>
      <c r="F72" s="385"/>
      <c r="G72" s="385"/>
      <c r="H72" s="173"/>
      <c r="I72" s="9"/>
      <c r="J72" s="164">
        <f>C72*Results!$D$9</f>
        <v>0</v>
      </c>
      <c r="K72" s="164">
        <f>D72*Results!$E$9</f>
        <v>0</v>
      </c>
      <c r="L72" s="164">
        <f>E72*Results!$F$9</f>
        <v>0</v>
      </c>
      <c r="M72" s="164">
        <f>F72*Results!$G$9</f>
        <v>0</v>
      </c>
      <c r="N72" s="164">
        <f>G72*Results!$H$9</f>
        <v>0</v>
      </c>
      <c r="O72" s="9"/>
      <c r="P72" s="176" t="str">
        <f t="shared" si="5"/>
        <v>Não</v>
      </c>
      <c r="Q72" s="9"/>
      <c r="R72" s="9"/>
    </row>
    <row r="73" spans="1:18">
      <c r="A73" s="413"/>
      <c r="B73" s="11" t="str">
        <f>IF(comparador8=0,"Do not fill this line",comparador8)</f>
        <v>Do not fill this line</v>
      </c>
      <c r="C73" s="385"/>
      <c r="D73" s="385"/>
      <c r="E73" s="385"/>
      <c r="F73" s="385"/>
      <c r="G73" s="385"/>
      <c r="H73" s="173"/>
      <c r="I73" s="9"/>
      <c r="J73" s="164">
        <f>C73*Results!$D$9</f>
        <v>0</v>
      </c>
      <c r="K73" s="164">
        <f>D73*Results!$E$9</f>
        <v>0</v>
      </c>
      <c r="L73" s="164">
        <f>E73*Results!$F$9</f>
        <v>0</v>
      </c>
      <c r="M73" s="164">
        <f>F73*Results!$G$9</f>
        <v>0</v>
      </c>
      <c r="N73" s="164">
        <f>G73*Results!$H$9</f>
        <v>0</v>
      </c>
      <c r="O73" s="9"/>
      <c r="P73" s="176" t="str">
        <f t="shared" si="5"/>
        <v>Não</v>
      </c>
      <c r="Q73" s="9"/>
      <c r="R73" s="9"/>
    </row>
    <row r="74" spans="1:18">
      <c r="A74" s="413"/>
      <c r="B74" s="11" t="str">
        <f>IF(comparador9=0,"Do not fill this line",comparador9)</f>
        <v>Do not fill this line</v>
      </c>
      <c r="C74" s="385"/>
      <c r="D74" s="385"/>
      <c r="E74" s="385"/>
      <c r="F74" s="385"/>
      <c r="G74" s="385"/>
      <c r="H74" s="173"/>
      <c r="I74" s="9"/>
      <c r="J74" s="164">
        <f>C74*Results!$D$9</f>
        <v>0</v>
      </c>
      <c r="K74" s="164">
        <f>D74*Results!$E$9</f>
        <v>0</v>
      </c>
      <c r="L74" s="164">
        <f>E74*Results!$F$9</f>
        <v>0</v>
      </c>
      <c r="M74" s="164">
        <f>F74*Results!$G$9</f>
        <v>0</v>
      </c>
      <c r="N74" s="164">
        <f>G74*Results!$H$9</f>
        <v>0</v>
      </c>
      <c r="O74" s="9"/>
      <c r="P74" s="176" t="str">
        <f t="shared" si="5"/>
        <v>Não</v>
      </c>
      <c r="Q74" s="9"/>
      <c r="R74" s="9"/>
    </row>
    <row r="75" spans="1:18">
      <c r="A75" s="413"/>
      <c r="B75" s="11" t="str">
        <f>IF(comparador10=0,"Do not fill this line",comparador10)</f>
        <v>Do not fill this line</v>
      </c>
      <c r="C75" s="50"/>
      <c r="D75" s="50"/>
      <c r="E75" s="50"/>
      <c r="F75" s="50"/>
      <c r="G75" s="50"/>
      <c r="H75" s="173"/>
      <c r="I75" s="9"/>
      <c r="J75" s="164">
        <f>C75*Results!$D$9</f>
        <v>0</v>
      </c>
      <c r="K75" s="164">
        <f>D75*Results!$E$9</f>
        <v>0</v>
      </c>
      <c r="L75" s="164">
        <f>E75*Results!$F$9</f>
        <v>0</v>
      </c>
      <c r="M75" s="164">
        <f>F75*Results!$G$9</f>
        <v>0</v>
      </c>
      <c r="N75" s="164">
        <f>G75*Results!$H$9</f>
        <v>0</v>
      </c>
      <c r="O75" s="9"/>
      <c r="P75" s="176" t="str">
        <f t="shared" si="5"/>
        <v>Não</v>
      </c>
      <c r="Q75" s="9"/>
      <c r="R75" s="9"/>
    </row>
    <row r="76" spans="1:18">
      <c r="A76" s="9"/>
      <c r="B76" s="9"/>
      <c r="C76" s="178">
        <f>SUM(C62:C75)</f>
        <v>1</v>
      </c>
      <c r="D76" s="178">
        <f t="shared" ref="D76:G76" si="7">SUM(D62:D75)</f>
        <v>1</v>
      </c>
      <c r="E76" s="178">
        <f t="shared" si="7"/>
        <v>1</v>
      </c>
      <c r="F76" s="178">
        <f t="shared" si="7"/>
        <v>1</v>
      </c>
      <c r="G76" s="178">
        <f t="shared" si="7"/>
        <v>1</v>
      </c>
      <c r="H76" s="173"/>
      <c r="I76" s="9"/>
      <c r="J76" s="9"/>
      <c r="K76" s="9"/>
      <c r="L76" s="9"/>
      <c r="M76" s="9"/>
      <c r="N76" s="9"/>
      <c r="O76" s="9"/>
      <c r="P76" s="176" t="str">
        <f t="shared" si="5"/>
        <v>Sim</v>
      </c>
      <c r="Q76" s="9"/>
      <c r="R76" s="9"/>
    </row>
    <row r="77" spans="1:18">
      <c r="A77" s="9"/>
      <c r="B77" s="9"/>
      <c r="C77" s="179" t="str">
        <f>IF(C76=1,"ok","check")</f>
        <v>ok</v>
      </c>
      <c r="D77" s="179" t="str">
        <f>IF(D76=1,"ok","check")</f>
        <v>ok</v>
      </c>
      <c r="E77" s="179" t="str">
        <f>IF(E76=1,"ok","check")</f>
        <v>ok</v>
      </c>
      <c r="F77" s="179" t="str">
        <f>IF(F76=1,"ok","check")</f>
        <v>ok</v>
      </c>
      <c r="G77" s="179" t="str">
        <f>IF(G76=1,"ok","check")</f>
        <v>ok</v>
      </c>
      <c r="H77" s="173" t="s">
        <v>94</v>
      </c>
      <c r="I77" s="9"/>
      <c r="J77" s="9"/>
      <c r="K77" s="9"/>
      <c r="L77" s="9"/>
      <c r="M77" s="9"/>
      <c r="N77" s="9"/>
      <c r="O77" s="9"/>
      <c r="P77" s="176"/>
      <c r="Q77" s="9"/>
      <c r="R77" s="9"/>
    </row>
    <row r="78" spans="1:18" ht="15.6">
      <c r="A78" s="9"/>
      <c r="B78" s="9"/>
      <c r="C78" s="9"/>
      <c r="D78" s="9"/>
      <c r="E78" s="9"/>
      <c r="F78" s="9"/>
      <c r="G78" s="9"/>
      <c r="H78" s="173"/>
      <c r="I78" s="9"/>
      <c r="J78" s="165" t="s">
        <v>3</v>
      </c>
      <c r="K78" s="9"/>
      <c r="L78" s="9"/>
      <c r="M78" s="9"/>
      <c r="N78" s="9"/>
      <c r="O78" s="9"/>
      <c r="P78" s="176" t="str">
        <f t="shared" ref="P78:P96" si="8">IF(B78="Do not fill this line","Não","Sim")</f>
        <v>Sim</v>
      </c>
      <c r="Q78" s="9"/>
      <c r="R78" s="9"/>
    </row>
    <row r="79" spans="1:18" s="166" customFormat="1" ht="18">
      <c r="B79" s="167" t="s">
        <v>90</v>
      </c>
      <c r="C79" s="168">
        <f>cen_prop3</f>
        <v>0</v>
      </c>
      <c r="D79" s="168"/>
      <c r="E79" s="168"/>
      <c r="F79" s="168"/>
      <c r="G79" s="168"/>
      <c r="H79" s="170"/>
      <c r="J79" s="171">
        <f>cen_prop3</f>
        <v>0</v>
      </c>
      <c r="K79" s="9"/>
      <c r="L79" s="9"/>
      <c r="M79" s="9"/>
      <c r="N79" s="9"/>
      <c r="O79" s="9"/>
      <c r="P79" s="176" t="str">
        <f t="shared" si="8"/>
        <v>Sim</v>
      </c>
      <c r="Q79" s="9"/>
      <c r="R79" s="9"/>
    </row>
    <row r="80" spans="1:18" ht="15.6">
      <c r="A80" s="9"/>
      <c r="B80" s="181"/>
      <c r="C80" s="181"/>
      <c r="D80" s="9"/>
      <c r="E80" s="9"/>
      <c r="F80" s="9"/>
      <c r="G80" s="9"/>
      <c r="H80" s="173"/>
      <c r="I80" s="9"/>
      <c r="J80" s="9"/>
      <c r="K80" s="9"/>
      <c r="L80" s="9"/>
      <c r="M80" s="9"/>
      <c r="N80" s="9"/>
      <c r="O80" s="9"/>
      <c r="P80" s="176" t="str">
        <f t="shared" si="8"/>
        <v>Sim</v>
      </c>
      <c r="Q80" s="9"/>
      <c r="R80" s="9"/>
    </row>
    <row r="81" spans="1:16">
      <c r="A81" s="9"/>
      <c r="B81" s="174" t="s">
        <v>81</v>
      </c>
      <c r="C81" s="174">
        <f>ano_1</f>
        <v>2024</v>
      </c>
      <c r="D81" s="174">
        <f>ano_1+1</f>
        <v>2025</v>
      </c>
      <c r="E81" s="174">
        <f>ano_1+2</f>
        <v>2026</v>
      </c>
      <c r="F81" s="174">
        <f>ano_1+3</f>
        <v>2027</v>
      </c>
      <c r="G81" s="174">
        <f>ano_1+4</f>
        <v>2028</v>
      </c>
      <c r="H81" s="173" t="s">
        <v>93</v>
      </c>
      <c r="I81" s="9"/>
      <c r="J81" s="174">
        <f>ano_1</f>
        <v>2024</v>
      </c>
      <c r="K81" s="174">
        <f>ano_1+1</f>
        <v>2025</v>
      </c>
      <c r="L81" s="174">
        <f>ano_1+2</f>
        <v>2026</v>
      </c>
      <c r="M81" s="174">
        <f>ano_1+3</f>
        <v>2027</v>
      </c>
      <c r="N81" s="174">
        <f>ano_1+4</f>
        <v>2028</v>
      </c>
      <c r="O81" s="9"/>
      <c r="P81" s="176" t="str">
        <f t="shared" si="8"/>
        <v>Sim</v>
      </c>
    </row>
    <row r="82" spans="1:16">
      <c r="A82" s="412" t="s">
        <v>91</v>
      </c>
      <c r="B82" s="175" t="str">
        <f>IF(intervencao1=0,"Do not fill this line",intervencao1)</f>
        <v>PET-CT</v>
      </c>
      <c r="C82" s="50"/>
      <c r="D82" s="50"/>
      <c r="E82" s="50"/>
      <c r="F82" s="50"/>
      <c r="G82" s="50"/>
      <c r="H82" s="173"/>
      <c r="I82" s="9"/>
      <c r="J82" s="164">
        <f>C82*Results!$D$9</f>
        <v>0</v>
      </c>
      <c r="K82" s="164">
        <f>D82*Results!$E$9</f>
        <v>0</v>
      </c>
      <c r="L82" s="164">
        <f>E82*Results!$F$9</f>
        <v>0</v>
      </c>
      <c r="M82" s="164">
        <f>F82*Results!$G$9</f>
        <v>0</v>
      </c>
      <c r="N82" s="164">
        <f>G82*Results!$H$9</f>
        <v>0</v>
      </c>
      <c r="O82" s="9"/>
      <c r="P82" s="176" t="str">
        <f t="shared" si="8"/>
        <v>Sim</v>
      </c>
    </row>
    <row r="83" spans="1:16">
      <c r="A83" s="412"/>
      <c r="B83" s="175" t="str">
        <f>IF(intervencao2=0,"Do not fill this line",intervencao2)</f>
        <v>Do not fill this line</v>
      </c>
      <c r="C83" s="50"/>
      <c r="D83" s="50"/>
      <c r="E83" s="50"/>
      <c r="F83" s="50"/>
      <c r="G83" s="50"/>
      <c r="H83" s="173"/>
      <c r="I83" s="9"/>
      <c r="J83" s="164">
        <f>C83*Results!$D$9</f>
        <v>0</v>
      </c>
      <c r="K83" s="164">
        <f>D83*Results!$E$9</f>
        <v>0</v>
      </c>
      <c r="L83" s="164">
        <f>E83*Results!$F$9</f>
        <v>0</v>
      </c>
      <c r="M83" s="164">
        <f>F83*Results!$G$9</f>
        <v>0</v>
      </c>
      <c r="N83" s="164">
        <f>G83*Results!$H$9</f>
        <v>0</v>
      </c>
      <c r="O83" s="9"/>
      <c r="P83" s="176" t="str">
        <f t="shared" si="8"/>
        <v>Não</v>
      </c>
    </row>
    <row r="84" spans="1:16">
      <c r="A84" s="412"/>
      <c r="B84" s="175" t="str">
        <f>IF(intervencao3=0,"Do not fill this line",intervencao3)</f>
        <v>Do not fill this line</v>
      </c>
      <c r="C84" s="50"/>
      <c r="D84" s="50"/>
      <c r="E84" s="50"/>
      <c r="F84" s="50"/>
      <c r="G84" s="50"/>
      <c r="H84" s="173"/>
      <c r="I84" s="9"/>
      <c r="J84" s="164">
        <f>C84*Results!$D$9</f>
        <v>0</v>
      </c>
      <c r="K84" s="164">
        <f>D84*Results!$E$9</f>
        <v>0</v>
      </c>
      <c r="L84" s="164">
        <f>E84*Results!$F$9</f>
        <v>0</v>
      </c>
      <c r="M84" s="164">
        <f>F84*Results!$G$9</f>
        <v>0</v>
      </c>
      <c r="N84" s="164">
        <f>G84*Results!$H$9</f>
        <v>0</v>
      </c>
      <c r="O84" s="9"/>
      <c r="P84" s="176" t="str">
        <f t="shared" si="8"/>
        <v>Não</v>
      </c>
    </row>
    <row r="85" spans="1:16">
      <c r="A85" s="412"/>
      <c r="B85" s="175" t="str">
        <f>IF(intervencao4=0,"Do not fill this line",intervencao4)</f>
        <v>Do not fill this line</v>
      </c>
      <c r="C85" s="50"/>
      <c r="D85" s="50"/>
      <c r="E85" s="50"/>
      <c r="F85" s="50"/>
      <c r="G85" s="50"/>
      <c r="H85" s="173"/>
      <c r="I85" s="9"/>
      <c r="J85" s="164">
        <f>C85*Results!$D$9</f>
        <v>0</v>
      </c>
      <c r="K85" s="164">
        <f>D85*Results!$E$9</f>
        <v>0</v>
      </c>
      <c r="L85" s="164">
        <f>E85*Results!$F$9</f>
        <v>0</v>
      </c>
      <c r="M85" s="164">
        <f>F85*Results!$G$9</f>
        <v>0</v>
      </c>
      <c r="N85" s="164">
        <f>G85*Results!$H$9</f>
        <v>0</v>
      </c>
      <c r="O85" s="9"/>
      <c r="P85" s="176" t="str">
        <f t="shared" si="8"/>
        <v>Não</v>
      </c>
    </row>
    <row r="86" spans="1:16" s="180" customFormat="1">
      <c r="A86" s="413" t="s">
        <v>92</v>
      </c>
      <c r="B86" s="11" t="str">
        <f>IF(comparador1=0,"Do not fill this line",comparador1)</f>
        <v>CT scan + scintigraphy</v>
      </c>
      <c r="C86" s="50"/>
      <c r="D86" s="50"/>
      <c r="E86" s="50"/>
      <c r="F86" s="50"/>
      <c r="G86" s="50"/>
      <c r="H86" s="173"/>
      <c r="I86" s="7"/>
      <c r="J86" s="164">
        <f>C86*Results!$D$9</f>
        <v>0</v>
      </c>
      <c r="K86" s="164">
        <f>D86*Results!$E$9</f>
        <v>0</v>
      </c>
      <c r="L86" s="164">
        <f>E86*Results!$F$9</f>
        <v>0</v>
      </c>
      <c r="M86" s="164">
        <f>F86*Results!$G$9</f>
        <v>0</v>
      </c>
      <c r="N86" s="164">
        <f>G86*Results!$H$9</f>
        <v>0</v>
      </c>
      <c r="O86" s="7"/>
      <c r="P86" s="176" t="str">
        <f t="shared" si="8"/>
        <v>Sim</v>
      </c>
    </row>
    <row r="87" spans="1:16" s="180" customFormat="1">
      <c r="A87" s="413"/>
      <c r="B87" s="11" t="str">
        <f>IF(comparador2=0,"Do not fill this line",comparador2)</f>
        <v>Do not fill this line</v>
      </c>
      <c r="C87" s="50"/>
      <c r="D87" s="50"/>
      <c r="E87" s="50"/>
      <c r="F87" s="50"/>
      <c r="G87" s="50"/>
      <c r="H87" s="177"/>
      <c r="I87" s="7"/>
      <c r="J87" s="164">
        <f>C87*Results!$D$9</f>
        <v>0</v>
      </c>
      <c r="K87" s="164">
        <f>D87*Results!$E$9</f>
        <v>0</v>
      </c>
      <c r="L87" s="164">
        <f>E87*Results!$F$9</f>
        <v>0</v>
      </c>
      <c r="M87" s="164">
        <f>F87*Results!$G$9</f>
        <v>0</v>
      </c>
      <c r="N87" s="164">
        <f>G87*Results!$H$9</f>
        <v>0</v>
      </c>
      <c r="O87" s="7"/>
      <c r="P87" s="176" t="str">
        <f t="shared" si="8"/>
        <v>Não</v>
      </c>
    </row>
    <row r="88" spans="1:16">
      <c r="A88" s="413"/>
      <c r="B88" s="11" t="str">
        <f>IF(comparador3=0,"Do not fill this line",comparador3)</f>
        <v>Do not fill this line</v>
      </c>
      <c r="C88" s="50"/>
      <c r="D88" s="50"/>
      <c r="E88" s="50"/>
      <c r="F88" s="50"/>
      <c r="G88" s="50"/>
      <c r="H88" s="173"/>
      <c r="I88" s="9"/>
      <c r="J88" s="164">
        <f>C88*Results!$D$9</f>
        <v>0</v>
      </c>
      <c r="K88" s="164">
        <f>D88*Results!$E$9</f>
        <v>0</v>
      </c>
      <c r="L88" s="164">
        <f>E88*Results!$F$9</f>
        <v>0</v>
      </c>
      <c r="M88" s="164">
        <f>F88*Results!$G$9</f>
        <v>0</v>
      </c>
      <c r="N88" s="164">
        <f>G88*Results!$H$9</f>
        <v>0</v>
      </c>
      <c r="O88" s="9"/>
      <c r="P88" s="176" t="str">
        <f t="shared" si="8"/>
        <v>Não</v>
      </c>
    </row>
    <row r="89" spans="1:16">
      <c r="A89" s="413"/>
      <c r="B89" s="11" t="str">
        <f>IF(comparador4=0,"Do not fill this line",comparador4)</f>
        <v>Do not fill this line</v>
      </c>
      <c r="C89" s="50"/>
      <c r="D89" s="50"/>
      <c r="E89" s="50"/>
      <c r="F89" s="50"/>
      <c r="G89" s="50"/>
      <c r="H89" s="173"/>
      <c r="I89" s="9"/>
      <c r="J89" s="164">
        <f>C89*Results!$D$9</f>
        <v>0</v>
      </c>
      <c r="K89" s="164">
        <f>D89*Results!$E$9</f>
        <v>0</v>
      </c>
      <c r="L89" s="164">
        <f>E89*Results!$F$9</f>
        <v>0</v>
      </c>
      <c r="M89" s="164">
        <f>F89*Results!$G$9</f>
        <v>0</v>
      </c>
      <c r="N89" s="164">
        <f>G89*Results!$H$9</f>
        <v>0</v>
      </c>
      <c r="O89" s="9"/>
      <c r="P89" s="176" t="str">
        <f t="shared" si="8"/>
        <v>Não</v>
      </c>
    </row>
    <row r="90" spans="1:16">
      <c r="A90" s="413"/>
      <c r="B90" s="11" t="str">
        <f>IF(comparador5=0,"Do not fill this line",comparador5)</f>
        <v>Do not fill this line</v>
      </c>
      <c r="C90" s="50"/>
      <c r="D90" s="50"/>
      <c r="E90" s="50"/>
      <c r="F90" s="50"/>
      <c r="G90" s="50"/>
      <c r="H90" s="173"/>
      <c r="I90" s="9"/>
      <c r="J90" s="164">
        <f>C90*Results!$D$9</f>
        <v>0</v>
      </c>
      <c r="K90" s="164">
        <f>D90*Results!$E$9</f>
        <v>0</v>
      </c>
      <c r="L90" s="164">
        <f>E90*Results!$F$9</f>
        <v>0</v>
      </c>
      <c r="M90" s="164">
        <f>F90*Results!$G$9</f>
        <v>0</v>
      </c>
      <c r="N90" s="164">
        <f>G90*Results!$H$9</f>
        <v>0</v>
      </c>
      <c r="O90" s="9"/>
      <c r="P90" s="176" t="str">
        <f t="shared" si="8"/>
        <v>Não</v>
      </c>
    </row>
    <row r="91" spans="1:16">
      <c r="A91" s="413"/>
      <c r="B91" s="11" t="str">
        <f>IF(comparador6=0,"Do not fill this line",comparador6)</f>
        <v>Do not fill this line</v>
      </c>
      <c r="C91" s="50"/>
      <c r="D91" s="50"/>
      <c r="E91" s="50"/>
      <c r="F91" s="50"/>
      <c r="G91" s="50"/>
      <c r="H91" s="173"/>
      <c r="I91" s="9"/>
      <c r="J91" s="164">
        <f>C91*Results!$D$9</f>
        <v>0</v>
      </c>
      <c r="K91" s="164">
        <f>D91*Results!$E$9</f>
        <v>0</v>
      </c>
      <c r="L91" s="164">
        <f>E91*Results!$F$9</f>
        <v>0</v>
      </c>
      <c r="M91" s="164">
        <f>F91*Results!$G$9</f>
        <v>0</v>
      </c>
      <c r="N91" s="164">
        <f>G91*Results!$H$9</f>
        <v>0</v>
      </c>
      <c r="O91" s="9"/>
      <c r="P91" s="176" t="str">
        <f t="shared" si="8"/>
        <v>Não</v>
      </c>
    </row>
    <row r="92" spans="1:16">
      <c r="A92" s="413"/>
      <c r="B92" s="11" t="str">
        <f>IF(comparador7=0,"Do not fill this line",comparador7)</f>
        <v>Do not fill this line</v>
      </c>
      <c r="C92" s="50"/>
      <c r="D92" s="50"/>
      <c r="E92" s="50"/>
      <c r="F92" s="50"/>
      <c r="G92" s="50"/>
      <c r="H92" s="173"/>
      <c r="I92" s="9"/>
      <c r="J92" s="164">
        <f>C92*Results!$D$9</f>
        <v>0</v>
      </c>
      <c r="K92" s="164">
        <f>D92*Results!$E$9</f>
        <v>0</v>
      </c>
      <c r="L92" s="164">
        <f>E92*Results!$F$9</f>
        <v>0</v>
      </c>
      <c r="M92" s="164">
        <f>F92*Results!$G$9</f>
        <v>0</v>
      </c>
      <c r="N92" s="164">
        <f>G92*Results!$H$9</f>
        <v>0</v>
      </c>
      <c r="O92" s="9"/>
      <c r="P92" s="176" t="str">
        <f t="shared" si="8"/>
        <v>Não</v>
      </c>
    </row>
    <row r="93" spans="1:16">
      <c r="A93" s="413"/>
      <c r="B93" s="11" t="str">
        <f>IF(comparador8=0,"Do not fill this line",comparador8)</f>
        <v>Do not fill this line</v>
      </c>
      <c r="C93" s="50"/>
      <c r="D93" s="50"/>
      <c r="E93" s="50"/>
      <c r="F93" s="50"/>
      <c r="G93" s="50"/>
      <c r="H93" s="173"/>
      <c r="I93" s="9"/>
      <c r="J93" s="164">
        <f>C93*Results!$D$9</f>
        <v>0</v>
      </c>
      <c r="K93" s="164">
        <f>D93*Results!$E$9</f>
        <v>0</v>
      </c>
      <c r="L93" s="164">
        <f>E93*Results!$F$9</f>
        <v>0</v>
      </c>
      <c r="M93" s="164">
        <f>F93*Results!$G$9</f>
        <v>0</v>
      </c>
      <c r="N93" s="164">
        <f>G93*Results!$H$9</f>
        <v>0</v>
      </c>
      <c r="O93" s="9"/>
      <c r="P93" s="176" t="str">
        <f t="shared" si="8"/>
        <v>Não</v>
      </c>
    </row>
    <row r="94" spans="1:16">
      <c r="A94" s="413"/>
      <c r="B94" s="11" t="str">
        <f>IF(comparador9=0,"Do not fill this line",comparador9)</f>
        <v>Do not fill this line</v>
      </c>
      <c r="C94" s="50"/>
      <c r="D94" s="50"/>
      <c r="E94" s="50"/>
      <c r="F94" s="50"/>
      <c r="G94" s="50"/>
      <c r="H94" s="173"/>
      <c r="I94" s="9"/>
      <c r="J94" s="164">
        <f>C94*Results!$D$9</f>
        <v>0</v>
      </c>
      <c r="K94" s="164">
        <f>D94*Results!$E$9</f>
        <v>0</v>
      </c>
      <c r="L94" s="164">
        <f>E94*Results!$F$9</f>
        <v>0</v>
      </c>
      <c r="M94" s="164">
        <f>F94*Results!$G$9</f>
        <v>0</v>
      </c>
      <c r="N94" s="164">
        <f>G94*Results!$H$9</f>
        <v>0</v>
      </c>
      <c r="O94" s="9"/>
      <c r="P94" s="176" t="str">
        <f t="shared" si="8"/>
        <v>Não</v>
      </c>
    </row>
    <row r="95" spans="1:16">
      <c r="A95" s="413"/>
      <c r="B95" s="11" t="str">
        <f>IF(comparador10=0,"Do not fill this line",comparador10)</f>
        <v>Do not fill this line</v>
      </c>
      <c r="C95" s="50"/>
      <c r="D95" s="50"/>
      <c r="E95" s="50"/>
      <c r="F95" s="50"/>
      <c r="G95" s="50"/>
      <c r="H95" s="173"/>
      <c r="I95" s="9"/>
      <c r="J95" s="164">
        <f>C95*Results!$D$9</f>
        <v>0</v>
      </c>
      <c r="K95" s="164">
        <f>D95*Results!$E$9</f>
        <v>0</v>
      </c>
      <c r="L95" s="164">
        <f>E95*Results!$F$9</f>
        <v>0</v>
      </c>
      <c r="M95" s="164">
        <f>F95*Results!$G$9</f>
        <v>0</v>
      </c>
      <c r="N95" s="164">
        <f>G95*Results!$H$9</f>
        <v>0</v>
      </c>
      <c r="O95" s="9"/>
      <c r="P95" s="176" t="str">
        <f t="shared" si="8"/>
        <v>Não</v>
      </c>
    </row>
    <row r="96" spans="1:16">
      <c r="A96" s="9"/>
      <c r="B96" s="9"/>
      <c r="C96" s="178">
        <f>SUM(C82:C95)</f>
        <v>0</v>
      </c>
      <c r="D96" s="178">
        <f t="shared" ref="D96:G96" si="9">SUM(D82:D95)</f>
        <v>0</v>
      </c>
      <c r="E96" s="178">
        <f t="shared" si="9"/>
        <v>0</v>
      </c>
      <c r="F96" s="178">
        <f t="shared" si="9"/>
        <v>0</v>
      </c>
      <c r="G96" s="178">
        <f t="shared" si="9"/>
        <v>0</v>
      </c>
      <c r="H96" s="173"/>
      <c r="I96" s="9"/>
      <c r="J96" s="9"/>
      <c r="K96" s="9"/>
      <c r="L96" s="9"/>
      <c r="M96" s="9"/>
      <c r="N96" s="9"/>
      <c r="O96" s="9"/>
      <c r="P96" s="176" t="str">
        <f t="shared" si="8"/>
        <v>Sim</v>
      </c>
    </row>
    <row r="97" spans="2:26">
      <c r="C97" s="179" t="str">
        <f>IF(C96=1,"ok","check")</f>
        <v>check</v>
      </c>
      <c r="D97" s="179" t="str">
        <f>IF(D96=1,"ok","check")</f>
        <v>check</v>
      </c>
      <c r="E97" s="179" t="str">
        <f>IF(E96=1,"ok","check")</f>
        <v>check</v>
      </c>
      <c r="F97" s="179" t="str">
        <f>IF(F96=1,"ok","check")</f>
        <v>check</v>
      </c>
      <c r="G97" s="179" t="str">
        <f>IF(G96=1,"ok","check")</f>
        <v>check</v>
      </c>
      <c r="H97" s="173" t="s">
        <v>94</v>
      </c>
      <c r="I97" s="9"/>
      <c r="J97" s="9"/>
      <c r="K97" s="9"/>
      <c r="L97" s="9"/>
      <c r="M97" s="9"/>
      <c r="N97" s="9"/>
      <c r="O97" s="9"/>
      <c r="P97" s="176"/>
    </row>
    <row r="98" spans="2:26">
      <c r="C98" s="9"/>
      <c r="D98" s="9"/>
      <c r="E98" s="9"/>
      <c r="F98" s="9"/>
      <c r="G98" s="9"/>
      <c r="H98" s="173"/>
      <c r="I98" s="9"/>
      <c r="J98" s="9"/>
      <c r="K98" s="9"/>
      <c r="L98" s="9"/>
      <c r="M98" s="9"/>
      <c r="N98" s="9"/>
      <c r="O98" s="9"/>
      <c r="P98" s="176"/>
    </row>
    <row r="99" spans="2:26">
      <c r="C99" s="9"/>
      <c r="D99" s="9"/>
      <c r="E99" s="9"/>
      <c r="F99" s="9"/>
      <c r="G99" s="9"/>
      <c r="H99" s="173"/>
      <c r="I99" s="9"/>
      <c r="J99" s="9"/>
      <c r="K99" s="9"/>
      <c r="L99" s="9"/>
      <c r="M99" s="9"/>
      <c r="N99" s="9"/>
      <c r="O99" s="9"/>
      <c r="P99" s="176"/>
    </row>
    <row r="100" spans="2:26">
      <c r="C100" s="9"/>
      <c r="D100" s="9"/>
      <c r="E100" s="9"/>
      <c r="F100" s="9"/>
      <c r="G100" s="9"/>
      <c r="H100" s="173"/>
      <c r="I100" s="9"/>
      <c r="J100" s="9"/>
      <c r="K100" s="9"/>
      <c r="L100" s="9"/>
      <c r="M100" s="9"/>
      <c r="N100" s="9"/>
      <c r="O100" s="9"/>
      <c r="P100" s="176"/>
    </row>
    <row r="101" spans="2:26">
      <c r="C101" s="9"/>
      <c r="D101" s="9"/>
      <c r="E101" s="9"/>
      <c r="F101" s="9"/>
      <c r="G101" s="9"/>
      <c r="H101" s="173"/>
      <c r="I101" s="9"/>
      <c r="J101" s="9"/>
      <c r="K101" s="9"/>
      <c r="L101" s="9"/>
      <c r="M101" s="9"/>
      <c r="N101" s="9"/>
      <c r="O101" s="9"/>
      <c r="P101" s="176"/>
    </row>
    <row r="102" spans="2:26">
      <c r="C102" s="9"/>
      <c r="D102" s="9"/>
      <c r="E102" s="9"/>
      <c r="F102" s="9"/>
      <c r="G102" s="9"/>
      <c r="H102" s="173"/>
      <c r="I102" s="9"/>
      <c r="J102" s="9"/>
      <c r="K102" s="9"/>
      <c r="L102" s="9"/>
      <c r="M102" s="9"/>
      <c r="N102" s="9"/>
      <c r="O102" s="9"/>
      <c r="P102" s="176"/>
    </row>
    <row r="103" spans="2:26">
      <c r="C103" s="9"/>
      <c r="D103" s="9"/>
      <c r="E103" s="9"/>
      <c r="F103" s="9"/>
      <c r="G103" s="9"/>
      <c r="H103" s="173"/>
      <c r="I103" s="9"/>
      <c r="J103" s="9"/>
      <c r="K103" s="9"/>
      <c r="L103" s="9"/>
      <c r="M103" s="9"/>
      <c r="N103" s="9"/>
      <c r="O103" s="9"/>
      <c r="P103" s="176"/>
    </row>
    <row r="104" spans="2:26">
      <c r="C104" s="9"/>
      <c r="D104" s="9"/>
      <c r="E104" s="9"/>
      <c r="F104" s="9"/>
      <c r="G104" s="9"/>
      <c r="H104" s="173"/>
      <c r="I104" s="9"/>
      <c r="J104" s="9"/>
      <c r="K104" s="9"/>
      <c r="L104" s="9"/>
      <c r="M104" s="9"/>
      <c r="N104" s="9"/>
      <c r="O104" s="9"/>
      <c r="P104" s="176"/>
    </row>
    <row r="105" spans="2:26">
      <c r="C105" s="9"/>
      <c r="D105" s="9"/>
      <c r="E105" s="9"/>
      <c r="F105" s="9"/>
      <c r="G105" s="9"/>
      <c r="H105" s="173"/>
      <c r="I105" s="9"/>
      <c r="J105" s="9"/>
      <c r="K105" s="9"/>
      <c r="L105" s="9"/>
      <c r="M105" s="9"/>
      <c r="N105" s="9"/>
      <c r="O105" s="9"/>
      <c r="P105" s="176"/>
    </row>
    <row r="106" spans="2:26" s="142" customFormat="1">
      <c r="C106" s="7"/>
      <c r="D106" s="7"/>
      <c r="E106" s="7"/>
      <c r="F106" s="7"/>
      <c r="G106" s="7"/>
      <c r="H106" s="7"/>
      <c r="I106" s="7"/>
      <c r="J106" s="7"/>
      <c r="K106" s="7"/>
      <c r="L106" s="7"/>
    </row>
    <row r="107" spans="2:26" s="142" customFormat="1">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spans="2:26" s="142" customFormat="1" ht="15" customHeight="1">
      <c r="B108" s="406" t="s">
        <v>224</v>
      </c>
      <c r="C108" s="406"/>
      <c r="D108" s="406"/>
      <c r="E108" s="406"/>
      <c r="F108" s="406"/>
      <c r="G108" s="406"/>
      <c r="H108" s="406"/>
      <c r="I108" s="406"/>
      <c r="J108" s="406"/>
      <c r="K108" s="406"/>
      <c r="L108" s="406"/>
      <c r="M108" s="406"/>
      <c r="N108" s="406"/>
    </row>
    <row r="109" spans="2:26" s="142" customFormat="1">
      <c r="B109" s="406"/>
      <c r="C109" s="406"/>
      <c r="D109" s="406"/>
      <c r="E109" s="406"/>
      <c r="F109" s="406"/>
      <c r="G109" s="406"/>
      <c r="H109" s="406"/>
      <c r="I109" s="406"/>
      <c r="J109" s="406"/>
      <c r="K109" s="406"/>
      <c r="L109" s="406"/>
      <c r="M109" s="406"/>
      <c r="N109" s="406"/>
    </row>
    <row r="110" spans="2:26" s="1" customFormat="1" ht="85.95" customHeight="1">
      <c r="B110" s="405" t="e" vm="1">
        <v>#VALUE!</v>
      </c>
      <c r="C110" s="405"/>
      <c r="D110" s="405"/>
      <c r="E110" s="405"/>
      <c r="F110" s="405"/>
      <c r="G110" s="405"/>
      <c r="H110" s="405"/>
      <c r="I110" s="405"/>
      <c r="J110" s="405"/>
      <c r="K110" s="405"/>
      <c r="L110" s="405"/>
      <c r="M110" s="405"/>
    </row>
    <row r="111" spans="2:26">
      <c r="C111" s="9"/>
      <c r="D111" s="9"/>
      <c r="E111" s="9"/>
      <c r="F111" s="9"/>
      <c r="G111" s="9"/>
      <c r="H111" s="173"/>
      <c r="I111" s="9"/>
      <c r="J111" s="9"/>
      <c r="K111" s="9"/>
      <c r="L111" s="9"/>
      <c r="M111" s="9"/>
      <c r="N111" s="9"/>
      <c r="O111" s="9"/>
      <c r="P111" s="176"/>
    </row>
    <row r="112" spans="2:26">
      <c r="C112" s="9"/>
      <c r="D112" s="9"/>
      <c r="E112" s="9"/>
      <c r="F112" s="9"/>
      <c r="G112" s="9"/>
      <c r="H112" s="173"/>
      <c r="I112" s="9"/>
      <c r="J112" s="9"/>
      <c r="K112" s="9"/>
      <c r="L112" s="9"/>
      <c r="M112" s="9"/>
      <c r="N112" s="9"/>
      <c r="O112" s="9"/>
      <c r="P112" s="176"/>
    </row>
    <row r="113" spans="8:16">
      <c r="H113" s="173"/>
      <c r="I113" s="9"/>
      <c r="J113" s="9"/>
      <c r="K113" s="9"/>
      <c r="L113" s="9"/>
      <c r="M113" s="9"/>
      <c r="N113" s="9"/>
      <c r="O113" s="9"/>
      <c r="P113" s="176"/>
    </row>
    <row r="114" spans="8:16">
      <c r="H114" s="173"/>
      <c r="I114" s="9"/>
      <c r="J114" s="9"/>
      <c r="K114" s="9"/>
      <c r="L114" s="9"/>
      <c r="M114" s="9"/>
      <c r="N114" s="9"/>
      <c r="O114" s="9"/>
      <c r="P114" s="176"/>
    </row>
    <row r="115" spans="8:16">
      <c r="H115" s="173"/>
      <c r="I115" s="9"/>
      <c r="J115" s="9"/>
      <c r="K115" s="9"/>
      <c r="L115" s="9"/>
      <c r="M115" s="9"/>
      <c r="N115" s="9"/>
      <c r="O115" s="9"/>
      <c r="P115" s="176"/>
    </row>
    <row r="116" spans="8:16">
      <c r="H116" s="173"/>
      <c r="I116" s="9"/>
      <c r="J116" s="9"/>
      <c r="K116" s="9"/>
      <c r="L116" s="9"/>
      <c r="M116" s="9"/>
      <c r="N116" s="9"/>
      <c r="O116" s="9"/>
      <c r="P116" s="176"/>
    </row>
    <row r="117" spans="8:16">
      <c r="H117" s="173"/>
      <c r="I117" s="9"/>
      <c r="J117" s="9"/>
      <c r="K117" s="9"/>
      <c r="L117" s="9"/>
      <c r="M117" s="9"/>
      <c r="N117" s="9"/>
      <c r="O117" s="9"/>
      <c r="P117" s="176"/>
    </row>
    <row r="118" spans="8:16">
      <c r="H118" s="173"/>
      <c r="I118" s="9"/>
      <c r="J118" s="9"/>
      <c r="K118" s="9"/>
      <c r="L118" s="9"/>
      <c r="M118" s="9"/>
      <c r="N118" s="9"/>
      <c r="O118" s="9"/>
      <c r="P118" s="176"/>
    </row>
    <row r="119" spans="8:16">
      <c r="H119" s="173"/>
      <c r="I119" s="9"/>
      <c r="J119" s="9"/>
      <c r="K119" s="9"/>
      <c r="L119" s="9"/>
      <c r="M119" s="9"/>
      <c r="N119" s="9"/>
      <c r="O119" s="9"/>
      <c r="P119" s="176"/>
    </row>
    <row r="120" spans="8:16">
      <c r="H120" s="173"/>
      <c r="I120" s="9"/>
      <c r="J120" s="9"/>
      <c r="K120" s="9"/>
      <c r="L120" s="9"/>
      <c r="M120" s="9"/>
      <c r="N120" s="9"/>
      <c r="O120" s="9"/>
      <c r="P120" s="176"/>
    </row>
    <row r="121" spans="8:16">
      <c r="H121" s="173"/>
      <c r="I121" s="9"/>
      <c r="J121" s="9"/>
      <c r="K121" s="9"/>
      <c r="L121" s="9"/>
      <c r="M121" s="9"/>
      <c r="N121" s="9"/>
      <c r="O121" s="9"/>
      <c r="P121" s="176"/>
    </row>
    <row r="122" spans="8:16">
      <c r="H122" s="173"/>
      <c r="I122" s="9"/>
      <c r="J122" s="9"/>
      <c r="K122" s="9"/>
      <c r="L122" s="9"/>
      <c r="M122" s="9"/>
      <c r="N122" s="9"/>
      <c r="O122" s="9"/>
      <c r="P122" s="176"/>
    </row>
    <row r="123" spans="8:16">
      <c r="H123" s="173"/>
      <c r="I123" s="9"/>
      <c r="J123" s="9"/>
      <c r="K123" s="9"/>
      <c r="L123" s="9"/>
      <c r="M123" s="9"/>
      <c r="N123" s="9"/>
      <c r="O123" s="9"/>
      <c r="P123" s="176"/>
    </row>
    <row r="124" spans="8:16">
      <c r="H124" s="173"/>
      <c r="I124" s="9"/>
      <c r="J124" s="9"/>
      <c r="K124" s="9"/>
      <c r="L124" s="9"/>
      <c r="M124" s="9"/>
      <c r="N124" s="9"/>
      <c r="O124" s="9"/>
      <c r="P124" s="176"/>
    </row>
    <row r="125" spans="8:16">
      <c r="H125" s="173"/>
      <c r="I125" s="9"/>
      <c r="J125" s="9"/>
      <c r="K125" s="9"/>
      <c r="L125" s="9"/>
      <c r="M125" s="9"/>
      <c r="N125" s="9"/>
      <c r="O125" s="9"/>
      <c r="P125" s="176"/>
    </row>
    <row r="126" spans="8:16">
      <c r="H126" s="173"/>
      <c r="I126" s="9"/>
      <c r="J126" s="9"/>
      <c r="K126" s="9"/>
      <c r="L126" s="9"/>
      <c r="M126" s="9"/>
      <c r="N126" s="9"/>
      <c r="O126" s="9"/>
      <c r="P126" s="176"/>
    </row>
    <row r="127" spans="8:16">
      <c r="H127" s="173"/>
      <c r="I127" s="9"/>
      <c r="J127" s="9"/>
      <c r="K127" s="9"/>
      <c r="L127" s="9"/>
      <c r="M127" s="9"/>
      <c r="N127" s="9"/>
      <c r="O127" s="9"/>
      <c r="P127" s="176"/>
    </row>
    <row r="128" spans="8:16">
      <c r="H128" s="173"/>
      <c r="I128" s="9"/>
      <c r="J128" s="9"/>
      <c r="K128" s="9"/>
      <c r="L128" s="9"/>
      <c r="M128" s="9"/>
      <c r="N128" s="9"/>
      <c r="O128" s="9"/>
      <c r="P128" s="176"/>
    </row>
    <row r="129" spans="8:16">
      <c r="H129" s="173"/>
      <c r="I129" s="9"/>
      <c r="J129" s="9"/>
      <c r="K129" s="9"/>
      <c r="L129" s="9"/>
      <c r="M129" s="9"/>
      <c r="N129" s="9"/>
      <c r="O129" s="9"/>
      <c r="P129" s="176"/>
    </row>
    <row r="130" spans="8:16">
      <c r="H130" s="173"/>
      <c r="I130" s="9"/>
      <c r="J130" s="9"/>
      <c r="K130" s="9"/>
      <c r="L130" s="9"/>
      <c r="M130" s="9"/>
      <c r="N130" s="9"/>
      <c r="O130" s="9"/>
      <c r="P130" s="176"/>
    </row>
    <row r="131" spans="8:16">
      <c r="H131" s="173"/>
      <c r="I131" s="9"/>
      <c r="J131" s="9"/>
      <c r="K131" s="9"/>
      <c r="L131" s="9"/>
      <c r="M131" s="9"/>
      <c r="N131" s="9"/>
      <c r="O131" s="9"/>
      <c r="P131" s="176"/>
    </row>
    <row r="132" spans="8:16">
      <c r="H132" s="173"/>
      <c r="I132" s="9"/>
      <c r="J132" s="9"/>
      <c r="K132" s="9"/>
      <c r="L132" s="9"/>
      <c r="M132" s="9"/>
      <c r="N132" s="9"/>
      <c r="O132" s="9"/>
      <c r="P132" s="176"/>
    </row>
    <row r="133" spans="8:16">
      <c r="H133" s="173"/>
      <c r="I133" s="9"/>
      <c r="J133" s="9"/>
      <c r="K133" s="9"/>
      <c r="L133" s="9"/>
      <c r="M133" s="9"/>
      <c r="N133" s="9"/>
      <c r="O133" s="9"/>
      <c r="P133" s="176"/>
    </row>
    <row r="134" spans="8:16">
      <c r="H134" s="173"/>
      <c r="I134" s="9"/>
      <c r="J134" s="9"/>
      <c r="K134" s="9"/>
      <c r="L134" s="9"/>
      <c r="M134" s="9"/>
      <c r="N134" s="9"/>
      <c r="O134" s="9"/>
      <c r="P134" s="176"/>
    </row>
    <row r="135" spans="8:16">
      <c r="H135" s="173"/>
      <c r="I135" s="9"/>
      <c r="J135" s="9"/>
      <c r="K135" s="9"/>
      <c r="L135" s="9"/>
      <c r="M135" s="9"/>
      <c r="N135" s="9"/>
      <c r="O135" s="9"/>
      <c r="P135" s="176"/>
    </row>
    <row r="136" spans="8:16">
      <c r="H136" s="173"/>
      <c r="I136" s="9"/>
      <c r="J136" s="9"/>
      <c r="K136" s="9"/>
      <c r="L136" s="9"/>
      <c r="M136" s="9"/>
      <c r="N136" s="9"/>
      <c r="O136" s="9"/>
      <c r="P136" s="176"/>
    </row>
    <row r="137" spans="8:16">
      <c r="H137" s="173"/>
      <c r="I137" s="9"/>
      <c r="J137" s="9"/>
      <c r="K137" s="9"/>
      <c r="L137" s="9"/>
      <c r="M137" s="9"/>
      <c r="N137" s="9"/>
      <c r="O137" s="9"/>
      <c r="P137" s="176"/>
    </row>
    <row r="138" spans="8:16">
      <c r="H138" s="173"/>
      <c r="I138" s="9"/>
      <c r="J138" s="9"/>
      <c r="K138" s="9"/>
      <c r="L138" s="9"/>
      <c r="M138" s="9"/>
      <c r="N138" s="9"/>
      <c r="O138" s="9"/>
      <c r="P138" s="176"/>
    </row>
    <row r="139" spans="8:16">
      <c r="H139" s="173"/>
      <c r="I139" s="9"/>
      <c r="J139" s="9"/>
      <c r="K139" s="9"/>
      <c r="L139" s="9"/>
      <c r="M139" s="9"/>
      <c r="N139" s="9"/>
      <c r="O139" s="9"/>
      <c r="P139" s="176"/>
    </row>
    <row r="140" spans="8:16">
      <c r="H140" s="173"/>
      <c r="I140" s="9"/>
      <c r="J140" s="9"/>
      <c r="K140" s="9"/>
      <c r="L140" s="9"/>
      <c r="M140" s="9"/>
      <c r="N140" s="9"/>
      <c r="O140" s="9"/>
      <c r="P140" s="176"/>
    </row>
    <row r="141" spans="8:16">
      <c r="H141" s="173"/>
      <c r="I141" s="9"/>
      <c r="J141" s="9"/>
      <c r="K141" s="9"/>
      <c r="L141" s="9"/>
      <c r="M141" s="9"/>
      <c r="N141" s="9"/>
      <c r="O141" s="9"/>
      <c r="P141" s="176"/>
    </row>
    <row r="142" spans="8:16">
      <c r="H142" s="173"/>
      <c r="I142" s="9"/>
      <c r="J142" s="9"/>
      <c r="K142" s="9"/>
      <c r="L142" s="9"/>
      <c r="M142" s="9"/>
      <c r="N142" s="9"/>
      <c r="O142" s="9"/>
      <c r="P142" s="176"/>
    </row>
    <row r="143" spans="8:16">
      <c r="H143" s="173"/>
      <c r="I143" s="9"/>
      <c r="J143" s="9"/>
      <c r="K143" s="9"/>
      <c r="L143" s="9"/>
      <c r="M143" s="9"/>
      <c r="N143" s="9"/>
      <c r="O143" s="9"/>
      <c r="P143" s="176"/>
    </row>
    <row r="144" spans="8:16">
      <c r="H144" s="173"/>
      <c r="I144" s="9"/>
      <c r="J144" s="9"/>
      <c r="K144" s="9"/>
      <c r="L144" s="9"/>
      <c r="M144" s="9"/>
      <c r="N144" s="9"/>
      <c r="O144" s="9"/>
      <c r="P144" s="176"/>
    </row>
    <row r="145" spans="8:16">
      <c r="H145" s="173"/>
      <c r="I145" s="9"/>
      <c r="J145" s="9"/>
      <c r="K145" s="9"/>
      <c r="L145" s="9"/>
      <c r="M145" s="9"/>
      <c r="N145" s="9"/>
      <c r="O145" s="9"/>
      <c r="P145" s="176"/>
    </row>
    <row r="146" spans="8:16">
      <c r="H146" s="173"/>
      <c r="I146" s="9"/>
      <c r="J146" s="9"/>
      <c r="K146" s="9"/>
      <c r="L146" s="9"/>
      <c r="M146" s="9"/>
      <c r="N146" s="9"/>
      <c r="O146" s="9"/>
      <c r="P146" s="176"/>
    </row>
    <row r="147" spans="8:16">
      <c r="H147" s="173"/>
      <c r="I147" s="9"/>
      <c r="J147" s="9"/>
      <c r="K147" s="9"/>
      <c r="L147" s="9"/>
      <c r="M147" s="9"/>
      <c r="N147" s="9"/>
      <c r="O147" s="9"/>
      <c r="P147" s="176"/>
    </row>
    <row r="148" spans="8:16">
      <c r="H148" s="173"/>
      <c r="I148" s="9"/>
      <c r="J148" s="9"/>
      <c r="K148" s="9"/>
      <c r="L148" s="9"/>
      <c r="M148" s="9"/>
      <c r="N148" s="9"/>
      <c r="O148" s="9"/>
      <c r="P148" s="176"/>
    </row>
    <row r="149" spans="8:16">
      <c r="H149" s="173"/>
      <c r="I149" s="9"/>
      <c r="J149" s="9"/>
      <c r="K149" s="9"/>
      <c r="L149" s="9"/>
      <c r="M149" s="9"/>
      <c r="N149" s="9"/>
      <c r="O149" s="9"/>
      <c r="P149" s="176"/>
    </row>
    <row r="150" spans="8:16">
      <c r="H150" s="173"/>
      <c r="I150" s="9"/>
      <c r="J150" s="9"/>
      <c r="K150" s="9"/>
      <c r="L150" s="9"/>
      <c r="M150" s="9"/>
      <c r="N150" s="9"/>
      <c r="O150" s="9"/>
      <c r="P150" s="176"/>
    </row>
    <row r="151" spans="8:16">
      <c r="H151" s="173"/>
      <c r="I151" s="9"/>
      <c r="J151" s="9"/>
      <c r="K151" s="9"/>
      <c r="L151" s="9"/>
      <c r="M151" s="9"/>
      <c r="N151" s="9"/>
      <c r="O151" s="9"/>
      <c r="P151" s="176"/>
    </row>
    <row r="152" spans="8:16">
      <c r="H152" s="173"/>
      <c r="I152" s="9"/>
      <c r="J152" s="9"/>
      <c r="K152" s="9"/>
      <c r="L152" s="9"/>
      <c r="M152" s="9"/>
      <c r="N152" s="9"/>
      <c r="O152" s="9"/>
      <c r="P152" s="176"/>
    </row>
    <row r="153" spans="8:16">
      <c r="H153" s="173"/>
      <c r="I153" s="9"/>
      <c r="J153" s="9"/>
      <c r="K153" s="9"/>
      <c r="L153" s="9"/>
      <c r="M153" s="9"/>
      <c r="N153" s="9"/>
      <c r="O153" s="9"/>
      <c r="P153" s="176"/>
    </row>
    <row r="154" spans="8:16">
      <c r="H154" s="173"/>
      <c r="I154" s="9"/>
      <c r="J154" s="9"/>
      <c r="K154" s="9"/>
      <c r="L154" s="9"/>
      <c r="M154" s="9"/>
      <c r="N154" s="9"/>
      <c r="O154" s="9"/>
      <c r="P154" s="176"/>
    </row>
    <row r="155" spans="8:16">
      <c r="H155" s="173"/>
      <c r="I155" s="9"/>
      <c r="J155" s="9"/>
      <c r="K155" s="9"/>
      <c r="L155" s="9"/>
      <c r="M155" s="9"/>
      <c r="N155" s="9"/>
      <c r="O155" s="9"/>
      <c r="P155" s="176"/>
    </row>
    <row r="156" spans="8:16">
      <c r="H156" s="173"/>
      <c r="I156" s="9"/>
      <c r="J156" s="9"/>
      <c r="K156" s="9"/>
      <c r="L156" s="9"/>
      <c r="M156" s="9"/>
      <c r="N156" s="9"/>
      <c r="O156" s="9"/>
      <c r="P156" s="176"/>
    </row>
    <row r="157" spans="8:16">
      <c r="H157" s="173"/>
      <c r="I157" s="9"/>
      <c r="J157" s="9"/>
      <c r="K157" s="9"/>
      <c r="L157" s="9"/>
      <c r="M157" s="9"/>
      <c r="N157" s="9"/>
      <c r="O157" s="9"/>
      <c r="P157" s="176"/>
    </row>
    <row r="158" spans="8:16">
      <c r="H158" s="173"/>
      <c r="I158" s="9"/>
      <c r="J158" s="9"/>
      <c r="K158" s="9"/>
      <c r="L158" s="9"/>
      <c r="M158" s="9"/>
      <c r="N158" s="9"/>
      <c r="O158" s="9"/>
      <c r="P158" s="176"/>
    </row>
    <row r="159" spans="8:16">
      <c r="H159" s="173"/>
      <c r="I159" s="9"/>
      <c r="J159" s="9"/>
      <c r="K159" s="9"/>
      <c r="L159" s="9"/>
      <c r="M159" s="9"/>
      <c r="N159" s="9"/>
      <c r="O159" s="9"/>
      <c r="P159" s="176"/>
    </row>
    <row r="160" spans="8:16">
      <c r="H160" s="173"/>
      <c r="I160" s="9"/>
      <c r="J160" s="9"/>
      <c r="K160" s="9"/>
      <c r="L160" s="9"/>
      <c r="M160" s="9"/>
      <c r="N160" s="9"/>
      <c r="O160" s="9"/>
      <c r="P160" s="176"/>
    </row>
    <row r="161" spans="8:16">
      <c r="H161" s="173"/>
      <c r="I161" s="9"/>
      <c r="J161" s="9"/>
      <c r="K161" s="9"/>
      <c r="L161" s="9"/>
      <c r="M161" s="9"/>
      <c r="N161" s="9"/>
      <c r="O161" s="9"/>
      <c r="P161" s="176"/>
    </row>
    <row r="162" spans="8:16">
      <c r="H162" s="173"/>
      <c r="I162" s="9"/>
      <c r="J162" s="9"/>
      <c r="K162" s="9"/>
      <c r="L162" s="9"/>
      <c r="M162" s="9"/>
      <c r="N162" s="9"/>
      <c r="O162" s="9"/>
      <c r="P162" s="176"/>
    </row>
    <row r="163" spans="8:16">
      <c r="H163" s="173"/>
      <c r="I163" s="9"/>
      <c r="J163" s="9"/>
      <c r="K163" s="9"/>
      <c r="L163" s="9"/>
      <c r="M163" s="9"/>
      <c r="N163" s="9"/>
      <c r="O163" s="9"/>
      <c r="P163" s="176"/>
    </row>
    <row r="164" spans="8:16">
      <c r="H164" s="173"/>
      <c r="I164" s="9"/>
      <c r="J164" s="9"/>
      <c r="K164" s="9"/>
      <c r="L164" s="9"/>
      <c r="M164" s="9"/>
      <c r="N164" s="9"/>
      <c r="O164" s="9"/>
      <c r="P164" s="176"/>
    </row>
    <row r="165" spans="8:16">
      <c r="H165" s="173"/>
      <c r="I165" s="9"/>
      <c r="J165" s="9"/>
      <c r="K165" s="9"/>
      <c r="L165" s="9"/>
      <c r="M165" s="9"/>
      <c r="N165" s="9"/>
      <c r="O165" s="9"/>
      <c r="P165" s="176"/>
    </row>
    <row r="166" spans="8:16">
      <c r="H166" s="173"/>
      <c r="I166" s="9"/>
      <c r="J166" s="9"/>
      <c r="K166" s="9"/>
      <c r="L166" s="9"/>
      <c r="M166" s="9"/>
      <c r="N166" s="9"/>
      <c r="O166" s="9"/>
      <c r="P166" s="176"/>
    </row>
    <row r="167" spans="8:16">
      <c r="H167" s="173"/>
      <c r="I167" s="9"/>
      <c r="J167" s="9"/>
      <c r="K167" s="9"/>
      <c r="L167" s="9"/>
      <c r="M167" s="9"/>
      <c r="N167" s="9"/>
      <c r="O167" s="9"/>
      <c r="P167" s="176"/>
    </row>
    <row r="168" spans="8:16">
      <c r="H168" s="173"/>
      <c r="I168" s="9"/>
      <c r="J168" s="9"/>
      <c r="K168" s="9"/>
      <c r="L168" s="9"/>
      <c r="M168" s="9"/>
      <c r="N168" s="9"/>
      <c r="O168" s="9"/>
      <c r="P168" s="176"/>
    </row>
    <row r="169" spans="8:16">
      <c r="H169" s="173"/>
      <c r="I169" s="9"/>
      <c r="J169" s="9"/>
      <c r="K169" s="9"/>
      <c r="L169" s="9"/>
      <c r="M169" s="9"/>
      <c r="N169" s="9"/>
      <c r="O169" s="9"/>
      <c r="P169" s="176"/>
    </row>
    <row r="170" spans="8:16">
      <c r="H170" s="173"/>
      <c r="I170" s="9"/>
      <c r="J170" s="9"/>
      <c r="K170" s="9"/>
      <c r="L170" s="9"/>
      <c r="M170" s="9"/>
      <c r="N170" s="9"/>
      <c r="O170" s="9"/>
      <c r="P170" s="176"/>
    </row>
    <row r="171" spans="8:16">
      <c r="H171" s="173"/>
      <c r="I171" s="9"/>
      <c r="J171" s="9"/>
      <c r="K171" s="9"/>
      <c r="L171" s="9"/>
      <c r="M171" s="9"/>
      <c r="N171" s="9"/>
      <c r="O171" s="9"/>
      <c r="P171" s="176"/>
    </row>
    <row r="172" spans="8:16">
      <c r="H172" s="173"/>
      <c r="I172" s="9"/>
      <c r="J172" s="9"/>
      <c r="K172" s="9"/>
      <c r="L172" s="9"/>
      <c r="M172" s="9"/>
      <c r="N172" s="9"/>
      <c r="O172" s="9"/>
      <c r="P172" s="176"/>
    </row>
    <row r="173" spans="8:16">
      <c r="H173" s="173"/>
      <c r="I173" s="9"/>
      <c r="J173" s="9"/>
      <c r="K173" s="9"/>
      <c r="L173" s="9"/>
      <c r="M173" s="9"/>
      <c r="N173" s="9"/>
      <c r="O173" s="9"/>
      <c r="P173" s="176"/>
    </row>
    <row r="174" spans="8:16">
      <c r="H174" s="173"/>
      <c r="I174" s="9"/>
      <c r="J174" s="9"/>
      <c r="K174" s="9"/>
      <c r="L174" s="9"/>
      <c r="M174" s="9"/>
      <c r="N174" s="9"/>
      <c r="O174" s="9"/>
      <c r="P174" s="176"/>
    </row>
    <row r="175" spans="8:16">
      <c r="H175" s="173"/>
      <c r="I175" s="9"/>
      <c r="J175" s="9"/>
      <c r="K175" s="9"/>
      <c r="L175" s="9"/>
      <c r="M175" s="9"/>
      <c r="N175" s="9"/>
      <c r="O175" s="9"/>
      <c r="P175" s="176"/>
    </row>
    <row r="176" spans="8:16">
      <c r="H176" s="173"/>
      <c r="I176" s="9"/>
      <c r="J176" s="9"/>
      <c r="K176" s="9"/>
      <c r="L176" s="9"/>
      <c r="M176" s="9"/>
      <c r="N176" s="9"/>
      <c r="O176" s="9"/>
      <c r="P176" s="176"/>
    </row>
    <row r="177" spans="8:16">
      <c r="H177" s="173"/>
      <c r="I177" s="9"/>
      <c r="J177" s="9"/>
      <c r="K177" s="9"/>
      <c r="L177" s="9"/>
      <c r="M177" s="9"/>
      <c r="N177" s="9"/>
      <c r="O177" s="9"/>
      <c r="P177" s="176"/>
    </row>
    <row r="178" spans="8:16">
      <c r="H178" s="173"/>
      <c r="I178" s="9"/>
      <c r="J178" s="9"/>
      <c r="K178" s="9"/>
      <c r="L178" s="9"/>
      <c r="M178" s="9"/>
      <c r="N178" s="9"/>
      <c r="O178" s="9"/>
      <c r="P178" s="176"/>
    </row>
    <row r="179" spans="8:16">
      <c r="H179" s="173"/>
      <c r="I179" s="9"/>
      <c r="J179" s="9"/>
      <c r="K179" s="9"/>
      <c r="L179" s="9"/>
      <c r="M179" s="9"/>
      <c r="N179" s="9"/>
      <c r="O179" s="9"/>
      <c r="P179" s="176"/>
    </row>
    <row r="180" spans="8:16">
      <c r="H180" s="173"/>
      <c r="I180" s="9"/>
      <c r="J180" s="9"/>
      <c r="K180" s="9"/>
      <c r="L180" s="9"/>
      <c r="M180" s="9"/>
      <c r="N180" s="9"/>
      <c r="O180" s="9"/>
      <c r="P180" s="176"/>
    </row>
    <row r="181" spans="8:16">
      <c r="H181" s="173"/>
      <c r="I181" s="9"/>
      <c r="J181" s="9"/>
      <c r="K181" s="9"/>
      <c r="L181" s="9"/>
      <c r="M181" s="9"/>
      <c r="N181" s="9"/>
      <c r="O181" s="9"/>
      <c r="P181" s="176"/>
    </row>
    <row r="182" spans="8:16">
      <c r="H182" s="173"/>
      <c r="I182" s="9"/>
      <c r="J182" s="9"/>
      <c r="K182" s="9"/>
      <c r="L182" s="9"/>
      <c r="M182" s="9"/>
      <c r="N182" s="9"/>
      <c r="O182" s="9"/>
      <c r="P182" s="176"/>
    </row>
    <row r="183" spans="8:16">
      <c r="H183" s="173"/>
      <c r="I183" s="9"/>
      <c r="J183" s="9"/>
      <c r="K183" s="9"/>
      <c r="L183" s="9"/>
      <c r="M183" s="9"/>
      <c r="N183" s="9"/>
      <c r="O183" s="9"/>
      <c r="P183" s="176"/>
    </row>
    <row r="184" spans="8:16">
      <c r="H184" s="173"/>
      <c r="I184" s="9"/>
      <c r="J184" s="9"/>
      <c r="K184" s="9"/>
      <c r="L184" s="9"/>
      <c r="M184" s="9"/>
      <c r="N184" s="9"/>
      <c r="O184" s="9"/>
      <c r="P184" s="176"/>
    </row>
    <row r="185" spans="8:16">
      <c r="H185" s="173"/>
      <c r="I185" s="9"/>
      <c r="J185" s="9"/>
      <c r="K185" s="9"/>
      <c r="L185" s="9"/>
      <c r="M185" s="9"/>
      <c r="N185" s="9"/>
      <c r="O185" s="9"/>
      <c r="P185" s="176"/>
    </row>
    <row r="186" spans="8:16">
      <c r="H186" s="173"/>
      <c r="I186" s="9"/>
      <c r="J186" s="9"/>
      <c r="K186" s="9"/>
      <c r="L186" s="9"/>
      <c r="M186" s="9"/>
      <c r="N186" s="9"/>
      <c r="O186" s="9"/>
      <c r="P186" s="176"/>
    </row>
    <row r="187" spans="8:16">
      <c r="H187" s="173"/>
      <c r="I187" s="9"/>
      <c r="J187" s="9"/>
      <c r="K187" s="9"/>
      <c r="L187" s="9"/>
      <c r="M187" s="9"/>
      <c r="N187" s="9"/>
      <c r="O187" s="9"/>
      <c r="P187" s="176"/>
    </row>
    <row r="188" spans="8:16">
      <c r="H188" s="173"/>
      <c r="I188" s="9"/>
      <c r="J188" s="9"/>
      <c r="K188" s="9"/>
      <c r="L188" s="9"/>
      <c r="M188" s="9"/>
      <c r="N188" s="9"/>
      <c r="O188" s="9"/>
      <c r="P188" s="176"/>
    </row>
    <row r="189" spans="8:16">
      <c r="H189" s="173"/>
      <c r="I189" s="9"/>
      <c r="J189" s="9"/>
      <c r="K189" s="9"/>
      <c r="L189" s="9"/>
      <c r="M189" s="9"/>
      <c r="N189" s="9"/>
      <c r="O189" s="9"/>
      <c r="P189" s="176"/>
    </row>
    <row r="190" spans="8:16">
      <c r="H190" s="173"/>
      <c r="I190" s="9"/>
      <c r="J190" s="9"/>
      <c r="K190" s="9"/>
      <c r="L190" s="9"/>
      <c r="M190" s="9"/>
      <c r="N190" s="9"/>
      <c r="O190" s="9"/>
      <c r="P190" s="176"/>
    </row>
    <row r="191" spans="8:16">
      <c r="H191" s="173"/>
      <c r="I191" s="9"/>
      <c r="J191" s="9"/>
      <c r="K191" s="9"/>
      <c r="L191" s="9"/>
      <c r="M191" s="9"/>
      <c r="N191" s="9"/>
      <c r="O191" s="9"/>
      <c r="P191" s="176"/>
    </row>
    <row r="192" spans="8:16">
      <c r="H192" s="173"/>
      <c r="I192" s="9"/>
      <c r="J192" s="9"/>
      <c r="K192" s="9"/>
      <c r="L192" s="9"/>
      <c r="M192" s="9"/>
      <c r="N192" s="9"/>
      <c r="O192" s="9"/>
      <c r="P192" s="176"/>
    </row>
    <row r="193" spans="8:16">
      <c r="H193" s="173"/>
      <c r="I193" s="9"/>
      <c r="J193" s="9"/>
      <c r="K193" s="9"/>
      <c r="L193" s="9"/>
      <c r="M193" s="9"/>
      <c r="N193" s="9"/>
      <c r="O193" s="9"/>
      <c r="P193" s="176"/>
    </row>
    <row r="194" spans="8:16">
      <c r="H194" s="173"/>
      <c r="I194" s="9"/>
      <c r="J194" s="9"/>
      <c r="K194" s="9"/>
      <c r="L194" s="9"/>
      <c r="M194" s="9"/>
      <c r="N194" s="9"/>
      <c r="O194" s="9"/>
      <c r="P194" s="176"/>
    </row>
    <row r="195" spans="8:16">
      <c r="H195" s="173"/>
      <c r="I195" s="9"/>
      <c r="J195" s="9"/>
      <c r="K195" s="9"/>
      <c r="L195" s="9"/>
      <c r="M195" s="9"/>
      <c r="N195" s="9"/>
      <c r="O195" s="9"/>
      <c r="P195" s="176"/>
    </row>
    <row r="196" spans="8:16">
      <c r="H196" s="173"/>
      <c r="I196" s="9"/>
      <c r="J196" s="9"/>
      <c r="K196" s="9"/>
      <c r="L196" s="9"/>
      <c r="M196" s="9"/>
      <c r="N196" s="9"/>
      <c r="O196" s="9"/>
      <c r="P196" s="176"/>
    </row>
    <row r="197" spans="8:16">
      <c r="H197" s="173"/>
      <c r="I197" s="9"/>
      <c r="J197" s="9"/>
      <c r="K197" s="9"/>
      <c r="L197" s="9"/>
      <c r="M197" s="9"/>
      <c r="N197" s="9"/>
      <c r="O197" s="9"/>
      <c r="P197" s="176"/>
    </row>
    <row r="198" spans="8:16">
      <c r="H198" s="173"/>
      <c r="I198" s="9"/>
      <c r="J198" s="9"/>
      <c r="K198" s="9"/>
      <c r="L198" s="9"/>
      <c r="M198" s="9"/>
      <c r="N198" s="9"/>
      <c r="O198" s="9"/>
      <c r="P198" s="176"/>
    </row>
    <row r="199" spans="8:16">
      <c r="H199" s="173"/>
      <c r="I199" s="9"/>
      <c r="J199" s="9"/>
      <c r="K199" s="9"/>
      <c r="L199" s="9"/>
      <c r="M199" s="9"/>
      <c r="N199" s="9"/>
      <c r="O199" s="9"/>
      <c r="P199" s="176"/>
    </row>
    <row r="200" spans="8:16">
      <c r="H200" s="173"/>
      <c r="I200" s="9"/>
      <c r="J200" s="9"/>
      <c r="K200" s="9"/>
      <c r="L200" s="9"/>
      <c r="M200" s="9"/>
      <c r="N200" s="9"/>
      <c r="O200" s="9"/>
      <c r="P200" s="176"/>
    </row>
    <row r="201" spans="8:16">
      <c r="H201" s="173"/>
      <c r="I201" s="9"/>
      <c r="J201" s="9"/>
      <c r="K201" s="9"/>
      <c r="L201" s="9"/>
      <c r="M201" s="9"/>
      <c r="N201" s="9"/>
      <c r="O201" s="9"/>
      <c r="P201" s="176"/>
    </row>
    <row r="202" spans="8:16">
      <c r="H202" s="173"/>
      <c r="I202" s="9"/>
      <c r="J202" s="9"/>
      <c r="K202" s="9"/>
      <c r="L202" s="9"/>
      <c r="M202" s="9"/>
      <c r="N202" s="9"/>
      <c r="O202" s="9"/>
      <c r="P202" s="176"/>
    </row>
    <row r="203" spans="8:16">
      <c r="H203" s="173"/>
      <c r="I203" s="9"/>
      <c r="J203" s="9"/>
      <c r="K203" s="9"/>
      <c r="L203" s="9"/>
      <c r="M203" s="9"/>
      <c r="N203" s="9"/>
      <c r="O203" s="9"/>
      <c r="P203" s="176"/>
    </row>
    <row r="204" spans="8:16">
      <c r="H204" s="173"/>
      <c r="I204" s="9"/>
      <c r="J204" s="9"/>
      <c r="K204" s="9"/>
      <c r="L204" s="9"/>
      <c r="M204" s="9"/>
      <c r="N204" s="9"/>
      <c r="O204" s="9"/>
      <c r="P204" s="176"/>
    </row>
    <row r="205" spans="8:16">
      <c r="H205" s="173"/>
      <c r="I205" s="9"/>
      <c r="J205" s="9"/>
      <c r="K205" s="9"/>
      <c r="L205" s="9"/>
      <c r="M205" s="9"/>
      <c r="N205" s="9"/>
      <c r="O205" s="9"/>
      <c r="P205" s="176"/>
    </row>
    <row r="206" spans="8:16">
      <c r="H206" s="173"/>
      <c r="I206" s="9"/>
      <c r="J206" s="9"/>
      <c r="K206" s="9"/>
      <c r="L206" s="9"/>
      <c r="M206" s="9"/>
      <c r="N206" s="9"/>
      <c r="O206" s="9"/>
      <c r="P206" s="176"/>
    </row>
    <row r="207" spans="8:16">
      <c r="H207" s="173"/>
      <c r="I207" s="9"/>
      <c r="J207" s="9"/>
      <c r="K207" s="9"/>
      <c r="L207" s="9"/>
      <c r="M207" s="9"/>
      <c r="N207" s="9"/>
      <c r="O207" s="9"/>
      <c r="P207" s="176"/>
    </row>
    <row r="208" spans="8:16">
      <c r="H208" s="173"/>
      <c r="I208" s="9"/>
      <c r="J208" s="9"/>
      <c r="K208" s="9"/>
      <c r="L208" s="9"/>
      <c r="M208" s="9"/>
      <c r="N208" s="9"/>
      <c r="O208" s="9"/>
      <c r="P208" s="176"/>
    </row>
    <row r="209" spans="8:16">
      <c r="H209" s="173"/>
      <c r="I209" s="9"/>
      <c r="J209" s="9"/>
      <c r="K209" s="9"/>
      <c r="L209" s="9"/>
      <c r="M209" s="9"/>
      <c r="N209" s="9"/>
      <c r="O209" s="9"/>
      <c r="P209" s="176"/>
    </row>
    <row r="210" spans="8:16">
      <c r="H210" s="173"/>
      <c r="I210" s="9"/>
      <c r="J210" s="9"/>
      <c r="K210" s="9"/>
      <c r="L210" s="9"/>
      <c r="M210" s="9"/>
      <c r="N210" s="9"/>
      <c r="O210" s="9"/>
      <c r="P210" s="176"/>
    </row>
    <row r="211" spans="8:16">
      <c r="H211" s="173"/>
      <c r="I211" s="9"/>
      <c r="J211" s="9"/>
      <c r="K211" s="9"/>
      <c r="L211" s="9"/>
      <c r="M211" s="9"/>
      <c r="N211" s="9"/>
      <c r="O211" s="9"/>
      <c r="P211" s="176"/>
    </row>
    <row r="212" spans="8:16">
      <c r="H212" s="173"/>
      <c r="I212" s="9"/>
      <c r="J212" s="9"/>
      <c r="K212" s="9"/>
      <c r="L212" s="9"/>
      <c r="M212" s="9"/>
      <c r="N212" s="9"/>
      <c r="O212" s="9"/>
      <c r="P212" s="176"/>
    </row>
    <row r="213" spans="8:16">
      <c r="H213" s="173"/>
      <c r="I213" s="9"/>
      <c r="J213" s="9"/>
      <c r="K213" s="9"/>
      <c r="L213" s="9"/>
      <c r="M213" s="9"/>
      <c r="N213" s="9"/>
      <c r="O213" s="9"/>
      <c r="P213" s="176"/>
    </row>
    <row r="214" spans="8:16">
      <c r="H214" s="173"/>
      <c r="I214" s="9"/>
      <c r="J214" s="9"/>
      <c r="K214" s="9"/>
      <c r="L214" s="9"/>
      <c r="M214" s="9"/>
      <c r="N214" s="9"/>
      <c r="O214" s="9"/>
      <c r="P214" s="176"/>
    </row>
    <row r="215" spans="8:16">
      <c r="H215" s="173"/>
      <c r="I215" s="9"/>
      <c r="J215" s="9"/>
      <c r="K215" s="9"/>
      <c r="L215" s="9"/>
      <c r="M215" s="9"/>
      <c r="N215" s="9"/>
      <c r="O215" s="9"/>
      <c r="P215" s="176"/>
    </row>
    <row r="216" spans="8:16">
      <c r="H216" s="173"/>
      <c r="I216" s="9"/>
      <c r="J216" s="9"/>
      <c r="K216" s="9"/>
      <c r="L216" s="9"/>
      <c r="M216" s="9"/>
      <c r="N216" s="9"/>
      <c r="O216" s="9"/>
      <c r="P216" s="176"/>
    </row>
    <row r="217" spans="8:16">
      <c r="H217" s="173"/>
      <c r="I217" s="9"/>
      <c r="J217" s="9"/>
      <c r="K217" s="9"/>
      <c r="L217" s="9"/>
      <c r="M217" s="9"/>
      <c r="N217" s="9"/>
      <c r="O217" s="9"/>
      <c r="P217" s="176"/>
    </row>
    <row r="218" spans="8:16">
      <c r="H218" s="173"/>
      <c r="I218" s="9"/>
      <c r="J218" s="9"/>
      <c r="K218" s="9"/>
      <c r="L218" s="9"/>
      <c r="M218" s="9"/>
      <c r="N218" s="9"/>
      <c r="O218" s="9"/>
      <c r="P218" s="176"/>
    </row>
    <row r="219" spans="8:16">
      <c r="H219" s="173"/>
      <c r="I219" s="9"/>
      <c r="J219" s="9"/>
      <c r="K219" s="9"/>
      <c r="L219" s="9"/>
      <c r="M219" s="9"/>
      <c r="N219" s="9"/>
      <c r="O219" s="9"/>
      <c r="P219" s="176"/>
    </row>
    <row r="220" spans="8:16">
      <c r="H220" s="173"/>
      <c r="I220" s="9"/>
      <c r="J220" s="9"/>
      <c r="K220" s="9"/>
      <c r="L220" s="9"/>
      <c r="M220" s="9"/>
      <c r="N220" s="9"/>
      <c r="O220" s="9"/>
      <c r="P220" s="176"/>
    </row>
    <row r="221" spans="8:16">
      <c r="H221" s="173"/>
      <c r="I221" s="9"/>
      <c r="J221" s="9"/>
      <c r="K221" s="9"/>
      <c r="L221" s="9"/>
      <c r="M221" s="9"/>
      <c r="N221" s="9"/>
      <c r="O221" s="9"/>
      <c r="P221" s="176"/>
    </row>
    <row r="222" spans="8:16">
      <c r="H222" s="173"/>
      <c r="I222" s="9"/>
      <c r="J222" s="9"/>
      <c r="K222" s="9"/>
      <c r="L222" s="9"/>
      <c r="M222" s="9"/>
      <c r="N222" s="9"/>
      <c r="O222" s="9"/>
      <c r="P222" s="176"/>
    </row>
    <row r="223" spans="8:16">
      <c r="H223" s="173"/>
      <c r="I223" s="9"/>
      <c r="J223" s="9"/>
      <c r="K223" s="9"/>
      <c r="L223" s="9"/>
      <c r="M223" s="9"/>
      <c r="N223" s="9"/>
      <c r="O223" s="9"/>
      <c r="P223" s="176"/>
    </row>
    <row r="224" spans="8:16">
      <c r="H224" s="173"/>
      <c r="I224" s="9"/>
      <c r="J224" s="9"/>
      <c r="K224" s="9"/>
      <c r="L224" s="9"/>
      <c r="M224" s="9"/>
      <c r="N224" s="9"/>
      <c r="O224" s="9"/>
      <c r="P224" s="176"/>
    </row>
    <row r="225" spans="8:16">
      <c r="H225" s="173"/>
      <c r="I225" s="9"/>
      <c r="J225" s="9"/>
      <c r="K225" s="9"/>
      <c r="L225" s="9"/>
      <c r="M225" s="9"/>
      <c r="N225" s="9"/>
      <c r="O225" s="9"/>
      <c r="P225" s="176"/>
    </row>
    <row r="226" spans="8:16">
      <c r="H226" s="173"/>
      <c r="I226" s="9"/>
      <c r="J226" s="9"/>
      <c r="K226" s="9"/>
      <c r="L226" s="9"/>
      <c r="M226" s="9"/>
      <c r="N226" s="9"/>
      <c r="O226" s="9"/>
      <c r="P226" s="176"/>
    </row>
    <row r="227" spans="8:16">
      <c r="H227" s="173"/>
      <c r="I227" s="9"/>
      <c r="J227" s="9"/>
      <c r="K227" s="9"/>
      <c r="L227" s="9"/>
      <c r="M227" s="9"/>
      <c r="N227" s="9"/>
      <c r="O227" s="9"/>
      <c r="P227" s="176"/>
    </row>
    <row r="228" spans="8:16">
      <c r="H228" s="173"/>
      <c r="I228" s="9"/>
      <c r="J228" s="9"/>
      <c r="K228" s="9"/>
      <c r="L228" s="9"/>
      <c r="M228" s="9"/>
      <c r="N228" s="9"/>
      <c r="O228" s="9"/>
      <c r="P228" s="176"/>
    </row>
    <row r="229" spans="8:16">
      <c r="H229" s="173"/>
      <c r="I229" s="9"/>
      <c r="J229" s="9"/>
      <c r="K229" s="9"/>
      <c r="L229" s="9"/>
      <c r="M229" s="9"/>
      <c r="N229" s="9"/>
      <c r="O229" s="9"/>
      <c r="P229" s="176"/>
    </row>
    <row r="230" spans="8:16">
      <c r="H230" s="173"/>
      <c r="I230" s="9"/>
      <c r="J230" s="9"/>
      <c r="K230" s="9"/>
      <c r="L230" s="9"/>
      <c r="M230" s="9"/>
      <c r="N230" s="9"/>
      <c r="O230" s="9"/>
      <c r="P230" s="176"/>
    </row>
    <row r="231" spans="8:16">
      <c r="H231" s="173"/>
      <c r="I231" s="9"/>
      <c r="J231" s="9"/>
      <c r="K231" s="9"/>
      <c r="L231" s="9"/>
      <c r="M231" s="9"/>
      <c r="N231" s="9"/>
      <c r="O231" s="9"/>
      <c r="P231" s="176"/>
    </row>
    <row r="232" spans="8:16">
      <c r="H232" s="173"/>
      <c r="I232" s="9"/>
      <c r="J232" s="9"/>
      <c r="K232" s="9"/>
      <c r="L232" s="9"/>
      <c r="M232" s="9"/>
      <c r="N232" s="9"/>
      <c r="O232" s="9"/>
      <c r="P232" s="176"/>
    </row>
    <row r="233" spans="8:16">
      <c r="H233" s="173"/>
      <c r="I233" s="9"/>
      <c r="J233" s="9"/>
      <c r="K233" s="9"/>
      <c r="L233" s="9"/>
      <c r="M233" s="9"/>
      <c r="N233" s="9"/>
      <c r="O233" s="9"/>
      <c r="P233" s="176"/>
    </row>
    <row r="234" spans="8:16">
      <c r="H234" s="177"/>
      <c r="I234" s="9"/>
      <c r="J234" s="9"/>
      <c r="K234" s="9"/>
      <c r="L234" s="9"/>
      <c r="M234" s="9"/>
      <c r="N234" s="9"/>
      <c r="O234" s="9"/>
      <c r="P234" s="176"/>
    </row>
    <row r="235" spans="8:16">
      <c r="H235" s="177"/>
      <c r="I235" s="9"/>
      <c r="J235" s="9"/>
      <c r="K235" s="9"/>
      <c r="L235" s="9"/>
      <c r="M235" s="9"/>
      <c r="N235" s="9"/>
      <c r="O235" s="9"/>
      <c r="P235" s="176"/>
    </row>
    <row r="236" spans="8:16">
      <c r="H236" s="177"/>
      <c r="I236" s="9"/>
      <c r="J236" s="9"/>
      <c r="K236" s="9"/>
      <c r="L236" s="9"/>
      <c r="M236" s="9"/>
      <c r="N236" s="9"/>
      <c r="O236" s="9"/>
      <c r="P236" s="176"/>
    </row>
    <row r="237" spans="8:16">
      <c r="H237" s="177"/>
      <c r="I237" s="9"/>
      <c r="J237" s="9"/>
      <c r="K237" s="9"/>
      <c r="L237" s="9"/>
      <c r="M237" s="9"/>
      <c r="N237" s="9"/>
      <c r="O237" s="9"/>
      <c r="P237" s="176"/>
    </row>
    <row r="238" spans="8:16">
      <c r="H238" s="177"/>
      <c r="I238" s="9"/>
      <c r="J238" s="9"/>
      <c r="K238" s="9"/>
      <c r="L238" s="9"/>
      <c r="M238" s="9"/>
      <c r="N238" s="9"/>
      <c r="O238" s="9"/>
      <c r="P238" s="176"/>
    </row>
    <row r="239" spans="8:16">
      <c r="H239" s="177"/>
      <c r="I239" s="9"/>
      <c r="J239" s="9"/>
      <c r="K239" s="9"/>
      <c r="L239" s="9"/>
      <c r="M239" s="9"/>
      <c r="N239" s="9"/>
      <c r="O239" s="9"/>
      <c r="P239" s="176"/>
    </row>
    <row r="240" spans="8:16">
      <c r="H240" s="177"/>
      <c r="I240" s="9"/>
      <c r="J240" s="9"/>
      <c r="K240" s="9"/>
      <c r="L240" s="9"/>
      <c r="M240" s="9"/>
      <c r="N240" s="9"/>
      <c r="O240" s="9"/>
      <c r="P240" s="176"/>
    </row>
    <row r="241" spans="16:16">
      <c r="P241" s="176"/>
    </row>
    <row r="242" spans="16:16">
      <c r="P242" s="176"/>
    </row>
    <row r="243" spans="16:16">
      <c r="P243" s="176"/>
    </row>
    <row r="244" spans="16:16">
      <c r="P244" s="176"/>
    </row>
    <row r="245" spans="16:16">
      <c r="P245" s="176"/>
    </row>
    <row r="246" spans="16:16">
      <c r="P246" s="176"/>
    </row>
    <row r="247" spans="16:16">
      <c r="P247" s="176"/>
    </row>
    <row r="248" spans="16:16">
      <c r="P248" s="176"/>
    </row>
    <row r="249" spans="16:16">
      <c r="P249" s="176"/>
    </row>
    <row r="250" spans="16:16">
      <c r="P250" s="176"/>
    </row>
    <row r="251" spans="16:16">
      <c r="P251" s="176"/>
    </row>
    <row r="252" spans="16:16">
      <c r="P252" s="176"/>
    </row>
    <row r="253" spans="16:16">
      <c r="P253" s="176"/>
    </row>
    <row r="254" spans="16:16">
      <c r="P254" s="176"/>
    </row>
    <row r="255" spans="16:16">
      <c r="P255" s="176"/>
    </row>
    <row r="256" spans="16:16">
      <c r="P256" s="176"/>
    </row>
    <row r="257" spans="16:16">
      <c r="P257" s="176"/>
    </row>
    <row r="258" spans="16:16">
      <c r="P258" s="176"/>
    </row>
    <row r="259" spans="16:16">
      <c r="P259" s="176"/>
    </row>
    <row r="260" spans="16:16">
      <c r="P260" s="176"/>
    </row>
    <row r="261" spans="16:16">
      <c r="P261" s="176"/>
    </row>
    <row r="262" spans="16:16">
      <c r="P262" s="176"/>
    </row>
    <row r="263" spans="16:16">
      <c r="P263" s="176"/>
    </row>
    <row r="264" spans="16:16">
      <c r="P264" s="176"/>
    </row>
    <row r="265" spans="16:16">
      <c r="P265" s="176"/>
    </row>
    <row r="266" spans="16:16">
      <c r="P266" s="176"/>
    </row>
    <row r="267" spans="16:16">
      <c r="P267" s="176"/>
    </row>
    <row r="268" spans="16:16">
      <c r="P268" s="176"/>
    </row>
    <row r="269" spans="16:16">
      <c r="P269" s="176"/>
    </row>
  </sheetData>
  <sheetProtection algorithmName="SHA-512" hashValue="KLPPo9KxiXyPR8udzzpDuENqH+o2qy0/ti8vXLqc3E6Wa8HQ0pgrM0dQhdLetyRWtXoUg6TxriW2Xe/GXIImaA==" saltValue="KmYuESoA2qM3N/OcVKSgQg==" spinCount="100000" sheet="1" scenarios="1" formatCells="0" formatColumns="0" formatRows="0"/>
  <mergeCells count="11">
    <mergeCell ref="B110:M110"/>
    <mergeCell ref="H22:H25"/>
    <mergeCell ref="B108:N109"/>
    <mergeCell ref="A62:A65"/>
    <mergeCell ref="A66:A75"/>
    <mergeCell ref="A82:A85"/>
    <mergeCell ref="A86:A95"/>
    <mergeCell ref="A22:A25"/>
    <mergeCell ref="A26:A35"/>
    <mergeCell ref="A42:A45"/>
    <mergeCell ref="A46:A55"/>
  </mergeCells>
  <conditionalFormatting sqref="C35:G35">
    <cfRule type="expression" dxfId="103" priority="80" stopIfTrue="1">
      <formula>$B35="Do not fill this line"</formula>
    </cfRule>
  </conditionalFormatting>
  <conditionalFormatting sqref="C43:G43">
    <cfRule type="expression" dxfId="101" priority="78" stopIfTrue="1">
      <formula>$B43="Do not fill this line"</formula>
    </cfRule>
  </conditionalFormatting>
  <conditionalFormatting sqref="C44:G44">
    <cfRule type="expression" dxfId="100" priority="77" stopIfTrue="1">
      <formula>$B44="Do not fill this line"</formula>
    </cfRule>
  </conditionalFormatting>
  <conditionalFormatting sqref="C45:G45">
    <cfRule type="expression" dxfId="99" priority="76" stopIfTrue="1">
      <formula>$B45="Do not fill this line"</formula>
    </cfRule>
  </conditionalFormatting>
  <conditionalFormatting sqref="C48:G48">
    <cfRule type="expression" dxfId="97" priority="71" stopIfTrue="1">
      <formula>$B48="Do not fill this line"</formula>
    </cfRule>
  </conditionalFormatting>
  <conditionalFormatting sqref="C49:G49">
    <cfRule type="expression" dxfId="96" priority="70" stopIfTrue="1">
      <formula>$B49="Do not fill this line"</formula>
    </cfRule>
  </conditionalFormatting>
  <conditionalFormatting sqref="C50:G50">
    <cfRule type="expression" dxfId="95" priority="69" stopIfTrue="1">
      <formula>$B50="Do not fill this line"</formula>
    </cfRule>
  </conditionalFormatting>
  <conditionalFormatting sqref="C51:G51">
    <cfRule type="expression" dxfId="94" priority="68" stopIfTrue="1">
      <formula>$B51="Do not fill this line"</formula>
    </cfRule>
  </conditionalFormatting>
  <conditionalFormatting sqref="C52:G52">
    <cfRule type="expression" dxfId="93" priority="67" stopIfTrue="1">
      <formula>$B52="Do not fill this line"</formula>
    </cfRule>
  </conditionalFormatting>
  <conditionalFormatting sqref="C53:G53">
    <cfRule type="expression" dxfId="92" priority="66" stopIfTrue="1">
      <formula>$B53="Do not fill this line"</formula>
    </cfRule>
  </conditionalFormatting>
  <conditionalFormatting sqref="C54:G54">
    <cfRule type="expression" dxfId="91" priority="65" stopIfTrue="1">
      <formula>$B54="Do not fill this line"</formula>
    </cfRule>
  </conditionalFormatting>
  <conditionalFormatting sqref="C55:G55">
    <cfRule type="expression" dxfId="90" priority="64" stopIfTrue="1">
      <formula>$B55="Do not fill this line"</formula>
    </cfRule>
  </conditionalFormatting>
  <conditionalFormatting sqref="C64:G64">
    <cfRule type="expression" dxfId="89" priority="61" stopIfTrue="1">
      <formula>$B64="Do not fill this line"</formula>
    </cfRule>
  </conditionalFormatting>
  <conditionalFormatting sqref="C65:G65">
    <cfRule type="expression" dxfId="88" priority="60" stopIfTrue="1">
      <formula>$B65="Do not fill this line"</formula>
    </cfRule>
  </conditionalFormatting>
  <conditionalFormatting sqref="C68:G68">
    <cfRule type="expression" dxfId="87" priority="57" stopIfTrue="1">
      <formula>$B68="Do not fill this line"</formula>
    </cfRule>
  </conditionalFormatting>
  <conditionalFormatting sqref="C69:G69">
    <cfRule type="expression" dxfId="86" priority="56" stopIfTrue="1">
      <formula>$B69="Do not fill this line"</formula>
    </cfRule>
  </conditionalFormatting>
  <conditionalFormatting sqref="C70:G70">
    <cfRule type="expression" dxfId="85" priority="55" stopIfTrue="1">
      <formula>$B70="Do not fill this line"</formula>
    </cfRule>
  </conditionalFormatting>
  <conditionalFormatting sqref="C71:G71">
    <cfRule type="expression" dxfId="84" priority="54" stopIfTrue="1">
      <formula>$B71="Do not fill this line"</formula>
    </cfRule>
  </conditionalFormatting>
  <conditionalFormatting sqref="C72:G72">
    <cfRule type="expression" dxfId="83" priority="53" stopIfTrue="1">
      <formula>$B72="Do not fill this line"</formula>
    </cfRule>
  </conditionalFormatting>
  <conditionalFormatting sqref="C73:G73">
    <cfRule type="expression" dxfId="82" priority="52" stopIfTrue="1">
      <formula>$B73="Do not fill this line"</formula>
    </cfRule>
  </conditionalFormatting>
  <conditionalFormatting sqref="C74:G74">
    <cfRule type="expression" dxfId="81" priority="51" stopIfTrue="1">
      <formula>$B74="Do not fill this line"</formula>
    </cfRule>
  </conditionalFormatting>
  <conditionalFormatting sqref="C75:G75">
    <cfRule type="expression" dxfId="80" priority="50" stopIfTrue="1">
      <formula>$B75="Do not fill this line"</formula>
    </cfRule>
  </conditionalFormatting>
  <conditionalFormatting sqref="C84:G84">
    <cfRule type="expression" dxfId="79" priority="47" stopIfTrue="1">
      <formula>$B84="Do not fill this line"</formula>
    </cfRule>
  </conditionalFormatting>
  <conditionalFormatting sqref="C85:G85">
    <cfRule type="expression" dxfId="78" priority="46" stopIfTrue="1">
      <formula>$B85="Do not fill this line"</formula>
    </cfRule>
  </conditionalFormatting>
  <conditionalFormatting sqref="C88:G88">
    <cfRule type="expression" dxfId="77" priority="43" stopIfTrue="1">
      <formula>$B88="Do not fill this line"</formula>
    </cfRule>
  </conditionalFormatting>
  <conditionalFormatting sqref="C89:G89">
    <cfRule type="expression" dxfId="76" priority="42" stopIfTrue="1">
      <formula>$B89="Do not fill this line"</formula>
    </cfRule>
  </conditionalFormatting>
  <conditionalFormatting sqref="C90:G90">
    <cfRule type="expression" dxfId="75" priority="41" stopIfTrue="1">
      <formula>$B90="Do not fill this line"</formula>
    </cfRule>
  </conditionalFormatting>
  <conditionalFormatting sqref="C91:G91">
    <cfRule type="expression" dxfId="74" priority="40" stopIfTrue="1">
      <formula>$B91="Do not fill this line"</formula>
    </cfRule>
  </conditionalFormatting>
  <conditionalFormatting sqref="C92:G92">
    <cfRule type="expression" dxfId="73" priority="39" stopIfTrue="1">
      <formula>$B92="Do not fill this line"</formula>
    </cfRule>
  </conditionalFormatting>
  <conditionalFormatting sqref="C93:G93">
    <cfRule type="expression" dxfId="72" priority="38" stopIfTrue="1">
      <formula>$B93="Do not fill this line"</formula>
    </cfRule>
  </conditionalFormatting>
  <conditionalFormatting sqref="C94:G94">
    <cfRule type="expression" dxfId="71" priority="37" stopIfTrue="1">
      <formula>$B94="Do not fill this line"</formula>
    </cfRule>
  </conditionalFormatting>
  <conditionalFormatting sqref="C95:G95">
    <cfRule type="expression" dxfId="70" priority="36" stopIfTrue="1">
      <formula>$B95="Do not fill this line"</formula>
    </cfRule>
  </conditionalFormatting>
  <conditionalFormatting sqref="C36:G36">
    <cfRule type="cellIs" dxfId="69" priority="31" operator="notEqual">
      <formula>1</formula>
    </cfRule>
  </conditionalFormatting>
  <conditionalFormatting sqref="C56:G56">
    <cfRule type="cellIs" dxfId="68" priority="30" operator="notEqual">
      <formula>1</formula>
    </cfRule>
  </conditionalFormatting>
  <conditionalFormatting sqref="C76:G76">
    <cfRule type="cellIs" dxfId="67" priority="29" operator="notEqual">
      <formula>1</formula>
    </cfRule>
  </conditionalFormatting>
  <conditionalFormatting sqref="C96:G96">
    <cfRule type="cellIs" dxfId="66" priority="28" operator="notEqual">
      <formula>1</formula>
    </cfRule>
  </conditionalFormatting>
  <conditionalFormatting sqref="C86:G86">
    <cfRule type="expression" dxfId="65" priority="27" stopIfTrue="1">
      <formula>$B86="Do not fill this line"</formula>
    </cfRule>
  </conditionalFormatting>
  <conditionalFormatting sqref="C87:G87">
    <cfRule type="expression" dxfId="64" priority="26" stopIfTrue="1">
      <formula>$B87="Do not fill this line"</formula>
    </cfRule>
  </conditionalFormatting>
  <conditionalFormatting sqref="C47:G47">
    <cfRule type="expression" dxfId="63" priority="22" stopIfTrue="1">
      <formula>$B47="Do not fill this line"</formula>
    </cfRule>
  </conditionalFormatting>
  <conditionalFormatting sqref="C67:G67">
    <cfRule type="expression" dxfId="62" priority="21" stopIfTrue="1">
      <formula>$B67="Do not fill this line"</formula>
    </cfRule>
  </conditionalFormatting>
  <conditionalFormatting sqref="C63:G63">
    <cfRule type="expression" dxfId="61" priority="19" stopIfTrue="1">
      <formula>$B63="Do not fill this line"</formula>
    </cfRule>
  </conditionalFormatting>
  <conditionalFormatting sqref="C82:G82">
    <cfRule type="expression" dxfId="58" priority="16" stopIfTrue="1">
      <formula>$B82="Do not fill this line"</formula>
    </cfRule>
  </conditionalFormatting>
  <conditionalFormatting sqref="C83:G83">
    <cfRule type="expression" dxfId="57" priority="15" stopIfTrue="1">
      <formula>$B83="Do not fill this line"</formula>
    </cfRule>
  </conditionalFormatting>
  <conditionalFormatting sqref="C27:G27">
    <cfRule type="expression" dxfId="55" priority="13" stopIfTrue="1">
      <formula>$B27="Do not fill this line"</formula>
    </cfRule>
  </conditionalFormatting>
  <conditionalFormatting sqref="C28:G28">
    <cfRule type="expression" dxfId="54" priority="12" stopIfTrue="1">
      <formula>$B28="Do not fill this line"</formula>
    </cfRule>
  </conditionalFormatting>
  <conditionalFormatting sqref="C29:G29">
    <cfRule type="expression" dxfId="53" priority="11" stopIfTrue="1">
      <formula>$B29="Do not fill this line"</formula>
    </cfRule>
  </conditionalFormatting>
  <conditionalFormatting sqref="C30:G30">
    <cfRule type="expression" dxfId="52" priority="10" stopIfTrue="1">
      <formula>$B30="Do not fill this line"</formula>
    </cfRule>
  </conditionalFormatting>
  <conditionalFormatting sqref="C31:G31">
    <cfRule type="expression" dxfId="51" priority="9" stopIfTrue="1">
      <formula>$B31="Do not fill this line"</formula>
    </cfRule>
  </conditionalFormatting>
  <conditionalFormatting sqref="C32:G32">
    <cfRule type="expression" dxfId="50" priority="8" stopIfTrue="1">
      <formula>$B32="Do not fill this line"</formula>
    </cfRule>
  </conditionalFormatting>
  <conditionalFormatting sqref="C33:G33">
    <cfRule type="expression" dxfId="49" priority="7" stopIfTrue="1">
      <formula>$B33="Do not fill this line"</formula>
    </cfRule>
  </conditionalFormatting>
  <conditionalFormatting sqref="C34:G34">
    <cfRule type="expression" dxfId="48" priority="6" stopIfTrue="1">
      <formula>$B34="Do not fill this line"</formula>
    </cfRule>
  </conditionalFormatting>
  <conditionalFormatting sqref="C26:G26">
    <cfRule type="expression" dxfId="47" priority="5" stopIfTrue="1">
      <formula>$B26="Do not fill this line"</formula>
    </cfRule>
  </conditionalFormatting>
  <conditionalFormatting sqref="C42:G42">
    <cfRule type="expression" dxfId="46" priority="4" stopIfTrue="1">
      <formula>$B42="Do not fill this line"</formula>
    </cfRule>
  </conditionalFormatting>
  <conditionalFormatting sqref="C46:G46">
    <cfRule type="expression" dxfId="45" priority="3" stopIfTrue="1">
      <formula>$B46="Do not fill this line"</formula>
    </cfRule>
  </conditionalFormatting>
  <conditionalFormatting sqref="C62:G62">
    <cfRule type="expression" dxfId="44" priority="2" stopIfTrue="1">
      <formula>$B62="Do not fill this line"</formula>
    </cfRule>
  </conditionalFormatting>
  <conditionalFormatting sqref="C66:G66">
    <cfRule type="expression" dxfId="43" priority="1" stopIfTrue="1">
      <formula>$B66="Do not fill this line"</formula>
    </cfRule>
  </conditionalFormatting>
  <dataValidations count="1">
    <dataValidation type="decimal" allowBlank="1" showInputMessage="1" showErrorMessage="1" sqref="C62:G75 C82:G95 C42:G55 C22:G35" xr:uid="{092F4021-664E-FA47-B01D-7FFAAB9D8F7D}">
      <formula1>0</formula1>
      <formula2>1</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E105"/>
  <sheetViews>
    <sheetView showGridLines="0" showRowColHeaders="0" topLeftCell="A62" zoomScaleNormal="100" workbookViewId="0">
      <selection activeCell="G87" sqref="G87"/>
    </sheetView>
  </sheetViews>
  <sheetFormatPr defaultColWidth="8.77734375" defaultRowHeight="14.4"/>
  <cols>
    <col min="1" max="1" width="3.44140625" customWidth="1"/>
    <col min="2" max="2" width="6.77734375" customWidth="1"/>
    <col min="3" max="3" width="35.77734375" customWidth="1"/>
    <col min="4" max="12" width="13.6640625" customWidth="1"/>
    <col min="13" max="14" width="6.109375" customWidth="1"/>
    <col min="15" max="15" width="13.33203125" customWidth="1"/>
    <col min="16" max="16" width="13.33203125" hidden="1" customWidth="1"/>
    <col min="17" max="19" width="13.33203125" customWidth="1"/>
  </cols>
  <sheetData>
    <row r="1" spans="1:24" s="130" customFormat="1" ht="33.6">
      <c r="A1" s="127"/>
      <c r="B1" s="128" t="str">
        <f>Introduction!$B$1</f>
        <v>Budget impact analysis of PET-CT for treatment of small-cell lung cancer</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5" spans="1:24" s="137" customFormat="1" ht="18">
      <c r="A5" s="136"/>
      <c r="C5" s="140" t="s">
        <v>104</v>
      </c>
      <c r="D5" s="138"/>
      <c r="F5" s="43"/>
    </row>
    <row r="6" spans="1:24" s="137" customFormat="1" ht="15" customHeight="1">
      <c r="A6" s="136"/>
      <c r="C6" s="136" t="s">
        <v>105</v>
      </c>
      <c r="D6" s="136"/>
      <c r="E6" s="136"/>
      <c r="F6" s="43"/>
      <c r="N6" s="202"/>
      <c r="O6" s="202"/>
      <c r="P6" s="202"/>
      <c r="Q6" s="202"/>
      <c r="R6" s="202"/>
      <c r="S6" s="202"/>
    </row>
    <row r="7" spans="1:24" s="137" customFormat="1" ht="15" customHeight="1">
      <c r="A7" s="136"/>
      <c r="C7" s="136"/>
      <c r="D7" s="138"/>
      <c r="F7" s="187"/>
      <c r="N7" s="202"/>
      <c r="O7" s="202"/>
      <c r="P7" s="202"/>
      <c r="Q7" s="202"/>
      <c r="R7" s="202"/>
      <c r="S7" s="202"/>
    </row>
    <row r="8" spans="1:24" s="137" customFormat="1">
      <c r="A8" s="136"/>
      <c r="D8" s="138"/>
      <c r="F8" s="43"/>
      <c r="M8" s="139"/>
      <c r="N8" s="202"/>
      <c r="O8" s="202"/>
      <c r="P8" s="202"/>
      <c r="Q8" s="202"/>
      <c r="R8" s="202"/>
      <c r="S8" s="202"/>
    </row>
    <row r="9" spans="1:24" s="137" customFormat="1">
      <c r="A9" s="136"/>
      <c r="C9" s="42" t="s">
        <v>98</v>
      </c>
      <c r="E9" s="420" t="s">
        <v>353</v>
      </c>
      <c r="F9" s="421"/>
      <c r="G9" s="421"/>
      <c r="H9" s="421"/>
      <c r="I9" s="422"/>
      <c r="M9" s="139" t="s">
        <v>184</v>
      </c>
      <c r="N9" s="202"/>
      <c r="O9" s="202"/>
      <c r="P9" s="202"/>
      <c r="Q9" s="202"/>
      <c r="R9" s="202"/>
      <c r="S9" s="202"/>
    </row>
    <row r="10" spans="1:24" s="137" customFormat="1" ht="15" customHeight="1">
      <c r="A10" s="136"/>
      <c r="C10" s="48"/>
      <c r="E10" s="423" t="str">
        <f>IF(demanda="Observed demand",M9,IF(demanda="Epidemiological method",M10,IF(demanda="Mista",M11,M12)))</f>
        <v>In epidemiological methods, population data are used to estimate the total number of eligible patients (e.g. prevalence). Complete section 5.3 below.</v>
      </c>
      <c r="F10" s="423"/>
      <c r="G10" s="423"/>
      <c r="H10" s="423"/>
      <c r="I10" s="423"/>
      <c r="M10" s="139" t="s">
        <v>185</v>
      </c>
      <c r="N10" s="202"/>
      <c r="O10" s="202"/>
      <c r="P10" s="202"/>
      <c r="Q10" s="202"/>
      <c r="R10" s="202"/>
      <c r="S10" s="202"/>
    </row>
    <row r="11" spans="1:24" s="137" customFormat="1">
      <c r="A11" s="136"/>
      <c r="C11" s="48"/>
      <c r="D11" s="188"/>
      <c r="E11" s="424"/>
      <c r="F11" s="424"/>
      <c r="G11" s="424"/>
      <c r="H11" s="424"/>
      <c r="I11" s="424"/>
      <c r="M11" s="139"/>
      <c r="N11" s="202"/>
      <c r="O11" s="202"/>
      <c r="P11" s="202"/>
      <c r="Q11" s="202"/>
      <c r="R11" s="202"/>
      <c r="S11" s="202"/>
    </row>
    <row r="12" spans="1:24" s="137" customFormat="1">
      <c r="A12" s="136"/>
      <c r="C12" s="48"/>
      <c r="D12" s="188"/>
      <c r="E12" s="424"/>
      <c r="F12" s="424"/>
      <c r="G12" s="424"/>
      <c r="H12" s="424"/>
      <c r="I12" s="424"/>
      <c r="M12" s="139" t="s">
        <v>100</v>
      </c>
      <c r="N12" s="202"/>
      <c r="O12" s="202"/>
      <c r="P12" s="202"/>
      <c r="Q12" s="202"/>
      <c r="R12" s="202"/>
      <c r="S12" s="202"/>
    </row>
    <row r="13" spans="1:24" s="137" customFormat="1">
      <c r="A13" s="136"/>
      <c r="C13" s="42"/>
      <c r="D13" s="188"/>
      <c r="E13" s="424"/>
      <c r="F13" s="424"/>
      <c r="G13" s="424"/>
      <c r="H13" s="424"/>
      <c r="I13" s="424"/>
      <c r="N13" s="202"/>
      <c r="O13" s="202"/>
      <c r="P13" s="202"/>
      <c r="Q13" s="202"/>
      <c r="R13" s="202"/>
      <c r="S13" s="202"/>
    </row>
    <row r="14" spans="1:24" s="137" customFormat="1" ht="25.05" customHeight="1">
      <c r="A14" s="136"/>
      <c r="C14" s="427" t="s">
        <v>99</v>
      </c>
      <c r="D14" s="138"/>
      <c r="E14" s="424"/>
      <c r="F14" s="424"/>
      <c r="G14" s="424"/>
      <c r="H14" s="424"/>
      <c r="I14" s="424"/>
      <c r="N14" s="202"/>
      <c r="O14" s="202"/>
      <c r="P14" s="203" t="str">
        <f>IF(E15="Yes, it represents incidence","incidencia","prevalencia")</f>
        <v>incidencia</v>
      </c>
      <c r="Q14" s="202"/>
      <c r="R14" s="202"/>
      <c r="S14" s="202"/>
    </row>
    <row r="15" spans="1:24" s="180" customFormat="1" ht="15" customHeight="1">
      <c r="A15" s="7"/>
      <c r="B15" s="7"/>
      <c r="C15" s="427"/>
      <c r="D15" s="7"/>
      <c r="E15" s="420" t="s">
        <v>337</v>
      </c>
      <c r="F15" s="421"/>
      <c r="G15" s="421"/>
      <c r="H15" s="421"/>
      <c r="I15" s="422"/>
      <c r="J15" s="7"/>
      <c r="K15" s="7"/>
      <c r="L15" s="7"/>
      <c r="M15" s="7"/>
      <c r="N15" s="204"/>
      <c r="O15" s="204"/>
      <c r="P15" s="204"/>
      <c r="Q15" s="204"/>
      <c r="R15" s="204"/>
      <c r="S15" s="204"/>
      <c r="T15" s="7"/>
      <c r="U15" s="7"/>
      <c r="V15" s="7"/>
      <c r="W15" s="7"/>
      <c r="X15" s="7"/>
    </row>
    <row r="16" spans="1:24" s="180" customFormat="1">
      <c r="A16" s="7"/>
      <c r="B16" s="7"/>
      <c r="D16" s="7"/>
      <c r="E16" s="7"/>
      <c r="F16" s="7"/>
      <c r="G16" s="7"/>
      <c r="H16" s="7"/>
      <c r="I16" s="7"/>
      <c r="J16" s="7"/>
      <c r="K16" s="7"/>
      <c r="L16" s="7"/>
      <c r="M16" s="7"/>
      <c r="N16" s="204"/>
      <c r="O16" s="204"/>
      <c r="P16" s="204"/>
      <c r="Q16" s="204"/>
      <c r="R16" s="204"/>
      <c r="S16" s="204"/>
      <c r="T16" s="7"/>
      <c r="U16" s="7"/>
      <c r="V16" s="7"/>
      <c r="W16" s="7"/>
      <c r="X16" s="7"/>
    </row>
    <row r="17" spans="3:25">
      <c r="C17" s="417" t="s">
        <v>318</v>
      </c>
      <c r="N17" s="205"/>
      <c r="O17" s="205"/>
      <c r="P17" s="205"/>
      <c r="Q17" s="205"/>
      <c r="R17" s="205"/>
      <c r="S17" s="205"/>
    </row>
    <row r="18" spans="3:25">
      <c r="C18" s="417"/>
      <c r="D18" s="7"/>
      <c r="E18" s="381" t="s">
        <v>256</v>
      </c>
      <c r="F18" s="290" t="s">
        <v>319</v>
      </c>
      <c r="G18" s="7"/>
      <c r="H18" s="7"/>
      <c r="I18" s="7"/>
      <c r="J18" s="7"/>
      <c r="K18" s="7"/>
      <c r="L18" s="7"/>
      <c r="M18" s="7"/>
      <c r="N18" s="204"/>
      <c r="O18" s="204"/>
      <c r="P18" s="204"/>
      <c r="Q18" s="204"/>
      <c r="R18" s="204"/>
      <c r="S18" s="204"/>
      <c r="T18" s="7"/>
      <c r="U18" s="7"/>
      <c r="V18" s="7"/>
      <c r="W18" s="7"/>
      <c r="X18" s="7"/>
      <c r="Y18" s="7"/>
    </row>
    <row r="19" spans="3:25">
      <c r="C19" s="63"/>
      <c r="D19" s="7"/>
      <c r="E19" s="7"/>
      <c r="F19" s="7"/>
      <c r="G19" s="7"/>
      <c r="H19" s="7"/>
      <c r="I19" s="7"/>
      <c r="J19" s="7"/>
      <c r="K19" s="7"/>
      <c r="L19" s="7"/>
      <c r="M19" s="7"/>
      <c r="N19" s="204"/>
      <c r="O19" s="204"/>
      <c r="P19" s="204"/>
      <c r="Q19" s="204"/>
      <c r="R19" s="204"/>
      <c r="S19" s="204"/>
      <c r="T19" s="7"/>
      <c r="U19" s="7"/>
      <c r="V19" s="7"/>
      <c r="W19" s="7"/>
      <c r="X19" s="7"/>
      <c r="Y19" s="7"/>
    </row>
    <row r="20" spans="3:25">
      <c r="C20" s="63"/>
      <c r="D20" s="7"/>
      <c r="E20" s="7"/>
      <c r="F20" s="7"/>
      <c r="G20" s="7"/>
      <c r="H20" s="7"/>
      <c r="I20" s="7"/>
      <c r="J20" s="7"/>
      <c r="K20" s="7"/>
      <c r="L20" s="7"/>
      <c r="M20" s="7"/>
      <c r="N20" s="204"/>
      <c r="O20" s="204"/>
      <c r="P20" s="204"/>
      <c r="Q20" s="204"/>
      <c r="R20" s="204"/>
      <c r="S20" s="204"/>
      <c r="T20" s="7"/>
      <c r="U20" s="7"/>
      <c r="V20" s="7"/>
      <c r="W20" s="7"/>
      <c r="X20" s="7"/>
      <c r="Y20" s="7"/>
    </row>
    <row r="21" spans="3:25">
      <c r="C21" s="64"/>
      <c r="D21" s="65"/>
      <c r="E21" s="65"/>
      <c r="F21" s="65"/>
      <c r="G21" s="65"/>
      <c r="H21" s="65"/>
      <c r="I21" s="65"/>
      <c r="J21" s="65"/>
      <c r="K21" s="65"/>
      <c r="L21" s="65"/>
      <c r="M21" s="65"/>
      <c r="N21" s="65"/>
      <c r="O21" s="65"/>
      <c r="P21" s="65"/>
      <c r="Q21" s="65"/>
      <c r="R21" s="65"/>
      <c r="S21" s="65"/>
      <c r="T21" s="65"/>
      <c r="U21" s="65"/>
      <c r="V21" s="65"/>
      <c r="W21" s="65"/>
      <c r="X21" s="65"/>
      <c r="Y21" s="65"/>
    </row>
    <row r="23" spans="3:25" ht="18">
      <c r="C23" s="140" t="s">
        <v>106</v>
      </c>
    </row>
    <row r="24" spans="3:25">
      <c r="C24" s="136" t="s">
        <v>107</v>
      </c>
    </row>
    <row r="25" spans="3:25" ht="18">
      <c r="C25" s="140"/>
    </row>
    <row r="26" spans="3:25" ht="30" customHeight="1">
      <c r="C26" s="417" t="str">
        <f>populacao&amp;" - total number of eligible patients per year"</f>
        <v>small-cell lung cancer - total number of eligible patients per year</v>
      </c>
      <c r="D26" s="189">
        <f>ano_1</f>
        <v>2024</v>
      </c>
      <c r="E26" s="189">
        <f>ano_1+1</f>
        <v>2025</v>
      </c>
      <c r="F26" s="189">
        <f>ano_1+2</f>
        <v>2026</v>
      </c>
      <c r="G26" s="189">
        <f>ano_1+3</f>
        <v>2027</v>
      </c>
      <c r="H26" s="189">
        <f>ano_1+4</f>
        <v>2028</v>
      </c>
    </row>
    <row r="27" spans="3:25" ht="15" customHeight="1">
      <c r="C27" s="417"/>
      <c r="D27" s="53"/>
      <c r="E27" s="53"/>
      <c r="F27" s="53"/>
      <c r="G27" s="53"/>
      <c r="H27" s="53"/>
    </row>
    <row r="28" spans="3:25" ht="18.75" customHeight="1"/>
    <row r="29" spans="3:25" ht="18.75" customHeight="1"/>
    <row r="30" spans="3:25">
      <c r="C30" s="63"/>
      <c r="D30" s="7"/>
      <c r="E30" s="7"/>
      <c r="F30" s="7"/>
      <c r="G30" s="7"/>
      <c r="H30" s="7"/>
      <c r="I30" s="7"/>
      <c r="J30" s="7"/>
      <c r="K30" s="7"/>
      <c r="L30" s="7"/>
      <c r="M30" s="7"/>
      <c r="N30" s="7"/>
      <c r="O30" s="7"/>
      <c r="P30" s="7"/>
      <c r="Q30" s="7"/>
      <c r="R30" s="7"/>
      <c r="S30" s="7"/>
      <c r="T30" s="7"/>
      <c r="U30" s="7"/>
      <c r="V30" s="7"/>
      <c r="W30" s="7"/>
      <c r="X30" s="7"/>
      <c r="Y30" s="7"/>
    </row>
    <row r="31" spans="3:25">
      <c r="C31" s="64"/>
      <c r="D31" s="65"/>
      <c r="E31" s="65"/>
      <c r="F31" s="65"/>
      <c r="G31" s="65"/>
      <c r="H31" s="65"/>
      <c r="I31" s="65"/>
      <c r="J31" s="65"/>
      <c r="K31" s="65"/>
      <c r="L31" s="65"/>
      <c r="M31" s="65"/>
      <c r="N31" s="65"/>
      <c r="O31" s="65"/>
      <c r="P31" s="65"/>
      <c r="Q31" s="65"/>
      <c r="R31" s="65"/>
      <c r="S31" s="65"/>
      <c r="T31" s="65"/>
      <c r="U31" s="65"/>
      <c r="V31" s="65"/>
      <c r="W31" s="65"/>
      <c r="X31" s="65"/>
      <c r="Y31" s="65"/>
    </row>
    <row r="32" spans="3:25" ht="18">
      <c r="C32" s="140"/>
    </row>
    <row r="33" spans="3:20" ht="18">
      <c r="C33" s="140" t="s">
        <v>108</v>
      </c>
    </row>
    <row r="34" spans="3:20">
      <c r="C34" t="s">
        <v>109</v>
      </c>
    </row>
    <row r="35" spans="3:20">
      <c r="C35" s="190" t="s">
        <v>110</v>
      </c>
    </row>
    <row r="36" spans="3:20">
      <c r="C36" s="7"/>
      <c r="D36" s="191"/>
      <c r="E36" s="191"/>
      <c r="F36" s="7"/>
      <c r="G36" s="7"/>
      <c r="H36" s="7"/>
      <c r="I36" s="7"/>
      <c r="J36" s="7"/>
      <c r="K36" s="7"/>
      <c r="L36" s="7"/>
      <c r="M36" s="7"/>
      <c r="N36" s="7"/>
      <c r="O36" s="7"/>
      <c r="P36" s="7"/>
      <c r="Q36" s="7"/>
      <c r="R36" s="7"/>
      <c r="S36" s="7"/>
      <c r="T36" s="7"/>
    </row>
    <row r="37" spans="3:20">
      <c r="C37" s="7"/>
      <c r="D37" s="191"/>
      <c r="E37" s="191"/>
      <c r="F37" s="7"/>
      <c r="G37" s="7"/>
      <c r="H37" s="7"/>
      <c r="I37" s="7"/>
      <c r="J37" s="7"/>
      <c r="K37" s="7"/>
      <c r="L37" s="7"/>
      <c r="M37" s="7"/>
      <c r="N37" s="7"/>
      <c r="O37" s="7"/>
      <c r="P37" s="7"/>
      <c r="Q37" s="7"/>
      <c r="R37" s="7"/>
      <c r="S37" s="7"/>
      <c r="T37" s="7"/>
    </row>
    <row r="38" spans="3:20">
      <c r="C38" s="42" t="s">
        <v>111</v>
      </c>
      <c r="D38" s="49"/>
      <c r="E38" s="192" t="s">
        <v>131</v>
      </c>
      <c r="F38" s="7"/>
      <c r="G38" s="7"/>
      <c r="H38" s="7"/>
      <c r="I38" s="7"/>
      <c r="J38" s="7"/>
      <c r="K38" s="7"/>
      <c r="L38" s="7"/>
      <c r="M38" s="7"/>
      <c r="N38" s="7"/>
      <c r="O38" s="7"/>
      <c r="P38" s="7"/>
      <c r="Q38" s="7"/>
      <c r="R38" s="7"/>
      <c r="S38" s="7"/>
      <c r="T38" s="7"/>
    </row>
    <row r="39" spans="3:20">
      <c r="C39" s="193"/>
      <c r="D39" s="194"/>
      <c r="E39" s="7"/>
      <c r="F39" s="7"/>
      <c r="G39" s="7"/>
      <c r="H39" s="7"/>
      <c r="I39" s="7"/>
      <c r="J39" s="7"/>
      <c r="K39" s="7"/>
      <c r="L39" s="7"/>
      <c r="M39" s="7"/>
      <c r="N39" s="195" t="s">
        <v>133</v>
      </c>
      <c r="O39" s="7"/>
      <c r="P39" s="7"/>
      <c r="Q39" s="7"/>
      <c r="R39" s="7"/>
      <c r="S39" s="7"/>
      <c r="T39" s="7"/>
    </row>
    <row r="40" spans="3:20">
      <c r="C40" s="42" t="s">
        <v>112</v>
      </c>
      <c r="D40" s="49"/>
      <c r="E40" s="192" t="s">
        <v>132</v>
      </c>
      <c r="F40" s="7"/>
      <c r="G40" s="7"/>
      <c r="H40" s="7"/>
      <c r="I40" s="7"/>
      <c r="J40" s="7"/>
      <c r="K40" s="7"/>
      <c r="L40" s="7"/>
      <c r="M40" s="7"/>
      <c r="N40" s="7"/>
      <c r="O40" s="7"/>
      <c r="P40" s="7"/>
      <c r="Q40" s="7"/>
      <c r="R40" s="7"/>
      <c r="S40" s="196"/>
      <c r="T40" s="7"/>
    </row>
    <row r="41" spans="3:20">
      <c r="C41" s="7"/>
      <c r="E41" s="7"/>
      <c r="F41" s="7"/>
      <c r="G41" s="7"/>
      <c r="H41" s="7"/>
      <c r="I41" s="7"/>
      <c r="J41" s="7"/>
      <c r="K41" s="7"/>
      <c r="L41" s="7"/>
      <c r="M41" s="7"/>
      <c r="N41" s="7"/>
      <c r="O41" s="7"/>
      <c r="P41" s="7"/>
      <c r="Q41" s="7"/>
      <c r="R41" s="7"/>
      <c r="S41" s="7"/>
      <c r="T41" s="7"/>
    </row>
    <row r="42" spans="3:20">
      <c r="C42" s="42" t="s">
        <v>113</v>
      </c>
      <c r="D42" s="197">
        <f>D40-D38+1</f>
        <v>1</v>
      </c>
      <c r="E42" s="192"/>
      <c r="F42" s="7"/>
      <c r="G42" s="7"/>
      <c r="H42" s="7"/>
      <c r="I42" s="7"/>
      <c r="J42" s="7"/>
      <c r="K42" s="7"/>
      <c r="L42" s="7"/>
      <c r="M42" s="7"/>
      <c r="N42" s="7"/>
      <c r="O42" s="7"/>
      <c r="P42" s="7"/>
      <c r="Q42" s="7"/>
      <c r="R42" s="7"/>
      <c r="S42" s="196"/>
      <c r="T42" s="7"/>
    </row>
    <row r="43" spans="3:20">
      <c r="C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425" t="s">
        <v>101</v>
      </c>
      <c r="D45" s="189">
        <f>D38</f>
        <v>0</v>
      </c>
      <c r="E45" s="189" t="str">
        <f>IF($D$38+1&lt;=$D$40,$D$38+1,"")</f>
        <v/>
      </c>
      <c r="F45" s="189" t="str">
        <f>IF($D$38+2&lt;=$D$40,$D$38+2,"")</f>
        <v/>
      </c>
      <c r="G45" s="189" t="str">
        <f>IF($D$38+3&lt;=$D$40,$D$38+3,"")</f>
        <v/>
      </c>
      <c r="H45" s="189" t="str">
        <f>IF($D$38+4&lt;=$D$40,$D$38+4,"")</f>
        <v/>
      </c>
      <c r="I45" s="189" t="str">
        <f>IF($D$38+5&lt;=$D$40,$D$38+5,"")</f>
        <v/>
      </c>
      <c r="J45" s="189" t="str">
        <f>IF($D$38+6&lt;=$D$40,$D$38+6,"")</f>
        <v/>
      </c>
      <c r="K45" s="189" t="str">
        <f>IF($D$38+7&lt;=$D$40,$D$38+7,"")</f>
        <v/>
      </c>
      <c r="L45" s="189" t="str">
        <f>IF($D$38+8&lt;=$D$40,$D$38+8,"")</f>
        <v/>
      </c>
      <c r="M45" s="7"/>
      <c r="N45" s="7"/>
      <c r="O45" s="7"/>
      <c r="P45" s="7"/>
      <c r="Q45" s="7"/>
      <c r="R45" s="7"/>
      <c r="S45" s="7"/>
      <c r="T45" s="7"/>
    </row>
    <row r="46" spans="3:20">
      <c r="C46" s="426"/>
      <c r="D46" s="174"/>
      <c r="E46" s="174"/>
      <c r="F46" s="174"/>
      <c r="G46" s="174"/>
      <c r="H46" s="174"/>
      <c r="I46" s="174"/>
      <c r="J46" s="174"/>
      <c r="K46" s="174"/>
      <c r="L46" s="174"/>
      <c r="M46" s="7"/>
      <c r="N46" s="7"/>
      <c r="O46" s="7"/>
      <c r="P46" s="7"/>
      <c r="Q46" s="7"/>
      <c r="R46" s="7"/>
      <c r="S46" s="7"/>
      <c r="T46" s="7"/>
    </row>
    <row r="47" spans="3:20">
      <c r="C47" s="53"/>
      <c r="D47" s="53"/>
      <c r="E47" s="53"/>
      <c r="F47" s="53"/>
      <c r="G47" s="53"/>
      <c r="H47" s="53"/>
      <c r="I47" s="53"/>
      <c r="J47" s="53"/>
      <c r="K47" s="53"/>
      <c r="L47" s="53"/>
      <c r="M47" s="7"/>
      <c r="N47" s="7"/>
      <c r="O47" s="7"/>
      <c r="P47" s="7"/>
      <c r="Q47" s="7"/>
      <c r="R47" s="7"/>
      <c r="S47" s="7"/>
      <c r="T47" s="7"/>
    </row>
    <row r="48" spans="3:20">
      <c r="C48" s="53"/>
      <c r="D48" s="53"/>
      <c r="E48" s="53"/>
      <c r="F48" s="53"/>
      <c r="G48" s="53"/>
      <c r="H48" s="53"/>
      <c r="I48" s="53"/>
      <c r="J48" s="53"/>
      <c r="K48" s="53"/>
      <c r="L48" s="53"/>
      <c r="M48" s="7"/>
      <c r="N48" s="7"/>
      <c r="O48" s="7"/>
      <c r="P48" s="7"/>
      <c r="Q48" s="7"/>
      <c r="R48" s="7"/>
      <c r="S48" s="7"/>
      <c r="T48" s="7"/>
    </row>
    <row r="49" spans="3:27">
      <c r="C49" s="53"/>
      <c r="D49" s="53"/>
      <c r="E49" s="53"/>
      <c r="F49" s="53"/>
      <c r="G49" s="53"/>
      <c r="H49" s="53"/>
      <c r="I49" s="53"/>
      <c r="J49" s="53"/>
      <c r="K49" s="53"/>
      <c r="L49" s="53"/>
      <c r="M49" s="7"/>
      <c r="N49" s="7"/>
      <c r="O49" s="7"/>
      <c r="P49" s="7"/>
      <c r="Q49" s="7"/>
      <c r="R49" s="7"/>
      <c r="S49" s="7"/>
      <c r="T49" s="7"/>
    </row>
    <row r="50" spans="3:27">
      <c r="C50" s="53"/>
      <c r="D50" s="53"/>
      <c r="E50" s="53"/>
      <c r="F50" s="53"/>
      <c r="G50" s="53"/>
      <c r="H50" s="53"/>
      <c r="I50" s="53"/>
      <c r="J50" s="53"/>
      <c r="K50" s="53"/>
      <c r="L50" s="53"/>
      <c r="M50" s="7"/>
      <c r="N50" s="7"/>
      <c r="O50" s="7"/>
      <c r="P50" s="7"/>
      <c r="Q50" s="7"/>
      <c r="R50" s="7"/>
      <c r="S50" s="7"/>
      <c r="T50" s="7"/>
    </row>
    <row r="51" spans="3:27">
      <c r="C51" s="53"/>
      <c r="D51" s="53"/>
      <c r="E51" s="53"/>
      <c r="F51" s="53"/>
      <c r="G51" s="53"/>
      <c r="H51" s="53"/>
      <c r="I51" s="53"/>
      <c r="J51" s="53"/>
      <c r="K51" s="53"/>
      <c r="L51" s="53"/>
      <c r="M51" s="7"/>
      <c r="N51" s="7"/>
      <c r="O51" s="7"/>
      <c r="P51" s="7"/>
      <c r="Q51" s="7"/>
      <c r="R51" s="7"/>
      <c r="S51" s="7"/>
      <c r="T51" s="7"/>
    </row>
    <row r="52" spans="3:27">
      <c r="C52" s="53"/>
      <c r="D52" s="53"/>
      <c r="E52" s="53"/>
      <c r="F52" s="53"/>
      <c r="G52" s="53"/>
      <c r="H52" s="53"/>
      <c r="I52" s="53"/>
      <c r="J52" s="53"/>
      <c r="K52" s="53"/>
      <c r="L52" s="53"/>
      <c r="M52" s="7"/>
      <c r="N52" s="7"/>
      <c r="O52" s="7"/>
      <c r="P52" s="7"/>
      <c r="Q52" s="7"/>
      <c r="R52" s="7"/>
      <c r="S52" s="7"/>
      <c r="T52" s="7"/>
    </row>
    <row r="53" spans="3:27">
      <c r="C53" s="198" t="s">
        <v>114</v>
      </c>
      <c r="D53" s="197">
        <f>IF(D45="","",SUM(D47:D52))</f>
        <v>0</v>
      </c>
      <c r="E53" s="197" t="str">
        <f t="shared" ref="E53:H53" si="0">IF(E45="","",SUM(E47:E52))</f>
        <v/>
      </c>
      <c r="F53" s="197" t="str">
        <f t="shared" si="0"/>
        <v/>
      </c>
      <c r="G53" s="197" t="str">
        <f t="shared" si="0"/>
        <v/>
      </c>
      <c r="H53" s="197" t="str">
        <f t="shared" si="0"/>
        <v/>
      </c>
      <c r="I53" s="197" t="str">
        <f t="shared" ref="I53:L53" si="1">IF(I45="","",SUM(I47:I52))</f>
        <v/>
      </c>
      <c r="J53" s="197" t="str">
        <f t="shared" si="1"/>
        <v/>
      </c>
      <c r="K53" s="197" t="str">
        <f t="shared" si="1"/>
        <v/>
      </c>
      <c r="L53" s="197" t="str">
        <f t="shared" si="1"/>
        <v/>
      </c>
      <c r="M53" s="7"/>
      <c r="N53" s="7"/>
      <c r="O53" s="7"/>
      <c r="P53" s="7"/>
      <c r="Q53" s="7"/>
      <c r="R53" s="7"/>
      <c r="S53" s="7"/>
      <c r="T53" s="7"/>
    </row>
    <row r="54" spans="3:27">
      <c r="C54" s="198"/>
      <c r="D54" s="198"/>
      <c r="E54" s="198"/>
      <c r="F54" s="198"/>
      <c r="G54" s="198"/>
      <c r="H54" s="198"/>
      <c r="I54" s="198"/>
      <c r="J54" s="198"/>
      <c r="K54" s="198"/>
      <c r="L54" s="198"/>
      <c r="M54" s="7"/>
      <c r="N54" s="7"/>
      <c r="O54" s="7"/>
      <c r="P54" s="7"/>
      <c r="Q54" s="7"/>
      <c r="R54" s="7"/>
      <c r="S54" s="7"/>
      <c r="T54" s="7"/>
    </row>
    <row r="55" spans="3:27">
      <c r="C55" s="198"/>
      <c r="D55" s="198"/>
      <c r="E55" s="198"/>
      <c r="F55" s="198"/>
      <c r="G55" s="198"/>
      <c r="H55" s="198"/>
      <c r="I55" s="198"/>
      <c r="J55" s="198"/>
      <c r="K55" s="198"/>
      <c r="L55" s="198"/>
      <c r="M55" s="7"/>
      <c r="N55" s="7"/>
      <c r="O55" s="7"/>
      <c r="P55" s="7"/>
      <c r="Q55" s="7"/>
      <c r="R55" s="7"/>
      <c r="S55" s="7"/>
      <c r="T55" s="7"/>
    </row>
    <row r="56" spans="3:27">
      <c r="C56" s="42" t="s">
        <v>115</v>
      </c>
      <c r="D56" s="418" t="s">
        <v>316</v>
      </c>
      <c r="E56" s="419"/>
      <c r="F56" s="192" t="s">
        <v>102</v>
      </c>
      <c r="G56" s="198"/>
      <c r="H56" s="198"/>
      <c r="I56" s="198"/>
      <c r="J56" s="198"/>
      <c r="K56" s="198"/>
      <c r="L56" s="198"/>
      <c r="M56" s="7"/>
      <c r="N56" s="7"/>
      <c r="O56" s="7"/>
      <c r="P56" s="7"/>
      <c r="Q56" s="7"/>
      <c r="R56" s="7"/>
      <c r="S56" s="7"/>
      <c r="T56" s="7"/>
    </row>
    <row r="57" spans="3:27" ht="15" customHeight="1">
      <c r="D57" s="192" t="s">
        <v>225</v>
      </c>
      <c r="E57" s="7"/>
      <c r="F57" s="7"/>
      <c r="G57" s="7"/>
      <c r="H57" s="7"/>
      <c r="I57" s="7"/>
      <c r="J57" s="7"/>
      <c r="K57" s="7"/>
      <c r="L57" s="7"/>
      <c r="M57" s="7"/>
      <c r="N57" s="7"/>
      <c r="O57" s="7"/>
      <c r="P57" s="7"/>
      <c r="Q57" s="7"/>
      <c r="R57" s="7"/>
      <c r="S57" s="7"/>
      <c r="T57" s="7"/>
    </row>
    <row r="58" spans="3:27" ht="15" customHeight="1">
      <c r="D58" s="7"/>
      <c r="E58" s="7"/>
      <c r="F58" s="7"/>
      <c r="G58" s="7"/>
      <c r="H58" s="7"/>
      <c r="I58" s="7"/>
      <c r="J58" s="7"/>
      <c r="K58" s="7"/>
      <c r="L58" s="7"/>
      <c r="M58" s="7"/>
      <c r="N58" s="7"/>
      <c r="O58" s="7"/>
      <c r="P58" s="7"/>
      <c r="Q58" s="7"/>
      <c r="R58" s="7"/>
      <c r="S58" s="7"/>
      <c r="T58" s="7"/>
    </row>
    <row r="59" spans="3:27" ht="15" customHeight="1">
      <c r="C59" s="417" t="s">
        <v>117</v>
      </c>
      <c r="D59" s="189">
        <f>ano_1</f>
        <v>2024</v>
      </c>
      <c r="E59" s="189">
        <f>D59+1</f>
        <v>2025</v>
      </c>
      <c r="F59" s="189">
        <f t="shared" ref="F59:H59" si="2">E59+1</f>
        <v>2026</v>
      </c>
      <c r="G59" s="189">
        <f t="shared" si="2"/>
        <v>2027</v>
      </c>
      <c r="H59" s="189">
        <f t="shared" si="2"/>
        <v>2028</v>
      </c>
      <c r="I59" s="7"/>
      <c r="J59" s="7"/>
      <c r="K59" s="7"/>
      <c r="L59" s="7"/>
      <c r="M59" s="7"/>
      <c r="N59" s="7"/>
      <c r="O59" s="7"/>
      <c r="P59" s="7"/>
      <c r="Q59" s="7"/>
      <c r="R59" s="7"/>
      <c r="S59" s="7"/>
      <c r="T59" s="7"/>
    </row>
    <row r="60" spans="3:27">
      <c r="C60" s="417"/>
      <c r="D60" s="199" cm="1">
        <f t="array" ref="D60">IF($D$42=9,TREND($D53:$L$53,$D45:$L$45,D59),IF($D$42=8,TREND($D53:$K$53,$D45:$K$45,D59),IF($D$42=7,TREND($D53:$J$53,$D45:$J$45,D59),IF($D$42=6,TREND($D53:$I$53,$D45:$I$45,D59),IF($D$42=5,TREND($D53:$H$53,$D45:$H$45,D59),IF($D$42=4,TREND($D53:$G$53,$D45:$G$45,D59),IF($D$42=3,TREND($D53:$F$53,$D45:$F$45,D59),IF($D$42=2,TREND($D53:$E$53,$D45:$E$45,D59),TREND($D53:$D$53,$D45:$D$45,D59)))))))))</f>
        <v>0</v>
      </c>
      <c r="E60" s="199" cm="1">
        <f t="array" ref="E60">IF($D$42=9,TREND($D53:$L$53,$D45:$L$45,E59),IF($D$42=8,TREND($D53:$K$53,$D45:$K$45,E59),IF($D$42=7,TREND($D53:$J$53,$D45:$J$45,E59),IF($D$42=6,TREND($D53:$I$53,$D45:$I$45,E59),IF($D$42=5,TREND($D53:$H$53,$D45:$H$45,E59),IF($D$42=4,TREND($D53:$G$53,$D45:$G$45,E59),IF($D$42=3,TREND($D53:$F$53,$D45:$F$45,E59),IF($D$42=2,TREND($D53:$E$53,$D45:$E$45,E59),TREND($D53:$D$53,$D45:$D$45,E59)))))))))</f>
        <v>0</v>
      </c>
      <c r="F60" s="199" cm="1">
        <f t="array" ref="F60">IF($D$42=9,TREND($D53:$L$53,$D45:$L$45,F59),IF($D$42=8,TREND($D53:$K$53,$D45:$K$45,F59),IF($D$42=7,TREND($D53:$J$53,$D45:$J$45,F59),IF($D$42=6,TREND($D53:$I$53,$D45:$I$45,F59),IF($D$42=5,TREND($D53:$H$53,$D45:$H$45,F59),IF($D$42=4,TREND($D53:$G$53,$D45:$G$45,F59),IF($D$42=3,TREND($D53:$F$53,$D45:$F$45,F59),IF($D$42=2,TREND($D53:$E$53,$D45:$E$45,F59),TREND($D53:$D$53,$D45:$D$45,F59)))))))))</f>
        <v>0</v>
      </c>
      <c r="G60" s="199" cm="1">
        <f t="array" ref="G60">IF($D$42=9,TREND($D53:$L$53,$D45:$L$45,G59),IF($D$42=8,TREND($D53:$K$53,$D45:$K$45,G59),IF($D$42=7,TREND($D53:$J$53,$D45:$J$45,G59),IF($D$42=6,TREND($D53:$I$53,$D45:$I$45,G59),IF($D$42=5,TREND($D53:$H$53,$D45:$H$45,G59),IF($D$42=4,TREND($D53:$G$53,$D45:$G$45,G59),IF($D$42=3,TREND($D53:$F$53,$D45:$F$45,G59),IF($D$42=2,TREND($D53:$E$53,$D45:$E$45,G59),TREND($D53:$D$53,$D45:$D$45,G59)))))))))</f>
        <v>0</v>
      </c>
      <c r="H60" s="199" cm="1">
        <f t="array" ref="H60">IF($D$42=9,TREND($D53:$L$53,$D45:$L$45,H59),IF($D$42=8,TREND($D53:$K$53,$D45:$K$45,H59),IF($D$42=7,TREND($D53:$J$53,$D45:$J$45,H59),IF($D$42=6,TREND($D53:$I$53,$D45:$I$45,H59),IF($D$42=5,TREND($D53:$H$53,$D45:$H$45,H59),IF($D$42=4,TREND($D53:$G$53,$D45:$G$45,H59),IF($D$42=3,TREND($D53:$F$53,$D45:$F$45,H59),IF($D$42=2,TREND($D53:$E$53,$D45:$E$45,H59),TREND($D53:$D$53,$D45:$D$45,H59)))))))))</f>
        <v>0</v>
      </c>
      <c r="I60" s="7"/>
      <c r="J60" s="7"/>
      <c r="K60" s="7"/>
      <c r="L60" s="7"/>
      <c r="M60" s="7"/>
      <c r="N60" s="7"/>
      <c r="O60" s="7"/>
      <c r="P60" s="7"/>
      <c r="Q60" s="7"/>
      <c r="R60" s="7"/>
      <c r="S60" s="7"/>
      <c r="T60" s="7"/>
    </row>
    <row r="61" spans="3:27">
      <c r="C61" s="63"/>
      <c r="D61" s="7"/>
      <c r="E61" s="7"/>
      <c r="F61" s="7"/>
      <c r="G61" s="7"/>
      <c r="H61" s="7"/>
      <c r="I61" s="7"/>
      <c r="J61" s="7"/>
      <c r="K61" s="7"/>
      <c r="L61" s="7"/>
      <c r="M61" s="7"/>
      <c r="N61" s="7"/>
      <c r="O61" s="7"/>
      <c r="P61" s="7"/>
      <c r="Q61" s="7"/>
      <c r="R61" s="7"/>
      <c r="S61" s="7"/>
      <c r="T61" s="7"/>
    </row>
    <row r="62" spans="3:27" ht="15" customHeight="1">
      <c r="C62" s="417" t="s">
        <v>118</v>
      </c>
      <c r="D62" s="189">
        <f>ano_1</f>
        <v>2024</v>
      </c>
      <c r="E62" s="189">
        <f>D62+1</f>
        <v>2025</v>
      </c>
      <c r="F62" s="189">
        <f t="shared" ref="F62" si="3">E62+1</f>
        <v>2026</v>
      </c>
      <c r="G62" s="189">
        <f t="shared" ref="G62" si="4">F62+1</f>
        <v>2027</v>
      </c>
      <c r="H62" s="189">
        <f t="shared" ref="H62" si="5">G62+1</f>
        <v>2028</v>
      </c>
      <c r="I62" s="7"/>
      <c r="J62" s="200" t="s">
        <v>136</v>
      </c>
      <c r="K62" s="184">
        <v>1.1000000000000001</v>
      </c>
      <c r="L62" s="7"/>
      <c r="M62" s="7"/>
      <c r="N62" s="7"/>
      <c r="O62" s="7"/>
      <c r="P62" s="7"/>
      <c r="Q62" s="7"/>
      <c r="R62" s="7"/>
      <c r="S62" s="7"/>
      <c r="T62" s="7"/>
    </row>
    <row r="63" spans="3:27">
      <c r="C63" s="417"/>
      <c r="D63" s="199" t="e">
        <f>AVERAGEIF($D$53:$L$53,"&gt;0")</f>
        <v>#DIV/0!</v>
      </c>
      <c r="E63" s="199" t="e">
        <f t="shared" ref="E63:H63" si="6">AVERAGEIF($D$53:$L$53,"&gt;0")</f>
        <v>#DIV/0!</v>
      </c>
      <c r="F63" s="199" t="e">
        <f t="shared" si="6"/>
        <v>#DIV/0!</v>
      </c>
      <c r="G63" s="199" t="e">
        <f t="shared" si="6"/>
        <v>#DIV/0!</v>
      </c>
      <c r="H63" s="199" t="e">
        <f t="shared" si="6"/>
        <v>#DIV/0!</v>
      </c>
      <c r="I63" s="7"/>
      <c r="J63" s="7"/>
      <c r="K63" s="7"/>
      <c r="L63" s="7"/>
      <c r="M63" s="7"/>
      <c r="N63" s="7"/>
      <c r="O63" s="7"/>
      <c r="P63" s="7"/>
      <c r="Q63" s="7"/>
      <c r="R63" s="7"/>
      <c r="S63" s="7"/>
      <c r="T63" s="7"/>
    </row>
    <row r="64" spans="3:27">
      <c r="C64" s="63"/>
      <c r="D64" s="199" t="e">
        <f>D63*$K$62</f>
        <v>#DIV/0!</v>
      </c>
      <c r="E64" s="199" t="e">
        <f>D64*$K$62</f>
        <v>#DIV/0!</v>
      </c>
      <c r="F64" s="199" t="e">
        <f t="shared" ref="F64:H64" si="7">E64*$K$62</f>
        <v>#DIV/0!</v>
      </c>
      <c r="G64" s="199" t="e">
        <f t="shared" si="7"/>
        <v>#DIV/0!</v>
      </c>
      <c r="H64" s="199" t="e">
        <f t="shared" si="7"/>
        <v>#DIV/0!</v>
      </c>
      <c r="I64" s="192" t="s">
        <v>103</v>
      </c>
      <c r="J64" s="7"/>
      <c r="K64" s="7"/>
      <c r="L64" s="7"/>
      <c r="M64" s="7"/>
      <c r="N64" s="7"/>
      <c r="O64" s="7"/>
      <c r="P64" s="7"/>
      <c r="Q64" s="7"/>
      <c r="R64" s="7"/>
      <c r="S64" s="7"/>
      <c r="T64" s="7"/>
      <c r="U64" s="7"/>
      <c r="V64" s="7"/>
      <c r="W64" s="7"/>
      <c r="X64" s="7"/>
      <c r="Y64" s="7"/>
      <c r="Z64" s="7"/>
      <c r="AA64" s="7"/>
    </row>
    <row r="65" spans="3:27">
      <c r="C65" s="63"/>
      <c r="D65" s="63"/>
      <c r="E65" s="63"/>
      <c r="F65" s="63"/>
      <c r="G65" s="63"/>
      <c r="H65" s="63"/>
      <c r="I65" s="63"/>
      <c r="J65" s="63"/>
      <c r="K65" s="7"/>
      <c r="L65" s="7"/>
      <c r="M65" s="7"/>
      <c r="N65" s="7"/>
      <c r="O65" s="7"/>
      <c r="P65" s="7"/>
      <c r="Q65" s="7"/>
      <c r="R65" s="7"/>
      <c r="S65" s="7"/>
      <c r="T65" s="7"/>
      <c r="U65" s="7"/>
      <c r="V65" s="7"/>
      <c r="W65" s="7"/>
      <c r="X65" s="7"/>
      <c r="Y65" s="7"/>
      <c r="Z65" s="7"/>
      <c r="AA65" s="7"/>
    </row>
    <row r="66" spans="3:27">
      <c r="C66" s="63" t="s">
        <v>116</v>
      </c>
      <c r="D66" s="189">
        <f>ano_1</f>
        <v>2024</v>
      </c>
      <c r="E66" s="189">
        <f>D66+1</f>
        <v>2025</v>
      </c>
      <c r="F66" s="189">
        <f t="shared" ref="F66" si="8">E66+1</f>
        <v>2026</v>
      </c>
      <c r="G66" s="189">
        <f t="shared" ref="G66" si="9">F66+1</f>
        <v>2027</v>
      </c>
      <c r="H66" s="189">
        <f t="shared" ref="H66" si="10">G66+1</f>
        <v>2028</v>
      </c>
      <c r="I66" s="63"/>
      <c r="J66" s="63"/>
      <c r="K66" s="7"/>
      <c r="L66" s="7"/>
      <c r="M66" s="7"/>
      <c r="N66" s="7"/>
      <c r="O66" s="7"/>
      <c r="P66" s="7"/>
      <c r="Q66" s="7"/>
      <c r="R66" s="7"/>
      <c r="S66" s="7"/>
      <c r="T66" s="7"/>
      <c r="U66" s="7"/>
      <c r="V66" s="7"/>
      <c r="W66" s="7"/>
      <c r="X66" s="7"/>
      <c r="Y66" s="7"/>
      <c r="Z66" s="7"/>
      <c r="AA66" s="7"/>
    </row>
    <row r="67" spans="3:27">
      <c r="C67" s="63" t="str">
        <f>D56</f>
        <v>Mean projection</v>
      </c>
      <c r="D67" s="199" t="e">
        <f>IF($D$56="Mean projection",D64,D60)</f>
        <v>#DIV/0!</v>
      </c>
      <c r="E67" s="199" t="e">
        <f t="shared" ref="E67:H67" si="11">IF($D$56="Mean projection",E64,E60)</f>
        <v>#DIV/0!</v>
      </c>
      <c r="F67" s="199" t="e">
        <f t="shared" si="11"/>
        <v>#DIV/0!</v>
      </c>
      <c r="G67" s="199" t="e">
        <f t="shared" si="11"/>
        <v>#DIV/0!</v>
      </c>
      <c r="H67" s="199" t="e">
        <f t="shared" si="11"/>
        <v>#DIV/0!</v>
      </c>
      <c r="I67" s="63"/>
      <c r="J67" s="63"/>
      <c r="K67" s="7"/>
      <c r="L67" s="7"/>
      <c r="M67" s="7"/>
      <c r="N67" s="7"/>
      <c r="O67" s="7"/>
      <c r="P67" s="7"/>
      <c r="Q67" s="7"/>
      <c r="R67" s="7"/>
      <c r="S67" s="7"/>
      <c r="T67" s="7"/>
      <c r="U67" s="7"/>
      <c r="V67" s="7"/>
      <c r="W67" s="7"/>
      <c r="X67" s="7"/>
      <c r="Y67" s="7"/>
      <c r="Z67" s="7"/>
      <c r="AA67" s="7"/>
    </row>
    <row r="68" spans="3:27">
      <c r="C68" s="63"/>
      <c r="D68" s="63"/>
      <c r="E68" s="63"/>
      <c r="F68" s="63"/>
      <c r="G68" s="63"/>
      <c r="H68" s="63"/>
      <c r="I68" s="63"/>
      <c r="J68" s="63"/>
      <c r="K68" s="7"/>
      <c r="L68" s="7"/>
      <c r="M68" s="7"/>
      <c r="N68" s="7"/>
      <c r="O68" s="7"/>
      <c r="P68" s="7"/>
      <c r="Q68" s="7"/>
      <c r="R68" s="7"/>
      <c r="S68" s="7"/>
      <c r="T68" s="7"/>
      <c r="U68" s="7"/>
      <c r="V68" s="7"/>
      <c r="W68" s="7"/>
      <c r="X68" s="7"/>
      <c r="Y68" s="7"/>
      <c r="Z68" s="7"/>
      <c r="AA68" s="7"/>
    </row>
    <row r="69" spans="3:27">
      <c r="C69" s="63"/>
      <c r="D69" s="63"/>
      <c r="E69" s="63"/>
      <c r="F69" s="63"/>
      <c r="G69" s="63"/>
      <c r="H69" s="63"/>
      <c r="I69" s="63"/>
      <c r="J69" s="63"/>
      <c r="K69" s="7"/>
      <c r="L69" s="7"/>
      <c r="M69" s="7"/>
      <c r="N69" s="7"/>
      <c r="O69" s="7"/>
      <c r="P69" s="7"/>
      <c r="Q69" s="7"/>
      <c r="R69" s="7"/>
      <c r="S69" s="7"/>
      <c r="T69" s="7"/>
      <c r="U69" s="7"/>
      <c r="V69" s="7"/>
      <c r="W69" s="7"/>
      <c r="X69" s="7"/>
      <c r="Y69" s="7"/>
      <c r="Z69" s="7"/>
      <c r="AA69" s="7"/>
    </row>
    <row r="70" spans="3:27">
      <c r="C70" s="63"/>
      <c r="D70" s="63"/>
      <c r="E70" s="63"/>
      <c r="F70" s="63"/>
      <c r="G70" s="63"/>
      <c r="H70" s="63"/>
      <c r="I70" s="63"/>
      <c r="J70" s="63"/>
      <c r="K70" s="7"/>
      <c r="L70" s="7"/>
      <c r="M70" s="7"/>
      <c r="N70" s="7"/>
      <c r="O70" s="7"/>
      <c r="P70" s="7"/>
      <c r="Q70" s="7"/>
      <c r="R70" s="7"/>
      <c r="S70" s="7"/>
      <c r="T70" s="7"/>
      <c r="U70" s="7"/>
      <c r="V70" s="7"/>
      <c r="W70" s="7"/>
      <c r="X70" s="7"/>
      <c r="Y70" s="7"/>
      <c r="Z70" s="7"/>
      <c r="AA70" s="7"/>
    </row>
    <row r="71" spans="3:27">
      <c r="C71" s="64"/>
      <c r="D71" s="65"/>
      <c r="E71" s="65"/>
      <c r="F71" s="65"/>
      <c r="G71" s="65"/>
      <c r="H71" s="65"/>
      <c r="I71" s="65"/>
      <c r="J71" s="65"/>
      <c r="K71" s="65"/>
      <c r="L71" s="65"/>
      <c r="M71" s="65"/>
      <c r="N71" s="65"/>
      <c r="O71" s="65"/>
      <c r="P71" s="65"/>
      <c r="Q71" s="65"/>
      <c r="R71" s="65"/>
      <c r="S71" s="65"/>
      <c r="T71" s="65"/>
      <c r="U71" s="65"/>
      <c r="V71" s="65"/>
      <c r="W71" s="65"/>
      <c r="X71" s="65"/>
      <c r="Y71" s="65"/>
      <c r="Z71" s="65"/>
      <c r="AA71" s="65"/>
    </row>
    <row r="73" spans="3:27" ht="18">
      <c r="C73" s="140" t="s">
        <v>128</v>
      </c>
    </row>
    <row r="74" spans="3:27">
      <c r="C74" s="136" t="s">
        <v>129</v>
      </c>
    </row>
    <row r="75" spans="3:27">
      <c r="C75" s="136" t="s">
        <v>130</v>
      </c>
    </row>
    <row r="77" spans="3:27">
      <c r="C77" s="42"/>
      <c r="D77" s="42"/>
      <c r="E77" s="42"/>
      <c r="F77" s="42"/>
      <c r="G77" s="42"/>
      <c r="H77" s="42"/>
      <c r="I77" s="42"/>
      <c r="J77" s="7"/>
      <c r="K77" s="7"/>
      <c r="L77" s="7"/>
    </row>
    <row r="78" spans="3:27">
      <c r="C78" s="7"/>
      <c r="D78" s="7"/>
      <c r="E78" s="7"/>
      <c r="F78" s="7"/>
      <c r="G78" s="7"/>
      <c r="H78" s="7"/>
      <c r="I78" s="7"/>
      <c r="J78" s="7"/>
      <c r="K78" s="7"/>
      <c r="L78" s="7"/>
    </row>
    <row r="79" spans="3:27">
      <c r="C79" s="189" t="s">
        <v>134</v>
      </c>
      <c r="D79" s="189" t="s">
        <v>96</v>
      </c>
      <c r="E79" s="189">
        <f>ano_1</f>
        <v>2024</v>
      </c>
      <c r="F79" s="189">
        <f>E79+1</f>
        <v>2025</v>
      </c>
      <c r="G79" s="189">
        <f t="shared" ref="G79:I79" si="12">F79+1</f>
        <v>2026</v>
      </c>
      <c r="H79" s="189">
        <f t="shared" si="12"/>
        <v>2027</v>
      </c>
      <c r="I79" s="189">
        <f t="shared" si="12"/>
        <v>2028</v>
      </c>
      <c r="J79" s="189" t="s">
        <v>5</v>
      </c>
      <c r="K79" s="415" t="s">
        <v>97</v>
      </c>
      <c r="L79" s="416"/>
      <c r="M79" s="416"/>
      <c r="N79" s="416"/>
    </row>
    <row r="80" spans="3:27">
      <c r="C80" s="53" t="s">
        <v>354</v>
      </c>
      <c r="D80" s="382" t="s">
        <v>7</v>
      </c>
      <c r="E80" s="53">
        <v>217684462</v>
      </c>
      <c r="F80" s="53">
        <v>219029093</v>
      </c>
      <c r="G80" s="53">
        <v>220316530</v>
      </c>
      <c r="H80" s="53">
        <v>221545234</v>
      </c>
      <c r="I80" s="53">
        <v>222713669</v>
      </c>
      <c r="J80" s="199">
        <f>SUM(E80:I80)</f>
        <v>1101288988</v>
      </c>
      <c r="K80" s="414"/>
      <c r="L80" s="414"/>
      <c r="M80" s="414"/>
      <c r="N80" s="414"/>
    </row>
    <row r="81" spans="3:14">
      <c r="C81" s="514" t="s">
        <v>355</v>
      </c>
      <c r="D81" s="183">
        <v>1.516E-4</v>
      </c>
      <c r="E81" s="199">
        <f>IF(D81&gt;0,E80*Parameters!$E6,0)</f>
        <v>33000.964439199997</v>
      </c>
      <c r="F81" s="199">
        <f>IF(E81&gt;0,F80*Parameters!$E6,0)</f>
        <v>33204.810498799998</v>
      </c>
      <c r="G81" s="199">
        <f>IF(F81&gt;0,G80*Parameters!$E6,0)</f>
        <v>33399.985948000001</v>
      </c>
      <c r="H81" s="199">
        <f>IF(G81&gt;0,H80*Parameters!$E6,0)</f>
        <v>33586.257474400001</v>
      </c>
      <c r="I81" s="199">
        <f>IF(H81&gt;0,I80*Parameters!$E6,0)</f>
        <v>33763.392220399997</v>
      </c>
      <c r="J81" s="199">
        <f t="shared" ref="J81:J88" si="13">SUM(E81:I81)</f>
        <v>166955.41058079997</v>
      </c>
      <c r="K81" s="414"/>
      <c r="L81" s="414"/>
      <c r="M81" s="414"/>
      <c r="N81" s="414"/>
    </row>
    <row r="82" spans="3:14">
      <c r="C82" s="53" t="s">
        <v>356</v>
      </c>
      <c r="D82" s="183">
        <v>0.15</v>
      </c>
      <c r="E82" s="199">
        <f>IF(D82&gt;0,E81*Parameters!$E7,0)</f>
        <v>4950.1446658799996</v>
      </c>
      <c r="F82" s="199">
        <f>IF(E82&gt;0,F81*Parameters!$E7,0)</f>
        <v>4980.7215748199997</v>
      </c>
      <c r="G82" s="199">
        <f>IF(F82&gt;0,G81*Parameters!$E7,0)</f>
        <v>5009.9978922</v>
      </c>
      <c r="H82" s="199">
        <f>IF(G82&gt;0,H81*Parameters!$E7,0)</f>
        <v>5037.9386211600004</v>
      </c>
      <c r="I82" s="199">
        <f>IF(H82&gt;0,I81*Parameters!$E7,0)</f>
        <v>5064.5088330599992</v>
      </c>
      <c r="J82" s="199">
        <f t="shared" si="13"/>
        <v>25043.311587119999</v>
      </c>
      <c r="K82" s="414"/>
      <c r="L82" s="414"/>
      <c r="M82" s="414"/>
      <c r="N82" s="414"/>
    </row>
    <row r="83" spans="3:14">
      <c r="C83" s="53"/>
      <c r="D83" s="183"/>
      <c r="E83" s="199">
        <f>IF(D83&gt;0,E82*Parameters!$E8,0)</f>
        <v>0</v>
      </c>
      <c r="F83" s="199">
        <f>IF(E83&gt;0,F82*Parameters!$E8,0)</f>
        <v>0</v>
      </c>
      <c r="G83" s="199">
        <f>IF(F83&gt;0,G82*Parameters!$E8,0)</f>
        <v>0</v>
      </c>
      <c r="H83" s="199">
        <f>IF(G83&gt;0,H82*Parameters!$E8,0)</f>
        <v>0</v>
      </c>
      <c r="I83" s="199">
        <f>IF(H83&gt;0,I82*Parameters!$E8,0)</f>
        <v>0</v>
      </c>
      <c r="J83" s="199">
        <f t="shared" si="13"/>
        <v>0</v>
      </c>
      <c r="K83" s="414"/>
      <c r="L83" s="414"/>
      <c r="M83" s="414"/>
      <c r="N83" s="414"/>
    </row>
    <row r="84" spans="3:14">
      <c r="C84" s="53"/>
      <c r="D84" s="183"/>
      <c r="E84" s="199">
        <f>IF(D84&gt;0,E83*Parameters!$E9,0)</f>
        <v>0</v>
      </c>
      <c r="F84" s="199">
        <f>IF(E84&gt;0,F83*Parameters!$E9,0)</f>
        <v>0</v>
      </c>
      <c r="G84" s="199">
        <f>IF(F84&gt;0,G83*Parameters!$E9,0)</f>
        <v>0</v>
      </c>
      <c r="H84" s="199">
        <f>IF(G84&gt;0,H83*Parameters!$E9,0)</f>
        <v>0</v>
      </c>
      <c r="I84" s="199">
        <f>IF(H84&gt;0,I83*Parameters!$E9,0)</f>
        <v>0</v>
      </c>
      <c r="J84" s="199">
        <f t="shared" si="13"/>
        <v>0</v>
      </c>
      <c r="K84" s="414"/>
      <c r="L84" s="414"/>
      <c r="M84" s="414"/>
      <c r="N84" s="414"/>
    </row>
    <row r="85" spans="3:14">
      <c r="C85" s="53"/>
      <c r="D85" s="183"/>
      <c r="E85" s="199">
        <f>IF(D85&gt;0,E84*Parameters!$E10,0)</f>
        <v>0</v>
      </c>
      <c r="F85" s="199">
        <f>IF(E85&gt;0,F84*Parameters!$E10,0)</f>
        <v>0</v>
      </c>
      <c r="G85" s="199">
        <f>IF(F85&gt;0,G84*Parameters!$E10,0)</f>
        <v>0</v>
      </c>
      <c r="H85" s="199">
        <f>IF(G85&gt;0,H84*Parameters!$E10,0)</f>
        <v>0</v>
      </c>
      <c r="I85" s="199">
        <f>IF(H85&gt;0,I84*Parameters!$E10,0)</f>
        <v>0</v>
      </c>
      <c r="J85" s="199">
        <f t="shared" si="13"/>
        <v>0</v>
      </c>
      <c r="K85" s="414"/>
      <c r="L85" s="414"/>
      <c r="M85" s="414"/>
      <c r="N85" s="414"/>
    </row>
    <row r="86" spans="3:14">
      <c r="C86" s="53"/>
      <c r="D86" s="183"/>
      <c r="E86" s="199">
        <f>IF(D86&gt;0,E85*Parameters!$E11,0)</f>
        <v>0</v>
      </c>
      <c r="F86" s="199">
        <f>IF(E86&gt;0,F85*Parameters!$E11,0)</f>
        <v>0</v>
      </c>
      <c r="G86" s="199">
        <f>IF(F86&gt;0,G85*Parameters!$E11,0)</f>
        <v>0</v>
      </c>
      <c r="H86" s="199">
        <f>IF(G86&gt;0,H85*Parameters!$E11,0)</f>
        <v>0</v>
      </c>
      <c r="I86" s="199">
        <f>IF(H86&gt;0,I85*Parameters!$E11,0)</f>
        <v>0</v>
      </c>
      <c r="J86" s="199">
        <f t="shared" si="13"/>
        <v>0</v>
      </c>
      <c r="K86" s="414"/>
      <c r="L86" s="414"/>
      <c r="M86" s="414"/>
      <c r="N86" s="414"/>
    </row>
    <row r="87" spans="3:14">
      <c r="C87" s="53"/>
      <c r="D87" s="183"/>
      <c r="E87" s="199">
        <f>IF(D87&gt;0,E86*Parameters!$E12,0)</f>
        <v>0</v>
      </c>
      <c r="F87" s="199">
        <f>IF(E87&gt;0,F86*Parameters!$E12,0)</f>
        <v>0</v>
      </c>
      <c r="G87" s="199">
        <f>IF(F87&gt;0,G86*Parameters!$E12,0)</f>
        <v>0</v>
      </c>
      <c r="H87" s="199">
        <f>IF(G87&gt;0,H86*Parameters!$E12,0)</f>
        <v>0</v>
      </c>
      <c r="I87" s="199">
        <f>IF(H87&gt;0,I86*Parameters!$E12,0)</f>
        <v>0</v>
      </c>
      <c r="J87" s="199">
        <f t="shared" si="13"/>
        <v>0</v>
      </c>
      <c r="K87" s="414"/>
      <c r="L87" s="414"/>
      <c r="M87" s="414"/>
      <c r="N87" s="414"/>
    </row>
    <row r="88" spans="3:14">
      <c r="C88" s="53"/>
      <c r="D88" s="183"/>
      <c r="E88" s="199">
        <f>IF(D88&gt;0,E87*Parameters!$E13,0)</f>
        <v>0</v>
      </c>
      <c r="F88" s="199">
        <f>IF(E88&gt;0,F87*Parameters!$E13,0)</f>
        <v>0</v>
      </c>
      <c r="G88" s="199">
        <f>IF(F88&gt;0,G87*Parameters!$E13,0)</f>
        <v>0</v>
      </c>
      <c r="H88" s="199">
        <f>IF(G88&gt;0,H87*Parameters!$E13,0)</f>
        <v>0</v>
      </c>
      <c r="I88" s="199">
        <f>IF(H88&gt;0,I87*Parameters!$E13,0)</f>
        <v>0</v>
      </c>
      <c r="J88" s="199">
        <f t="shared" si="13"/>
        <v>0</v>
      </c>
      <c r="K88" s="414"/>
      <c r="L88" s="414"/>
      <c r="M88" s="414"/>
      <c r="N88" s="414"/>
    </row>
    <row r="89" spans="3:14" ht="15.6">
      <c r="C89" s="201" t="s">
        <v>6</v>
      </c>
      <c r="D89" s="201"/>
      <c r="E89" s="383">
        <f>IF(E81=0,E80,IF(E82=0,E81,IF(E83=0,E82,IF(E84=0,E83,IF(E85=0,E84,IF(E86=0,E85,IF(E87=0,E86,IF(E88=0,E87,E88))))))))</f>
        <v>4950.1446658799996</v>
      </c>
      <c r="F89" s="383">
        <f t="shared" ref="F89:I89" si="14">IF(F81=0,F80,IF(F82=0,F81,IF(F83=0,F82,IF(F84=0,F83,IF(F85=0,F84,IF(F86=0,F85,IF(F87=0,F86,IF(F88=0,F87,F88))))))))</f>
        <v>4980.7215748199997</v>
      </c>
      <c r="G89" s="383">
        <f>IF(G81=0,G80,IF(G82=0,G81,IF(G83=0,G82,IF(G84=0,G83,IF(G85=0,G84,IF(G86=0,G85,IF(G87=0,G86,IF(G88=0,G87,G88))))))))</f>
        <v>5009.9978922</v>
      </c>
      <c r="H89" s="383">
        <f t="shared" si="14"/>
        <v>5037.9386211600004</v>
      </c>
      <c r="I89" s="383">
        <f t="shared" si="14"/>
        <v>5064.5088330599992</v>
      </c>
      <c r="J89" s="7"/>
      <c r="K89" s="7"/>
      <c r="L89" s="7"/>
    </row>
    <row r="90" spans="3:14">
      <c r="C90" s="7"/>
      <c r="D90" s="7"/>
      <c r="E90" s="2"/>
      <c r="F90" s="7"/>
      <c r="G90" s="7"/>
      <c r="H90" s="7"/>
      <c r="I90" s="7"/>
      <c r="J90" s="7"/>
      <c r="K90" s="7"/>
      <c r="L90" s="7"/>
    </row>
    <row r="91" spans="3:14">
      <c r="C91" s="7"/>
      <c r="D91" s="7"/>
      <c r="E91" s="7"/>
      <c r="F91" s="7"/>
      <c r="G91" s="7"/>
      <c r="H91" s="7"/>
      <c r="I91" s="7"/>
      <c r="J91" s="7"/>
      <c r="K91" s="7"/>
      <c r="L91" s="7"/>
    </row>
    <row r="92" spans="3:14">
      <c r="C92" s="7"/>
      <c r="D92" s="7"/>
      <c r="E92" s="7"/>
      <c r="F92" s="7"/>
      <c r="G92" s="7"/>
      <c r="H92" s="7"/>
      <c r="I92" s="7"/>
      <c r="J92" s="7"/>
      <c r="K92" s="7"/>
      <c r="L92" s="7"/>
    </row>
    <row r="101" spans="2:31" s="1" customFormat="1">
      <c r="C101" s="7"/>
      <c r="D101" s="7"/>
      <c r="E101" s="7"/>
      <c r="F101" s="7"/>
      <c r="G101" s="7"/>
      <c r="H101" s="7"/>
      <c r="I101" s="7"/>
      <c r="J101" s="7"/>
      <c r="K101" s="7"/>
      <c r="L101" s="7"/>
      <c r="M101" s="142"/>
      <c r="N101" s="142"/>
      <c r="Q101" s="27"/>
      <c r="R101" s="27"/>
      <c r="S101" s="27"/>
      <c r="T101" s="27"/>
      <c r="U101" s="27"/>
      <c r="V101" s="27"/>
      <c r="X101" s="27"/>
      <c r="Y101" s="27"/>
      <c r="Z101" s="27"/>
      <c r="AA101" s="27"/>
      <c r="AB101" s="27"/>
      <c r="AC101" s="27"/>
      <c r="AE101" s="27"/>
    </row>
    <row r="102" spans="2:31" s="1" customFormat="1">
      <c r="C102" s="65"/>
      <c r="D102" s="65"/>
      <c r="E102" s="65"/>
      <c r="F102" s="65"/>
      <c r="G102" s="65"/>
      <c r="H102" s="65"/>
      <c r="I102" s="65"/>
      <c r="J102" s="65"/>
      <c r="K102" s="65"/>
      <c r="L102" s="65"/>
      <c r="M102" s="65"/>
      <c r="N102" s="65"/>
      <c r="Q102" s="27"/>
      <c r="R102" s="27"/>
      <c r="S102" s="27"/>
      <c r="T102" s="27"/>
      <c r="U102" s="27"/>
      <c r="V102" s="27"/>
      <c r="X102" s="27"/>
      <c r="Y102" s="27"/>
      <c r="Z102" s="27"/>
      <c r="AA102" s="27"/>
      <c r="AB102" s="27"/>
      <c r="AC102" s="27"/>
      <c r="AE102" s="27"/>
    </row>
    <row r="103" spans="2:31" s="1" customFormat="1">
      <c r="C103" s="406" t="s">
        <v>224</v>
      </c>
      <c r="D103" s="406"/>
      <c r="E103" s="406"/>
      <c r="F103" s="406"/>
      <c r="G103" s="406"/>
      <c r="H103" s="406"/>
      <c r="I103" s="406"/>
      <c r="J103" s="406"/>
      <c r="K103" s="406"/>
      <c r="L103" s="406"/>
      <c r="M103" s="406"/>
      <c r="N103" s="406"/>
      <c r="Q103" s="27"/>
      <c r="R103" s="27"/>
      <c r="S103" s="27"/>
      <c r="T103" s="27"/>
      <c r="U103" s="27"/>
      <c r="V103" s="27"/>
      <c r="X103" s="27"/>
      <c r="Y103" s="27"/>
      <c r="Z103" s="27"/>
      <c r="AA103" s="27"/>
      <c r="AB103" s="27"/>
      <c r="AC103" s="27"/>
      <c r="AE103" s="27"/>
    </row>
    <row r="104" spans="2:31" s="1" customFormat="1">
      <c r="C104" s="406"/>
      <c r="D104" s="406"/>
      <c r="E104" s="406"/>
      <c r="F104" s="406"/>
      <c r="G104" s="406"/>
      <c r="H104" s="406"/>
      <c r="I104" s="406"/>
      <c r="J104" s="406"/>
      <c r="K104" s="406"/>
      <c r="L104" s="406"/>
      <c r="M104" s="406"/>
      <c r="N104" s="406"/>
      <c r="Q104" s="27"/>
      <c r="R104" s="27"/>
      <c r="S104" s="27"/>
      <c r="T104" s="27"/>
      <c r="U104" s="27"/>
      <c r="V104" s="27"/>
      <c r="X104" s="27"/>
      <c r="Y104" s="27"/>
      <c r="Z104" s="27"/>
      <c r="AA104" s="27"/>
      <c r="AB104" s="27"/>
      <c r="AC104" s="27"/>
      <c r="AE104" s="27"/>
    </row>
    <row r="105" spans="2:31" s="1" customFormat="1" ht="85.95" customHeight="1">
      <c r="B105" s="405" t="e" vm="1">
        <v>#VALUE!</v>
      </c>
      <c r="C105" s="405"/>
      <c r="D105" s="405"/>
      <c r="E105" s="405"/>
      <c r="F105" s="405"/>
      <c r="G105" s="405"/>
      <c r="H105" s="405"/>
      <c r="I105" s="405"/>
      <c r="J105" s="405"/>
      <c r="K105" s="405"/>
      <c r="L105" s="405"/>
      <c r="M105" s="405"/>
    </row>
  </sheetData>
  <sheetProtection algorithmName="SHA-512" hashValue="dE3ASO+kjKrao6I5s8Ig4h59VqWglAMtaiFnW865aJeLW6j2THTlU6P/DnFeHakwWIfynYtiLYULskpkoOGJ2w==" saltValue="tdnBt3C62pnFrmzf/d1ZEg==" spinCount="100000" sheet="1" scenarios="1" formatCells="0" formatColumns="0" formatRows="0"/>
  <mergeCells count="22">
    <mergeCell ref="C62:C63"/>
    <mergeCell ref="D56:E56"/>
    <mergeCell ref="C59:C60"/>
    <mergeCell ref="E9:I9"/>
    <mergeCell ref="E10:I14"/>
    <mergeCell ref="E15:I15"/>
    <mergeCell ref="C26:C27"/>
    <mergeCell ref="C45:C46"/>
    <mergeCell ref="C17:C18"/>
    <mergeCell ref="C14:C15"/>
    <mergeCell ref="K79:N79"/>
    <mergeCell ref="K80:N80"/>
    <mergeCell ref="K81:N81"/>
    <mergeCell ref="K82:N82"/>
    <mergeCell ref="K83:N83"/>
    <mergeCell ref="C103:N104"/>
    <mergeCell ref="B105:M105"/>
    <mergeCell ref="K84:N84"/>
    <mergeCell ref="K85:N85"/>
    <mergeCell ref="K86:N86"/>
    <mergeCell ref="K87:N87"/>
    <mergeCell ref="K88:N88"/>
  </mergeCells>
  <conditionalFormatting sqref="E18">
    <cfRule type="expression" dxfId="42" priority="2">
      <formula>IF($H$42=2,TRUE,FALSE)</formula>
    </cfRule>
  </conditionalFormatting>
  <dataValidations count="5">
    <dataValidation type="list" allowBlank="1" showInputMessage="1" showErrorMessage="1" sqref="D38 D40" xr:uid="{E626B6E8-96A2-4016-BB1F-8B613AF4CD7D}">
      <formula1>"2010,2011,2012,2013,2014,2015,2016,2017,2018,2019,2020,2021,2022,2023,2024,2025,"</formula1>
    </dataValidation>
    <dataValidation type="list" allowBlank="1" showInputMessage="1" showErrorMessage="1" sqref="E9:I9" xr:uid="{79E29FF1-74C1-4361-BD06-E990110B8FF5}">
      <formula1>"Enter data manually,Observed demand,Epidemiological method"</formula1>
    </dataValidation>
    <dataValidation type="list" allowBlank="1" showInputMessage="1" showErrorMessage="1" sqref="E15:I15" xr:uid="{BD495506-6F4E-B348-A9A0-B81F297F8BCF}">
      <mc:AlternateContent xmlns:x12ac="http://schemas.microsoft.com/office/spreadsheetml/2011/1/ac" xmlns:mc="http://schemas.openxmlformats.org/markup-compatibility/2006">
        <mc:Choice Requires="x12ac">
          <x12ac:list>"Yes, it represents incidence"," No, it represents prevalence"</x12ac:list>
        </mc:Choice>
        <mc:Fallback>
          <formula1>"Yes, it represents incidence, No, it represents prevalence"</formula1>
        </mc:Fallback>
      </mc:AlternateContent>
    </dataValidation>
    <dataValidation type="list" allowBlank="1" showInputMessage="1" showErrorMessage="1" sqref="D56:E56" xr:uid="{0D635DAF-5798-C845-B080-F7963A74B523}">
      <formula1>"Linear projection,Mean projection"</formula1>
    </dataValidation>
    <dataValidation type="list" allowBlank="1" showInputMessage="1" showErrorMessage="1" sqref="E18" xr:uid="{B564552F-24C9-0649-8D40-7D35E97FF8B9}">
      <formula1>"Yes,No"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32"/>
  <sheetViews>
    <sheetView showGridLines="0" showRowColHeaders="0" topLeftCell="A39" zoomScale="110" zoomScaleNormal="110" workbookViewId="0">
      <selection activeCell="P44" sqref="P44"/>
    </sheetView>
  </sheetViews>
  <sheetFormatPr defaultColWidth="8.77734375" defaultRowHeight="14.4"/>
  <cols>
    <col min="1" max="1" width="5.44140625" style="180" customWidth="1"/>
    <col min="2" max="2" width="21.44140625" style="180" customWidth="1"/>
    <col min="3" max="3" width="16.6640625" style="262" customWidth="1"/>
    <col min="4" max="4" width="17.6640625" style="263" customWidth="1"/>
    <col min="5" max="5" width="17.6640625" style="262" customWidth="1"/>
    <col min="6" max="9" width="17.6640625" style="180" customWidth="1"/>
    <col min="10" max="10" width="27.44140625" style="180" customWidth="1"/>
    <col min="11" max="12" width="6.77734375" style="180" customWidth="1"/>
    <col min="13" max="13" width="6.77734375" style="259" customWidth="1"/>
    <col min="14" max="14" width="6.77734375" style="258" customWidth="1"/>
    <col min="15" max="15" width="17.33203125" style="259" customWidth="1"/>
    <col min="16" max="18" width="17.33203125" style="258" customWidth="1"/>
    <col min="19" max="19" width="17.33203125" style="260" customWidth="1"/>
    <col min="20" max="20" width="16.6640625" style="258" customWidth="1"/>
    <col min="21" max="21" width="19.6640625" style="180" customWidth="1"/>
    <col min="22" max="22" width="44.77734375" style="180" customWidth="1"/>
    <col min="23" max="23" width="3.77734375" style="180" customWidth="1"/>
    <col min="24" max="24" width="8.77734375" style="261" customWidth="1"/>
    <col min="25" max="38" width="8.77734375" style="180" customWidth="1"/>
    <col min="39" max="16384" width="8.77734375" style="180"/>
  </cols>
  <sheetData>
    <row r="1" spans="1:24" s="130" customFormat="1" ht="33.6">
      <c r="A1" s="127"/>
      <c r="B1" s="128" t="str">
        <f>Introduction!$B$1</f>
        <v>Budget impact analysis of PET-CT for treatment of small-cell lung cancer</v>
      </c>
      <c r="C1" s="128"/>
      <c r="D1" s="129"/>
      <c r="E1" s="127"/>
      <c r="F1" s="127"/>
      <c r="G1" s="127"/>
      <c r="H1" s="127"/>
      <c r="I1" s="127"/>
      <c r="J1" s="127"/>
      <c r="K1" s="127"/>
      <c r="L1" s="127"/>
      <c r="M1" s="127"/>
      <c r="N1" s="127"/>
      <c r="O1" s="127"/>
      <c r="P1" s="127"/>
      <c r="Q1" s="127"/>
      <c r="R1" s="127"/>
      <c r="S1" s="127"/>
      <c r="T1" s="127"/>
      <c r="U1" s="127"/>
      <c r="V1" s="127"/>
      <c r="W1" s="127"/>
      <c r="X1" s="231"/>
    </row>
    <row r="2" spans="1:24" s="130" customFormat="1" ht="18">
      <c r="A2" s="127"/>
      <c r="B2" s="131"/>
      <c r="C2" s="131"/>
      <c r="D2" s="132"/>
      <c r="E2" s="133"/>
      <c r="F2" s="133"/>
      <c r="G2" s="133"/>
      <c r="H2" s="133"/>
      <c r="I2" s="133"/>
      <c r="J2" s="133"/>
      <c r="K2" s="127"/>
      <c r="L2" s="127"/>
      <c r="M2" s="127"/>
      <c r="N2" s="127"/>
      <c r="O2" s="127"/>
      <c r="P2" s="127"/>
      <c r="Q2" s="127"/>
      <c r="R2" s="127"/>
      <c r="S2" s="127"/>
      <c r="T2" s="127"/>
      <c r="U2" s="127"/>
      <c r="V2" s="127"/>
      <c r="W2" s="127"/>
      <c r="X2" s="231"/>
    </row>
    <row r="3" spans="1:24" s="134" customFormat="1" ht="2.25" customHeight="1">
      <c r="D3" s="135"/>
      <c r="X3" s="232"/>
    </row>
    <row r="4" spans="1:24" s="3" customFormat="1">
      <c r="A4" s="233"/>
      <c r="B4" s="9"/>
      <c r="C4" s="11"/>
      <c r="D4" s="234"/>
      <c r="E4" s="11"/>
      <c r="F4" s="233"/>
      <c r="G4" s="233"/>
      <c r="H4" s="233"/>
      <c r="I4" s="233"/>
      <c r="J4" s="233"/>
      <c r="K4" s="233"/>
      <c r="L4" s="233"/>
      <c r="M4" s="235"/>
      <c r="N4" s="236"/>
      <c r="O4" s="235"/>
      <c r="P4" s="236"/>
      <c r="Q4" s="236"/>
      <c r="R4" s="236"/>
      <c r="S4" s="237"/>
      <c r="T4" s="236"/>
      <c r="U4" s="233"/>
      <c r="V4" s="233"/>
      <c r="W4" s="233"/>
      <c r="X4" s="238"/>
    </row>
    <row r="5" spans="1:24" s="3" customFormat="1">
      <c r="A5" s="233"/>
      <c r="B5" s="9"/>
      <c r="C5" s="9"/>
      <c r="D5" s="9"/>
      <c r="E5" s="11"/>
      <c r="F5" s="233"/>
      <c r="G5" s="233"/>
      <c r="H5" s="233"/>
      <c r="I5" s="233"/>
      <c r="J5" s="233"/>
      <c r="K5" s="233"/>
      <c r="L5" s="233"/>
      <c r="M5" s="235"/>
      <c r="N5" s="236"/>
      <c r="O5" s="235"/>
      <c r="P5" s="236"/>
      <c r="Q5" s="236"/>
      <c r="R5" s="236"/>
      <c r="S5" s="237"/>
      <c r="T5" s="236"/>
      <c r="U5" s="233"/>
      <c r="V5" s="233"/>
      <c r="W5" s="233"/>
      <c r="X5" s="238"/>
    </row>
    <row r="6" spans="1:24" s="3" customFormat="1">
      <c r="A6" s="233"/>
      <c r="B6" s="9"/>
      <c r="C6" s="9"/>
      <c r="D6" s="9"/>
      <c r="E6" s="11"/>
      <c r="F6" s="233"/>
      <c r="G6" s="233"/>
      <c r="H6" s="233"/>
      <c r="I6" s="233"/>
      <c r="J6" s="233"/>
      <c r="K6" s="233"/>
      <c r="L6" s="233"/>
      <c r="M6" s="235"/>
      <c r="N6" s="236"/>
      <c r="O6" s="235"/>
      <c r="P6" s="236"/>
      <c r="Q6" s="236"/>
      <c r="R6" s="236"/>
      <c r="S6" s="237"/>
      <c r="T6" s="236"/>
      <c r="U6" s="233"/>
      <c r="V6" s="233"/>
      <c r="W6" s="233"/>
      <c r="X6" s="238"/>
    </row>
    <row r="7" spans="1:24" s="3" customFormat="1">
      <c r="A7" s="233"/>
      <c r="B7" s="9"/>
      <c r="C7" s="9"/>
      <c r="D7" s="9"/>
      <c r="E7" s="11"/>
      <c r="F7" s="233"/>
      <c r="G7" s="233"/>
      <c r="H7" s="233"/>
      <c r="I7" s="233"/>
      <c r="J7" s="233"/>
      <c r="K7" s="233"/>
      <c r="L7" s="233"/>
      <c r="M7" s="235"/>
      <c r="N7" s="236"/>
      <c r="O7" s="235"/>
      <c r="P7" s="236"/>
      <c r="Q7" s="236"/>
      <c r="R7" s="236"/>
      <c r="S7" s="237"/>
      <c r="T7" s="236"/>
      <c r="U7" s="233"/>
      <c r="V7" s="233"/>
      <c r="W7" s="233"/>
      <c r="X7" s="238"/>
    </row>
    <row r="8" spans="1:24" s="3" customFormat="1">
      <c r="A8" s="233"/>
      <c r="B8" s="9"/>
      <c r="C8" s="9"/>
      <c r="D8" s="9"/>
      <c r="E8" s="11"/>
      <c r="F8" s="233"/>
      <c r="G8" s="233"/>
      <c r="H8" s="233"/>
      <c r="I8" s="233"/>
      <c r="J8" s="233"/>
      <c r="K8" s="233"/>
      <c r="L8" s="233"/>
      <c r="M8" s="235"/>
      <c r="N8" s="236"/>
      <c r="O8" s="235"/>
      <c r="P8" s="236"/>
      <c r="Q8" s="236"/>
      <c r="R8" s="236"/>
      <c r="S8" s="237"/>
      <c r="T8" s="236"/>
      <c r="U8" s="233"/>
      <c r="V8" s="233"/>
      <c r="W8" s="233"/>
      <c r="X8" s="238"/>
    </row>
    <row r="9" spans="1:24" s="3" customFormat="1">
      <c r="A9" s="233"/>
      <c r="B9" s="9"/>
      <c r="C9" s="239"/>
      <c r="D9" s="9"/>
      <c r="E9" s="11"/>
      <c r="F9" s="233"/>
      <c r="G9" s="233"/>
      <c r="H9" s="233"/>
      <c r="I9" s="233"/>
      <c r="J9" s="233"/>
      <c r="K9" s="233"/>
      <c r="L9" s="233"/>
      <c r="M9" s="235"/>
      <c r="N9" s="236"/>
      <c r="O9" s="235"/>
      <c r="P9" s="236"/>
      <c r="Q9" s="236"/>
      <c r="R9" s="236"/>
      <c r="S9" s="237"/>
      <c r="T9" s="236"/>
      <c r="U9" s="233"/>
      <c r="V9" s="233"/>
      <c r="W9" s="233"/>
      <c r="X9" s="238"/>
    </row>
    <row r="10" spans="1:24" s="3" customFormat="1">
      <c r="A10" s="233"/>
      <c r="B10" s="9"/>
      <c r="C10" s="239"/>
      <c r="D10" s="9"/>
      <c r="E10" s="11"/>
      <c r="F10" s="233"/>
      <c r="G10" s="233"/>
      <c r="H10" s="233"/>
      <c r="I10" s="233"/>
      <c r="J10" s="233"/>
      <c r="K10" s="233"/>
      <c r="L10" s="233"/>
      <c r="M10" s="235"/>
      <c r="N10" s="236"/>
      <c r="O10" s="235"/>
      <c r="P10" s="236"/>
      <c r="Q10" s="236"/>
      <c r="R10" s="236"/>
      <c r="S10" s="237"/>
      <c r="T10" s="236"/>
      <c r="U10" s="233"/>
      <c r="V10" s="233"/>
      <c r="W10" s="233"/>
      <c r="X10" s="238"/>
    </row>
    <row r="11" spans="1:24" s="3" customFormat="1">
      <c r="A11" s="233"/>
      <c r="B11" s="9"/>
      <c r="C11" s="239"/>
      <c r="D11" s="9"/>
      <c r="E11" s="11"/>
      <c r="F11" s="233"/>
      <c r="G11" s="233"/>
      <c r="H11" s="233"/>
      <c r="I11" s="233"/>
      <c r="J11" s="233"/>
      <c r="K11" s="233"/>
      <c r="L11" s="233"/>
      <c r="M11" s="235"/>
      <c r="N11" s="236"/>
      <c r="O11" s="235"/>
      <c r="P11" s="236"/>
      <c r="Q11" s="236"/>
      <c r="R11" s="236"/>
      <c r="S11" s="237"/>
      <c r="T11" s="236"/>
      <c r="U11" s="233"/>
      <c r="V11" s="233"/>
      <c r="W11" s="233"/>
      <c r="X11" s="238"/>
    </row>
    <row r="12" spans="1:24" s="3" customFormat="1">
      <c r="A12" s="233"/>
      <c r="B12" s="9"/>
      <c r="C12" s="239"/>
      <c r="D12" s="234"/>
      <c r="E12" s="11"/>
      <c r="F12" s="233"/>
      <c r="G12" s="233"/>
      <c r="H12" s="233"/>
      <c r="I12" s="233"/>
      <c r="J12" s="233"/>
      <c r="K12" s="233"/>
      <c r="L12" s="233"/>
      <c r="M12" s="235"/>
      <c r="N12" s="236"/>
      <c r="O12" s="235"/>
      <c r="P12" s="236"/>
      <c r="Q12" s="236"/>
      <c r="R12" s="236"/>
      <c r="S12" s="237"/>
      <c r="T12" s="236"/>
      <c r="U12" s="233"/>
      <c r="V12" s="233"/>
      <c r="W12" s="233"/>
      <c r="X12" s="238"/>
    </row>
    <row r="13" spans="1:24" s="3" customFormat="1">
      <c r="A13" s="233"/>
      <c r="B13" s="9"/>
      <c r="C13" s="239"/>
      <c r="D13" s="234"/>
      <c r="E13" s="11"/>
      <c r="F13" s="233"/>
      <c r="G13" s="233"/>
      <c r="H13" s="233"/>
      <c r="I13" s="233"/>
      <c r="J13" s="233"/>
      <c r="K13" s="233"/>
      <c r="L13" s="233"/>
      <c r="M13" s="235"/>
      <c r="N13" s="236"/>
      <c r="O13" s="235"/>
      <c r="P13" s="236"/>
      <c r="Q13" s="236"/>
      <c r="R13" s="236"/>
      <c r="S13" s="237"/>
      <c r="T13" s="236"/>
      <c r="U13" s="233"/>
      <c r="V13" s="233"/>
      <c r="W13" s="233"/>
      <c r="X13" s="238"/>
    </row>
    <row r="14" spans="1:24" s="3" customFormat="1">
      <c r="A14" s="233"/>
      <c r="B14" s="9"/>
      <c r="C14" s="239"/>
      <c r="D14" s="234"/>
      <c r="E14" s="11"/>
      <c r="F14" s="233"/>
      <c r="G14" s="233"/>
      <c r="H14" s="233"/>
      <c r="I14" s="233"/>
      <c r="J14" s="233"/>
      <c r="K14" s="233"/>
      <c r="L14" s="233"/>
      <c r="M14" s="235"/>
      <c r="N14" s="236"/>
      <c r="O14" s="235"/>
      <c r="P14" s="236"/>
      <c r="Q14" s="236"/>
      <c r="R14" s="236"/>
      <c r="S14" s="237"/>
      <c r="T14" s="236"/>
      <c r="U14" s="233"/>
      <c r="V14" s="233"/>
      <c r="W14" s="233"/>
      <c r="X14" s="238"/>
    </row>
    <row r="15" spans="1:24" s="3" customFormat="1">
      <c r="A15" s="233"/>
      <c r="B15" s="9"/>
      <c r="C15" s="239"/>
      <c r="D15" s="234"/>
      <c r="E15" s="11"/>
      <c r="F15" s="233"/>
      <c r="G15" s="233"/>
      <c r="H15" s="233"/>
      <c r="I15" s="233"/>
      <c r="J15" s="233"/>
      <c r="K15" s="233"/>
      <c r="L15" s="233"/>
      <c r="M15" s="235"/>
      <c r="N15" s="236"/>
      <c r="O15" s="235"/>
      <c r="P15" s="236"/>
      <c r="Q15" s="236"/>
      <c r="R15" s="236"/>
      <c r="S15" s="237"/>
      <c r="T15" s="236"/>
      <c r="U15" s="233"/>
      <c r="V15" s="233"/>
      <c r="W15" s="233"/>
      <c r="X15" s="238"/>
    </row>
    <row r="16" spans="1:24" s="3" customFormat="1" ht="18">
      <c r="A16" s="233"/>
      <c r="B16" s="9"/>
      <c r="C16" s="239"/>
      <c r="D16" s="234"/>
      <c r="E16" s="11"/>
      <c r="F16" s="233"/>
      <c r="G16" s="233"/>
      <c r="H16" s="233"/>
      <c r="I16" s="233"/>
      <c r="J16" s="233"/>
      <c r="K16" s="233"/>
      <c r="L16" s="240"/>
      <c r="M16" s="235"/>
      <c r="N16" s="236"/>
      <c r="O16" s="235"/>
      <c r="P16" s="236"/>
      <c r="Q16" s="236"/>
      <c r="R16" s="236"/>
      <c r="S16" s="237"/>
      <c r="T16" s="236"/>
      <c r="U16" s="233"/>
      <c r="V16" s="233"/>
      <c r="W16" s="233"/>
      <c r="X16" s="238"/>
    </row>
    <row r="17" spans="1:24" s="3" customFormat="1">
      <c r="A17" s="233"/>
      <c r="B17" s="9"/>
      <c r="C17" s="239"/>
      <c r="D17" s="234"/>
      <c r="E17" s="11"/>
      <c r="F17" s="233"/>
      <c r="G17" s="233"/>
      <c r="H17" s="233"/>
      <c r="I17" s="233"/>
      <c r="J17" s="233"/>
      <c r="K17" s="233"/>
      <c r="L17"/>
      <c r="M17" s="235"/>
      <c r="N17" s="236"/>
      <c r="O17" s="235"/>
      <c r="P17" s="236"/>
      <c r="Q17" s="236"/>
      <c r="R17" s="236"/>
      <c r="S17" s="237"/>
      <c r="T17" s="236"/>
      <c r="U17" s="233"/>
      <c r="V17" s="233"/>
      <c r="W17" s="233"/>
      <c r="X17" s="238"/>
    </row>
    <row r="18" spans="1:24" s="3" customFormat="1">
      <c r="A18" s="233"/>
      <c r="B18" s="9"/>
      <c r="C18" s="239"/>
      <c r="D18" s="234"/>
      <c r="E18" s="11"/>
      <c r="F18" s="233"/>
      <c r="G18" s="233"/>
      <c r="H18" s="233"/>
      <c r="I18" s="233"/>
      <c r="J18"/>
      <c r="K18" s="233"/>
      <c r="L18" s="241"/>
      <c r="M18" s="235"/>
      <c r="N18" s="236"/>
      <c r="O18" s="235"/>
      <c r="P18" s="236"/>
      <c r="Q18" s="236"/>
      <c r="R18" s="236"/>
      <c r="S18" s="237"/>
      <c r="T18" s="236"/>
      <c r="U18" s="233"/>
      <c r="V18" s="233"/>
      <c r="W18" s="233"/>
      <c r="X18" s="238"/>
    </row>
    <row r="19" spans="1:24" s="3" customFormat="1">
      <c r="A19" s="233"/>
      <c r="B19" s="239"/>
      <c r="C19" s="239"/>
      <c r="D19" s="234"/>
      <c r="E19" s="11"/>
      <c r="F19" s="233"/>
      <c r="G19" s="233"/>
      <c r="H19" s="233"/>
      <c r="I19" s="233"/>
      <c r="J19" s="233"/>
      <c r="K19" s="233"/>
      <c r="L19"/>
      <c r="M19" s="235"/>
      <c r="N19" s="236"/>
      <c r="O19" s="235"/>
      <c r="P19" s="236"/>
      <c r="Q19" s="236"/>
      <c r="R19" s="236"/>
      <c r="S19" s="237"/>
      <c r="T19" s="236"/>
      <c r="U19" s="233"/>
      <c r="V19" s="233"/>
      <c r="W19" s="233"/>
      <c r="X19" s="238"/>
    </row>
    <row r="20" spans="1:24" s="3" customFormat="1">
      <c r="A20" s="233"/>
      <c r="B20" s="239"/>
      <c r="C20" s="239"/>
      <c r="D20" s="234"/>
      <c r="E20" s="11"/>
      <c r="F20" s="233"/>
      <c r="G20" s="233"/>
      <c r="H20" s="233"/>
      <c r="I20" s="233"/>
      <c r="J20" s="233"/>
      <c r="K20" s="233"/>
      <c r="L20" s="241"/>
      <c r="M20" s="235"/>
      <c r="N20" s="236"/>
      <c r="O20" s="235"/>
      <c r="P20" s="236"/>
      <c r="Q20" s="236"/>
      <c r="R20" s="236"/>
      <c r="S20" s="237"/>
      <c r="T20" s="236"/>
      <c r="U20" s="233"/>
      <c r="V20" s="233"/>
      <c r="W20" s="233"/>
      <c r="X20" s="238"/>
    </row>
    <row r="21" spans="1:24" s="3" customFormat="1">
      <c r="A21" s="233"/>
      <c r="B21" s="239"/>
      <c r="C21" s="239"/>
      <c r="D21" s="234"/>
      <c r="E21" s="11"/>
      <c r="F21" s="233"/>
      <c r="G21" s="233"/>
      <c r="H21" s="233"/>
      <c r="I21" s="233"/>
      <c r="J21" s="233"/>
      <c r="K21" s="233"/>
      <c r="L21"/>
      <c r="M21" s="235"/>
      <c r="N21" s="236"/>
      <c r="O21" s="235"/>
      <c r="P21" s="236"/>
      <c r="Q21" s="236"/>
      <c r="R21" s="236"/>
      <c r="S21" s="237"/>
      <c r="T21" s="236"/>
      <c r="U21" s="233"/>
      <c r="V21" s="233"/>
      <c r="W21" s="233"/>
      <c r="X21" s="238"/>
    </row>
    <row r="22" spans="1:24" s="3" customFormat="1">
      <c r="A22" s="233"/>
      <c r="B22" s="239"/>
      <c r="C22" s="239"/>
      <c r="D22" s="234"/>
      <c r="E22" s="11"/>
      <c r="F22" s="233"/>
      <c r="G22" s="233"/>
      <c r="H22" s="233"/>
      <c r="I22" s="233"/>
      <c r="J22" s="233"/>
      <c r="K22" s="233"/>
      <c r="L22" s="241"/>
      <c r="M22" s="235"/>
      <c r="N22" s="236"/>
      <c r="O22" s="235"/>
      <c r="P22" s="236"/>
      <c r="Q22" s="236"/>
      <c r="R22" s="236"/>
      <c r="S22" s="237"/>
      <c r="T22" s="236"/>
      <c r="U22" s="233"/>
      <c r="V22" s="233"/>
      <c r="W22" s="233"/>
      <c r="X22" s="238"/>
    </row>
    <row r="23" spans="1:24" s="3" customFormat="1">
      <c r="A23" s="233"/>
      <c r="B23" s="9"/>
      <c r="C23" s="239"/>
      <c r="D23" s="234"/>
      <c r="E23" s="11"/>
      <c r="F23" s="233"/>
      <c r="G23" s="233"/>
      <c r="H23" s="233"/>
      <c r="I23" s="233"/>
      <c r="J23" s="233"/>
      <c r="K23" s="233"/>
      <c r="L23"/>
      <c r="M23" s="235"/>
      <c r="N23" s="236"/>
      <c r="O23" s="235"/>
      <c r="P23" s="236"/>
      <c r="Q23" s="236"/>
      <c r="R23" s="236"/>
      <c r="S23" s="237"/>
      <c r="T23" s="236"/>
      <c r="U23" s="233"/>
      <c r="V23" s="233"/>
      <c r="W23" s="233"/>
      <c r="X23" s="238"/>
    </row>
    <row r="24" spans="1:24" s="3" customFormat="1">
      <c r="A24" s="233"/>
      <c r="B24" s="9"/>
      <c r="C24" s="239"/>
      <c r="D24" s="234"/>
      <c r="E24" s="11"/>
      <c r="F24" s="233"/>
      <c r="G24" s="233"/>
      <c r="H24" s="233"/>
      <c r="I24" s="233"/>
      <c r="J24" s="233"/>
      <c r="K24" s="233"/>
      <c r="L24"/>
      <c r="M24" s="235"/>
      <c r="N24" s="236"/>
      <c r="O24" s="235"/>
      <c r="P24" s="236"/>
      <c r="Q24" s="236"/>
      <c r="R24" s="236"/>
      <c r="S24" s="237"/>
      <c r="T24" s="236"/>
      <c r="U24" s="233"/>
      <c r="V24" s="233"/>
      <c r="W24" s="233"/>
      <c r="X24" s="238"/>
    </row>
    <row r="25" spans="1:24" s="3" customFormat="1">
      <c r="A25" s="233"/>
      <c r="B25" s="9"/>
      <c r="C25" s="239"/>
      <c r="D25" s="234"/>
      <c r="E25" s="11"/>
      <c r="F25" s="233"/>
      <c r="G25" s="233"/>
      <c r="H25" s="233"/>
      <c r="I25" s="233"/>
      <c r="J25" s="233"/>
      <c r="K25" s="233"/>
      <c r="L25"/>
      <c r="M25" s="235"/>
      <c r="N25" s="236"/>
      <c r="O25" s="235"/>
      <c r="P25" s="236"/>
      <c r="Q25" s="236"/>
      <c r="R25" s="236"/>
      <c r="S25" s="237"/>
      <c r="T25" s="236"/>
      <c r="U25" s="233"/>
      <c r="V25" s="233"/>
      <c r="W25" s="233"/>
      <c r="X25" s="238"/>
    </row>
    <row r="26" spans="1:24" s="3" customFormat="1" ht="18">
      <c r="A26" s="233"/>
      <c r="B26" s="140" t="s">
        <v>158</v>
      </c>
      <c r="C26" s="11"/>
      <c r="D26" s="234"/>
      <c r="E26" s="11"/>
      <c r="F26" s="233"/>
      <c r="G26" s="233"/>
      <c r="H26" s="233"/>
      <c r="I26" s="233"/>
      <c r="J26" s="233"/>
      <c r="K26" s="233"/>
      <c r="L26" s="240"/>
      <c r="M26" s="235"/>
      <c r="N26" s="236"/>
      <c r="O26" s="235"/>
      <c r="P26" s="236"/>
      <c r="Q26" s="236"/>
      <c r="R26" s="236"/>
      <c r="S26" s="237"/>
      <c r="T26" s="236"/>
      <c r="U26" s="233"/>
      <c r="V26" s="233"/>
      <c r="W26" s="233"/>
      <c r="X26" s="238"/>
    </row>
    <row r="27" spans="1:24" s="3" customFormat="1">
      <c r="A27" s="233"/>
      <c r="B27" s="242" t="s">
        <v>159</v>
      </c>
      <c r="C27" s="11"/>
      <c r="D27" s="234"/>
      <c r="E27" s="11"/>
      <c r="F27" s="233"/>
      <c r="G27" s="233"/>
      <c r="H27" s="233"/>
      <c r="I27" s="233"/>
      <c r="J27" s="233"/>
      <c r="K27" s="233"/>
      <c r="L27"/>
      <c r="M27" s="235"/>
      <c r="N27" s="236"/>
      <c r="O27" s="235"/>
      <c r="P27" s="236"/>
      <c r="Q27" s="236"/>
      <c r="R27" s="236"/>
      <c r="S27" s="237"/>
      <c r="T27" s="236"/>
      <c r="U27" s="233"/>
      <c r="V27" s="233"/>
      <c r="W27" s="233"/>
      <c r="X27" s="238"/>
    </row>
    <row r="28" spans="1:24" s="3" customFormat="1">
      <c r="A28" s="233"/>
      <c r="B28" s="242" t="s">
        <v>160</v>
      </c>
      <c r="C28" s="11"/>
      <c r="D28" s="234"/>
      <c r="E28" s="11"/>
      <c r="F28" s="233"/>
      <c r="G28" s="233"/>
      <c r="H28" s="233"/>
      <c r="I28" s="233"/>
      <c r="J28" s="233"/>
      <c r="K28" s="233"/>
      <c r="L28" s="241"/>
      <c r="M28" s="235"/>
      <c r="N28" s="236"/>
      <c r="O28" s="235"/>
      <c r="P28" s="236"/>
      <c r="Q28" s="236"/>
      <c r="R28" s="236"/>
      <c r="S28" s="237"/>
      <c r="T28" s="236"/>
      <c r="U28" s="233"/>
      <c r="V28" s="233"/>
      <c r="W28" s="233"/>
      <c r="X28" s="238"/>
    </row>
    <row r="29" spans="1:24" s="3" customFormat="1">
      <c r="A29" s="233"/>
      <c r="B29" s="242"/>
      <c r="C29" s="11"/>
      <c r="D29" s="234"/>
      <c r="E29" s="11"/>
      <c r="F29" s="233"/>
      <c r="G29" s="233"/>
      <c r="H29" s="233"/>
      <c r="I29" s="233"/>
      <c r="J29" s="233"/>
      <c r="K29" s="233"/>
      <c r="L29"/>
      <c r="M29" s="235"/>
      <c r="N29" s="236"/>
      <c r="O29" s="235"/>
      <c r="P29" s="236"/>
      <c r="Q29" s="236"/>
      <c r="R29" s="236"/>
      <c r="S29" s="237"/>
      <c r="T29" s="236"/>
      <c r="U29" s="233"/>
      <c r="V29" s="233"/>
      <c r="W29" s="233"/>
      <c r="X29" s="238"/>
    </row>
    <row r="30" spans="1:24" s="3" customFormat="1" ht="15" customHeight="1">
      <c r="A30" s="233"/>
      <c r="B30" s="430" t="s">
        <v>81</v>
      </c>
      <c r="C30" s="431"/>
      <c r="D30" s="442" t="s">
        <v>226</v>
      </c>
      <c r="E30" s="443"/>
      <c r="F30" s="443"/>
      <c r="G30" s="446" t="s">
        <v>231</v>
      </c>
      <c r="H30" s="447"/>
      <c r="I30" s="447"/>
      <c r="J30" s="428" t="s">
        <v>97</v>
      </c>
      <c r="K30" s="233"/>
      <c r="L30" s="241"/>
      <c r="M30" s="235"/>
      <c r="N30" s="236"/>
      <c r="O30" s="235"/>
      <c r="P30" s="236"/>
      <c r="Q30" s="236"/>
      <c r="R30" s="236"/>
      <c r="S30" s="237"/>
      <c r="T30" s="236"/>
      <c r="U30" s="233"/>
      <c r="V30" s="233"/>
      <c r="W30" s="233"/>
      <c r="X30" s="238"/>
    </row>
    <row r="31" spans="1:24" s="3" customFormat="1" ht="28.8">
      <c r="A31" s="233"/>
      <c r="B31" s="432"/>
      <c r="C31" s="433"/>
      <c r="D31" s="122" t="s">
        <v>227</v>
      </c>
      <c r="E31" s="122" t="s">
        <v>228</v>
      </c>
      <c r="F31" s="122" t="s">
        <v>229</v>
      </c>
      <c r="G31" s="121" t="s">
        <v>230</v>
      </c>
      <c r="H31" s="121" t="s">
        <v>232</v>
      </c>
      <c r="I31" s="121" t="s">
        <v>233</v>
      </c>
      <c r="J31" s="429"/>
      <c r="K31" s="233"/>
      <c r="L31"/>
      <c r="M31" s="235"/>
      <c r="N31" s="236"/>
      <c r="O31" s="235"/>
      <c r="P31" s="236"/>
      <c r="Q31" s="236"/>
      <c r="R31" s="236"/>
      <c r="S31" s="237"/>
      <c r="T31" s="236"/>
      <c r="U31" s="233"/>
      <c r="V31" s="233"/>
      <c r="W31" s="233"/>
      <c r="X31" s="238"/>
    </row>
    <row r="32" spans="1:24" s="3" customFormat="1">
      <c r="A32" s="233"/>
      <c r="B32" s="66" t="s">
        <v>137</v>
      </c>
      <c r="C32" s="60" t="str">
        <f>IF(intervencao1=0,"None",intervencao1)</f>
        <v>PET-CT</v>
      </c>
      <c r="D32" s="186">
        <f ca="1">IF($D$198="No",SUMIF($B$55:$C$68,C32,$I$55:$I$68),D202)</f>
        <v>3213.3799999999997</v>
      </c>
      <c r="E32" s="186">
        <f t="shared" ref="E32:E45" ca="1" si="0">IF($D$198="No",SUMIF($B$76:$C$105,C32,$I$76:$I$105),E202/12)</f>
        <v>0</v>
      </c>
      <c r="F32" s="186">
        <f t="shared" ref="F32:F45" ca="1" si="1">IF($D$198="No",SUMIF($B$113:$C$142,C32,$I$113:$I$142),F202/12)</f>
        <v>0</v>
      </c>
      <c r="G32" s="186">
        <f>IF($D$198="No",SUM(I150:I159),G202)</f>
        <v>0</v>
      </c>
      <c r="H32" s="186">
        <f>IF($D$198="No",SUM(I165:I174),H202/12)</f>
        <v>0</v>
      </c>
      <c r="I32" s="186">
        <f>IF($D$198="No",SUM(I180:I189),I202/12)</f>
        <v>0</v>
      </c>
      <c r="J32" s="60" t="str">
        <f>IF($D$198="Yes","Auxiliary cost spreadsheet","See tables below")</f>
        <v>See tables below</v>
      </c>
      <c r="K32" s="233"/>
      <c r="L32" s="241"/>
      <c r="M32" s="235"/>
      <c r="N32" s="236"/>
      <c r="O32" s="235"/>
      <c r="P32" s="236"/>
      <c r="Q32" s="236"/>
      <c r="R32" s="236"/>
      <c r="S32" s="237"/>
      <c r="T32" s="236"/>
      <c r="U32" s="233"/>
      <c r="V32" s="233"/>
      <c r="W32" s="233"/>
      <c r="X32" s="238"/>
    </row>
    <row r="33" spans="1:24" s="3" customFormat="1">
      <c r="A33" s="233"/>
      <c r="B33" s="66" t="s">
        <v>138</v>
      </c>
      <c r="C33" s="60" t="str">
        <f>IF(intervencao2=0,"None",intervencao2)</f>
        <v>None</v>
      </c>
      <c r="D33" s="186">
        <f ca="1">IF($D$198="No",SUMIF($B$55:$C$68,C33,$I$55:$I$68),D203)</f>
        <v>0</v>
      </c>
      <c r="E33" s="186">
        <f t="shared" ca="1" si="0"/>
        <v>0</v>
      </c>
      <c r="F33" s="186">
        <f t="shared" ca="1" si="1"/>
        <v>0</v>
      </c>
      <c r="G33" s="186">
        <f t="shared" ref="G33:G45" si="2">IF(C33="Do not fill this line",0,$G$32)</f>
        <v>0</v>
      </c>
      <c r="H33" s="186">
        <f t="shared" ref="H33:H45" si="3">IF(C33="Do not fill this line",0,$H$32)</f>
        <v>0</v>
      </c>
      <c r="I33" s="186">
        <f t="shared" ref="I33:I45" si="4">IF(C33="Do not fill this line",0,$I$32)</f>
        <v>0</v>
      </c>
      <c r="J33" s="60" t="str">
        <f t="shared" ref="J33:J45" si="5">IF($D$198="Yes","Auxiliary cost spreadsheet","See tables below")</f>
        <v>See tables below</v>
      </c>
      <c r="K33" s="233"/>
      <c r="L33" s="233"/>
      <c r="M33" s="235"/>
      <c r="N33" s="236"/>
      <c r="O33" s="235"/>
      <c r="P33" s="236"/>
      <c r="Q33" s="236"/>
      <c r="R33" s="236"/>
      <c r="S33" s="237"/>
      <c r="T33" s="236"/>
      <c r="U33" s="233"/>
      <c r="V33" s="233"/>
      <c r="W33" s="233"/>
      <c r="X33" s="238"/>
    </row>
    <row r="34" spans="1:24" s="3" customFormat="1">
      <c r="A34" s="233"/>
      <c r="B34" s="66" t="s">
        <v>139</v>
      </c>
      <c r="C34" s="60" t="str">
        <f>IF(intervencao3=0,"None",intervencao3)</f>
        <v>None</v>
      </c>
      <c r="D34" s="186">
        <f ca="1">IF($D$198="No",SUMIF($B$55:$C$68,C34,$I$55:$I$68),D204)</f>
        <v>0</v>
      </c>
      <c r="E34" s="186">
        <f t="shared" ca="1" si="0"/>
        <v>0</v>
      </c>
      <c r="F34" s="186">
        <f t="shared" ca="1" si="1"/>
        <v>0</v>
      </c>
      <c r="G34" s="186">
        <f t="shared" si="2"/>
        <v>0</v>
      </c>
      <c r="H34" s="186">
        <f t="shared" si="3"/>
        <v>0</v>
      </c>
      <c r="I34" s="186">
        <f t="shared" si="4"/>
        <v>0</v>
      </c>
      <c r="J34" s="60" t="str">
        <f t="shared" si="5"/>
        <v>See tables below</v>
      </c>
      <c r="K34" s="233"/>
      <c r="L34" s="233"/>
      <c r="M34" s="235"/>
      <c r="N34" s="236"/>
      <c r="O34" s="235"/>
      <c r="P34" s="236"/>
      <c r="Q34" s="236"/>
      <c r="R34" s="236"/>
      <c r="S34" s="237"/>
      <c r="T34" s="236"/>
      <c r="U34" s="233"/>
      <c r="V34" s="233"/>
      <c r="W34" s="233"/>
      <c r="X34" s="238"/>
    </row>
    <row r="35" spans="1:24" s="3" customFormat="1">
      <c r="A35" s="233"/>
      <c r="B35" s="66" t="s">
        <v>140</v>
      </c>
      <c r="C35" s="60" t="str">
        <f>IF(intervencao4=0,"None",intervencao4)</f>
        <v>None</v>
      </c>
      <c r="D35" s="186">
        <f ca="1">IF($D$198="No",SUMIF($B$55:$C$68,C35,$I$55:$I$68),D205)</f>
        <v>0</v>
      </c>
      <c r="E35" s="186">
        <f t="shared" ca="1" si="0"/>
        <v>0</v>
      </c>
      <c r="F35" s="186">
        <f t="shared" ca="1" si="1"/>
        <v>0</v>
      </c>
      <c r="G35" s="186">
        <f t="shared" si="2"/>
        <v>0</v>
      </c>
      <c r="H35" s="186">
        <f t="shared" si="3"/>
        <v>0</v>
      </c>
      <c r="I35" s="186">
        <f t="shared" si="4"/>
        <v>0</v>
      </c>
      <c r="J35" s="60" t="str">
        <f t="shared" si="5"/>
        <v>See tables below</v>
      </c>
      <c r="K35" s="233"/>
      <c r="L35" s="233"/>
      <c r="M35" s="235"/>
      <c r="N35" s="236"/>
      <c r="O35" s="235"/>
      <c r="P35" s="236"/>
      <c r="Q35" s="236"/>
      <c r="R35" s="236"/>
      <c r="S35" s="237"/>
      <c r="T35" s="236"/>
      <c r="U35" s="233"/>
      <c r="V35" s="233"/>
      <c r="W35" s="233"/>
      <c r="X35" s="238"/>
    </row>
    <row r="36" spans="1:24" s="3" customFormat="1">
      <c r="A36" s="233"/>
      <c r="B36" s="66" t="s">
        <v>141</v>
      </c>
      <c r="C36" s="60" t="str">
        <f>IF(comparador1=0,"None",comparador1)</f>
        <v>CT scan + scintigraphy</v>
      </c>
      <c r="D36" s="186">
        <f ca="1">IF($D$198="No",SUMIF($B$55:$C$68,C36,$I$55:$I$68),D206)</f>
        <v>1179.8599999999999</v>
      </c>
      <c r="E36" s="186">
        <f t="shared" ca="1" si="0"/>
        <v>0</v>
      </c>
      <c r="F36" s="186">
        <f t="shared" ca="1" si="1"/>
        <v>0</v>
      </c>
      <c r="G36" s="186">
        <f t="shared" si="2"/>
        <v>0</v>
      </c>
      <c r="H36" s="186">
        <f t="shared" si="3"/>
        <v>0</v>
      </c>
      <c r="I36" s="186">
        <f t="shared" si="4"/>
        <v>0</v>
      </c>
      <c r="J36" s="60" t="str">
        <f t="shared" si="5"/>
        <v>See tables below</v>
      </c>
      <c r="K36" s="233"/>
      <c r="L36" s="233"/>
      <c r="M36" s="235"/>
      <c r="N36" s="236"/>
      <c r="O36" s="235"/>
      <c r="P36" s="236"/>
      <c r="Q36" s="236"/>
      <c r="R36" s="236"/>
      <c r="S36" s="237"/>
      <c r="T36" s="236"/>
      <c r="U36" s="233"/>
      <c r="V36" s="233"/>
      <c r="W36" s="233"/>
      <c r="X36" s="238"/>
    </row>
    <row r="37" spans="1:24" s="3" customFormat="1">
      <c r="A37" s="233"/>
      <c r="B37" s="66" t="s">
        <v>142</v>
      </c>
      <c r="C37" s="60" t="str">
        <f>IF(comparador2=0,"None",comparador2)</f>
        <v>None</v>
      </c>
      <c r="D37" s="186">
        <f ca="1">IF($D$198="No",SUMIF($B$55:$C$68,C37,$I$55:$I$68),D207)</f>
        <v>0</v>
      </c>
      <c r="E37" s="186">
        <f t="shared" ca="1" si="0"/>
        <v>0</v>
      </c>
      <c r="F37" s="186">
        <f t="shared" ca="1" si="1"/>
        <v>0</v>
      </c>
      <c r="G37" s="186">
        <f t="shared" si="2"/>
        <v>0</v>
      </c>
      <c r="H37" s="186">
        <f t="shared" si="3"/>
        <v>0</v>
      </c>
      <c r="I37" s="186">
        <f t="shared" si="4"/>
        <v>0</v>
      </c>
      <c r="J37" s="60" t="str">
        <f t="shared" si="5"/>
        <v>See tables below</v>
      </c>
      <c r="K37" s="233"/>
      <c r="L37" s="233"/>
      <c r="M37" s="235"/>
      <c r="N37" s="236"/>
      <c r="O37" s="235"/>
      <c r="P37" s="236"/>
      <c r="Q37" s="236"/>
      <c r="R37" s="236"/>
      <c r="S37" s="237"/>
      <c r="T37" s="236"/>
      <c r="U37" s="233"/>
      <c r="V37" s="233"/>
      <c r="W37" s="233"/>
      <c r="X37" s="238"/>
    </row>
    <row r="38" spans="1:24" s="3" customFormat="1">
      <c r="A38" s="233"/>
      <c r="B38" s="66" t="s">
        <v>143</v>
      </c>
      <c r="C38" s="60" t="str">
        <f>IF(comparador3=0,"None",comparador3)</f>
        <v>None</v>
      </c>
      <c r="D38" s="186">
        <f ca="1">IF($D$198="No",SUMIF($B$55:$C$68,C38,$I$55:$I$68),D208)</f>
        <v>0</v>
      </c>
      <c r="E38" s="186">
        <f t="shared" ca="1" si="0"/>
        <v>0</v>
      </c>
      <c r="F38" s="186">
        <f t="shared" ca="1" si="1"/>
        <v>0</v>
      </c>
      <c r="G38" s="186">
        <f t="shared" si="2"/>
        <v>0</v>
      </c>
      <c r="H38" s="186">
        <f t="shared" si="3"/>
        <v>0</v>
      </c>
      <c r="I38" s="186">
        <f t="shared" si="4"/>
        <v>0</v>
      </c>
      <c r="J38" s="60" t="str">
        <f t="shared" si="5"/>
        <v>See tables below</v>
      </c>
      <c r="K38" s="233"/>
      <c r="L38" s="233"/>
      <c r="M38" s="235"/>
      <c r="N38" s="236"/>
      <c r="O38" s="235"/>
      <c r="P38" s="236"/>
      <c r="Q38" s="236"/>
      <c r="R38" s="236"/>
      <c r="S38" s="237"/>
      <c r="T38" s="236"/>
      <c r="U38" s="233"/>
      <c r="V38" s="233"/>
      <c r="W38" s="233"/>
      <c r="X38" s="238"/>
    </row>
    <row r="39" spans="1:24" s="3" customFormat="1">
      <c r="A39" s="233"/>
      <c r="B39" s="66" t="s">
        <v>144</v>
      </c>
      <c r="C39" s="60" t="str">
        <f>IF(comparador4=0,"None",comparador4)</f>
        <v>None</v>
      </c>
      <c r="D39" s="186">
        <f ca="1">IF($D$198="No",SUMIF($B$55:$C$68,C39,$I$55:$I$68),D209)</f>
        <v>0</v>
      </c>
      <c r="E39" s="186">
        <f t="shared" ca="1" si="0"/>
        <v>0</v>
      </c>
      <c r="F39" s="186">
        <f t="shared" ca="1" si="1"/>
        <v>0</v>
      </c>
      <c r="G39" s="186">
        <f t="shared" si="2"/>
        <v>0</v>
      </c>
      <c r="H39" s="186">
        <f t="shared" si="3"/>
        <v>0</v>
      </c>
      <c r="I39" s="186">
        <f t="shared" si="4"/>
        <v>0</v>
      </c>
      <c r="J39" s="60" t="str">
        <f t="shared" si="5"/>
        <v>See tables below</v>
      </c>
      <c r="K39" s="233"/>
      <c r="L39" s="233"/>
      <c r="M39" s="235"/>
      <c r="N39" s="236"/>
      <c r="O39" s="235"/>
      <c r="P39" s="236"/>
      <c r="Q39" s="236"/>
      <c r="R39" s="236"/>
      <c r="S39" s="237"/>
      <c r="T39" s="236"/>
      <c r="U39" s="233"/>
      <c r="V39" s="233"/>
      <c r="W39" s="233"/>
      <c r="X39" s="238"/>
    </row>
    <row r="40" spans="1:24" s="3" customFormat="1">
      <c r="A40" s="233"/>
      <c r="B40" s="66" t="s">
        <v>145</v>
      </c>
      <c r="C40" s="60" t="str">
        <f>IF(comparador5=0,"None",comparador5)</f>
        <v>None</v>
      </c>
      <c r="D40" s="186">
        <f ca="1">IF($D$198="No",SUMIF($B$55:$C$68,C40,$I$55:$I$68),D210)</f>
        <v>0</v>
      </c>
      <c r="E40" s="186">
        <f t="shared" ca="1" si="0"/>
        <v>0</v>
      </c>
      <c r="F40" s="186">
        <f t="shared" ca="1" si="1"/>
        <v>0</v>
      </c>
      <c r="G40" s="186">
        <f t="shared" si="2"/>
        <v>0</v>
      </c>
      <c r="H40" s="186">
        <f t="shared" si="3"/>
        <v>0</v>
      </c>
      <c r="I40" s="186">
        <f t="shared" si="4"/>
        <v>0</v>
      </c>
      <c r="J40" s="60" t="str">
        <f t="shared" si="5"/>
        <v>See tables below</v>
      </c>
      <c r="K40" s="233"/>
      <c r="L40" s="233"/>
      <c r="M40" s="235"/>
      <c r="N40" s="236"/>
      <c r="O40" s="235"/>
      <c r="P40" s="236"/>
      <c r="Q40" s="236"/>
      <c r="R40" s="236"/>
      <c r="S40" s="237"/>
      <c r="T40" s="236"/>
      <c r="U40" s="233"/>
      <c r="V40" s="233"/>
      <c r="W40" s="233"/>
      <c r="X40" s="238"/>
    </row>
    <row r="41" spans="1:24" s="3" customFormat="1">
      <c r="A41" s="233"/>
      <c r="B41" s="66" t="s">
        <v>146</v>
      </c>
      <c r="C41" s="60" t="str">
        <f>IF(comparador6=0,"None",comparador6)</f>
        <v>None</v>
      </c>
      <c r="D41" s="186">
        <f ca="1">IF($D$198="No",SUMIF($B$55:$C$68,C41,$I$55:$I$68),D211)</f>
        <v>0</v>
      </c>
      <c r="E41" s="186">
        <f t="shared" ca="1" si="0"/>
        <v>0</v>
      </c>
      <c r="F41" s="186">
        <f t="shared" ca="1" si="1"/>
        <v>0</v>
      </c>
      <c r="G41" s="186">
        <f t="shared" si="2"/>
        <v>0</v>
      </c>
      <c r="H41" s="186">
        <f t="shared" si="3"/>
        <v>0</v>
      </c>
      <c r="I41" s="186">
        <f t="shared" si="4"/>
        <v>0</v>
      </c>
      <c r="J41" s="60" t="str">
        <f t="shared" si="5"/>
        <v>See tables below</v>
      </c>
      <c r="K41" s="233"/>
      <c r="L41" s="233"/>
      <c r="M41" s="235"/>
      <c r="N41" s="236"/>
      <c r="O41" s="235"/>
      <c r="P41" s="236"/>
      <c r="Q41" s="236"/>
      <c r="R41" s="236"/>
      <c r="S41" s="237"/>
      <c r="T41" s="236"/>
      <c r="U41" s="233"/>
      <c r="V41" s="233"/>
      <c r="W41" s="233"/>
      <c r="X41" s="238"/>
    </row>
    <row r="42" spans="1:24" s="3" customFormat="1">
      <c r="A42" s="233"/>
      <c r="B42" s="66" t="s">
        <v>147</v>
      </c>
      <c r="C42" s="60" t="str">
        <f>IF(comparador7=0,"None",comparador7)</f>
        <v>None</v>
      </c>
      <c r="D42" s="186">
        <f ca="1">IF($D$198="No",SUMIF($B$55:$C$68,C42,$I$55:$I$68),D212)</f>
        <v>0</v>
      </c>
      <c r="E42" s="186">
        <f t="shared" ca="1" si="0"/>
        <v>0</v>
      </c>
      <c r="F42" s="186">
        <f t="shared" ca="1" si="1"/>
        <v>0</v>
      </c>
      <c r="G42" s="186">
        <f t="shared" si="2"/>
        <v>0</v>
      </c>
      <c r="H42" s="186">
        <f t="shared" si="3"/>
        <v>0</v>
      </c>
      <c r="I42" s="186">
        <f t="shared" si="4"/>
        <v>0</v>
      </c>
      <c r="J42" s="60" t="str">
        <f t="shared" si="5"/>
        <v>See tables below</v>
      </c>
      <c r="K42" s="233"/>
      <c r="L42" s="233"/>
      <c r="M42" s="235"/>
      <c r="N42" s="236"/>
      <c r="O42" s="235"/>
      <c r="P42" s="236"/>
      <c r="Q42" s="236"/>
      <c r="R42" s="236"/>
      <c r="S42" s="237"/>
      <c r="T42" s="236"/>
      <c r="U42" s="233"/>
      <c r="V42" s="233"/>
      <c r="W42" s="233"/>
      <c r="X42" s="238"/>
    </row>
    <row r="43" spans="1:24" s="3" customFormat="1">
      <c r="A43" s="233"/>
      <c r="B43" s="66" t="s">
        <v>148</v>
      </c>
      <c r="C43" s="60" t="str">
        <f>IF(comparador8=0,"None",comparador8)</f>
        <v>None</v>
      </c>
      <c r="D43" s="186">
        <f ca="1">IF($D$198="No",SUMIF($B$55:$C$68,C43,$I$55:$I$68),D213)</f>
        <v>0</v>
      </c>
      <c r="E43" s="186">
        <f t="shared" ca="1" si="0"/>
        <v>0</v>
      </c>
      <c r="F43" s="186">
        <f t="shared" ca="1" si="1"/>
        <v>0</v>
      </c>
      <c r="G43" s="186">
        <f t="shared" si="2"/>
        <v>0</v>
      </c>
      <c r="H43" s="186">
        <f t="shared" si="3"/>
        <v>0</v>
      </c>
      <c r="I43" s="186">
        <f t="shared" si="4"/>
        <v>0</v>
      </c>
      <c r="J43" s="60" t="str">
        <f t="shared" si="5"/>
        <v>See tables below</v>
      </c>
      <c r="K43" s="233"/>
      <c r="L43" s="233"/>
      <c r="M43" s="235"/>
      <c r="N43" s="236"/>
      <c r="O43" s="235"/>
      <c r="P43" s="236"/>
      <c r="Q43" s="236"/>
      <c r="R43" s="236"/>
      <c r="S43" s="237"/>
      <c r="T43" s="236"/>
      <c r="U43" s="233"/>
      <c r="V43" s="233"/>
      <c r="W43" s="233"/>
      <c r="X43" s="238"/>
    </row>
    <row r="44" spans="1:24" s="3" customFormat="1">
      <c r="A44" s="233"/>
      <c r="B44" s="66" t="s">
        <v>149</v>
      </c>
      <c r="C44" s="60" t="str">
        <f>IF(comparador9=0,"None",comparador9)</f>
        <v>None</v>
      </c>
      <c r="D44" s="186">
        <f ca="1">IF($D$198="No",SUMIF($B$55:$C$68,C44,$I$55:$I$68),D214)</f>
        <v>0</v>
      </c>
      <c r="E44" s="186">
        <f t="shared" ca="1" si="0"/>
        <v>0</v>
      </c>
      <c r="F44" s="186">
        <f t="shared" ca="1" si="1"/>
        <v>0</v>
      </c>
      <c r="G44" s="186">
        <f t="shared" si="2"/>
        <v>0</v>
      </c>
      <c r="H44" s="186">
        <f t="shared" si="3"/>
        <v>0</v>
      </c>
      <c r="I44" s="186">
        <f t="shared" si="4"/>
        <v>0</v>
      </c>
      <c r="J44" s="60" t="str">
        <f t="shared" si="5"/>
        <v>See tables below</v>
      </c>
      <c r="K44" s="233"/>
      <c r="L44" s="233"/>
      <c r="M44" s="235"/>
      <c r="N44" s="236"/>
      <c r="O44" s="235"/>
      <c r="P44" s="236"/>
      <c r="Q44" s="236"/>
      <c r="R44" s="236"/>
      <c r="S44" s="237"/>
      <c r="T44" s="236"/>
      <c r="U44" s="233"/>
      <c r="V44" s="233"/>
      <c r="W44" s="233"/>
      <c r="X44" s="238"/>
    </row>
    <row r="45" spans="1:24" s="3" customFormat="1">
      <c r="A45" s="233"/>
      <c r="B45" s="66" t="s">
        <v>150</v>
      </c>
      <c r="C45" s="60" t="str">
        <f>IF(comparador10=0,"None",comparador10)</f>
        <v>None</v>
      </c>
      <c r="D45" s="186">
        <f ca="1">IF($D$198="No",SUMIF($B$55:$C$68,C45,$I$55:$I$68),D215)</f>
        <v>0</v>
      </c>
      <c r="E45" s="186">
        <f t="shared" ca="1" si="0"/>
        <v>0</v>
      </c>
      <c r="F45" s="186">
        <f t="shared" ca="1" si="1"/>
        <v>0</v>
      </c>
      <c r="G45" s="186">
        <f t="shared" si="2"/>
        <v>0</v>
      </c>
      <c r="H45" s="186">
        <f t="shared" si="3"/>
        <v>0</v>
      </c>
      <c r="I45" s="186">
        <f t="shared" si="4"/>
        <v>0</v>
      </c>
      <c r="J45" s="60" t="str">
        <f t="shared" si="5"/>
        <v>See tables below</v>
      </c>
      <c r="K45" s="233"/>
      <c r="L45" s="233"/>
      <c r="M45" s="235"/>
      <c r="N45" s="236"/>
      <c r="O45" s="235"/>
      <c r="P45" s="236"/>
      <c r="Q45" s="236"/>
      <c r="R45" s="236"/>
      <c r="S45" s="237"/>
      <c r="T45" s="236"/>
      <c r="U45" s="233"/>
      <c r="V45" s="233"/>
      <c r="W45" s="233"/>
      <c r="X45" s="238"/>
    </row>
    <row r="46" spans="1:24" s="3" customFormat="1">
      <c r="A46" s="233"/>
      <c r="B46" s="187"/>
      <c r="C46" s="11"/>
      <c r="D46" s="234"/>
      <c r="E46" s="11"/>
      <c r="F46" s="233"/>
      <c r="G46" s="233"/>
      <c r="H46" s="233"/>
      <c r="I46" s="233"/>
      <c r="J46" s="233"/>
      <c r="K46" s="233"/>
      <c r="L46" s="233"/>
      <c r="M46" s="235"/>
      <c r="N46" s="236"/>
      <c r="O46" s="235"/>
      <c r="P46" s="236"/>
      <c r="Q46" s="236"/>
      <c r="R46" s="236"/>
      <c r="S46" s="237"/>
      <c r="T46" s="236"/>
      <c r="U46" s="233"/>
      <c r="V46" s="233"/>
      <c r="W46" s="233"/>
      <c r="X46" s="238"/>
    </row>
    <row r="47" spans="1:24" customFormat="1">
      <c r="B47" s="63"/>
      <c r="C47" s="63"/>
      <c r="D47" s="7"/>
      <c r="E47" s="7"/>
      <c r="F47" s="7"/>
      <c r="G47" s="7"/>
      <c r="H47" s="7"/>
      <c r="I47" s="7"/>
      <c r="J47" s="7"/>
      <c r="K47" s="7"/>
      <c r="L47" s="7"/>
      <c r="M47" s="7"/>
      <c r="N47" s="7"/>
      <c r="O47" s="7"/>
      <c r="P47" s="7"/>
      <c r="Q47" s="7"/>
      <c r="R47" s="7"/>
      <c r="S47" s="7"/>
      <c r="T47" s="7"/>
    </row>
    <row r="48" spans="1:24" customFormat="1">
      <c r="B48" s="64"/>
      <c r="C48" s="64"/>
      <c r="D48" s="65"/>
      <c r="E48" s="65"/>
      <c r="F48" s="65"/>
      <c r="G48" s="65"/>
      <c r="H48" s="65"/>
      <c r="I48" s="65"/>
      <c r="J48" s="65"/>
      <c r="K48" s="65"/>
      <c r="L48" s="65"/>
      <c r="M48" s="65"/>
      <c r="N48" s="65"/>
      <c r="O48" s="7"/>
      <c r="P48" s="7"/>
      <c r="Q48" s="7"/>
      <c r="R48" s="7"/>
      <c r="S48" s="7"/>
      <c r="T48" s="7"/>
    </row>
    <row r="49" spans="1:24" s="3" customFormat="1">
      <c r="A49" s="233"/>
      <c r="B49" s="136"/>
      <c r="C49" s="11"/>
      <c r="D49" s="234"/>
      <c r="E49" s="11"/>
      <c r="F49" s="233"/>
      <c r="G49" s="233"/>
      <c r="H49" s="233"/>
      <c r="I49" s="233"/>
      <c r="J49" s="233"/>
      <c r="K49" s="233"/>
      <c r="L49" s="233"/>
      <c r="M49" s="235"/>
      <c r="N49" s="236"/>
      <c r="O49" s="235"/>
      <c r="P49" s="236"/>
      <c r="Q49" s="236"/>
      <c r="R49" s="236"/>
      <c r="S49" s="237"/>
      <c r="T49" s="236"/>
      <c r="U49" s="233"/>
      <c r="V49" s="233"/>
      <c r="W49" s="233"/>
      <c r="X49" s="238"/>
    </row>
    <row r="50" spans="1:24" s="3" customFormat="1" ht="18">
      <c r="A50" s="233"/>
      <c r="B50" s="243" t="s">
        <v>161</v>
      </c>
      <c r="C50" s="11"/>
      <c r="D50" s="234"/>
      <c r="E50" s="11"/>
      <c r="F50" s="233"/>
      <c r="G50" s="233"/>
      <c r="H50" s="233"/>
      <c r="I50" s="233"/>
      <c r="J50" s="233"/>
      <c r="K50" s="233"/>
      <c r="L50" s="233"/>
      <c r="M50" s="235"/>
      <c r="N50" s="236"/>
      <c r="O50" s="235"/>
      <c r="P50" s="236"/>
      <c r="Q50" s="236"/>
      <c r="R50" s="236"/>
      <c r="S50" s="237"/>
      <c r="T50" s="236"/>
      <c r="U50" s="233"/>
      <c r="V50" s="233"/>
      <c r="W50" s="233"/>
      <c r="X50" s="238"/>
    </row>
    <row r="51" spans="1:24" s="3" customFormat="1">
      <c r="A51" s="233"/>
      <c r="B51" s="242" t="s">
        <v>162</v>
      </c>
      <c r="C51" s="11"/>
      <c r="D51" s="234"/>
      <c r="E51" s="11"/>
      <c r="F51" s="233"/>
      <c r="G51" s="233"/>
      <c r="H51" s="233"/>
      <c r="I51" s="233"/>
      <c r="J51" s="233"/>
      <c r="K51" s="233"/>
      <c r="L51" s="233"/>
      <c r="M51" s="235"/>
      <c r="N51" s="236"/>
      <c r="O51" s="235"/>
      <c r="P51" s="236"/>
      <c r="Q51" s="236"/>
      <c r="R51" s="236"/>
      <c r="S51" s="237"/>
      <c r="T51" s="236"/>
      <c r="U51" s="233"/>
      <c r="V51" s="233"/>
      <c r="W51" s="233"/>
      <c r="X51" s="238"/>
    </row>
    <row r="52" spans="1:24" s="3" customFormat="1">
      <c r="A52" s="233"/>
      <c r="B52" s="242" t="s">
        <v>163</v>
      </c>
      <c r="C52" s="11"/>
      <c r="D52" s="234"/>
      <c r="E52" s="11"/>
      <c r="F52" s="233"/>
      <c r="G52" s="233"/>
      <c r="H52" s="233"/>
      <c r="I52" s="233"/>
      <c r="J52" s="233"/>
      <c r="K52" s="233"/>
      <c r="L52" s="233"/>
      <c r="M52" s="235"/>
      <c r="N52" s="236"/>
      <c r="O52" s="235"/>
      <c r="P52" s="236"/>
      <c r="Q52" s="236"/>
      <c r="R52" s="236"/>
      <c r="S52" s="237"/>
      <c r="T52" s="236"/>
      <c r="U52" s="233"/>
      <c r="V52" s="233"/>
      <c r="W52" s="233"/>
      <c r="X52" s="238"/>
    </row>
    <row r="53" spans="1:24" s="3" customFormat="1">
      <c r="A53" s="233"/>
      <c r="B53" s="187"/>
      <c r="C53" s="11"/>
      <c r="D53" s="234"/>
      <c r="E53" s="11"/>
      <c r="F53" s="233"/>
      <c r="G53" s="233"/>
      <c r="H53" s="233"/>
      <c r="I53" s="233"/>
      <c r="J53" s="233"/>
      <c r="K53" s="233"/>
      <c r="L53" s="233"/>
      <c r="M53" s="235"/>
      <c r="N53" s="236"/>
      <c r="O53" s="235"/>
      <c r="P53" s="236"/>
      <c r="Q53" s="236"/>
      <c r="R53" s="236"/>
      <c r="S53" s="237"/>
      <c r="T53" s="236"/>
      <c r="U53" s="233"/>
      <c r="V53" s="233"/>
      <c r="W53" s="233"/>
      <c r="X53" s="238"/>
    </row>
    <row r="54" spans="1:24" s="3" customFormat="1">
      <c r="A54" s="233"/>
      <c r="B54" s="438" t="s">
        <v>152</v>
      </c>
      <c r="C54" s="439"/>
      <c r="D54" s="438" t="s">
        <v>153</v>
      </c>
      <c r="E54" s="439"/>
      <c r="F54" s="123" t="s">
        <v>154</v>
      </c>
      <c r="G54" s="123" t="s">
        <v>155</v>
      </c>
      <c r="H54" s="123" t="s">
        <v>156</v>
      </c>
      <c r="I54" s="123" t="s">
        <v>157</v>
      </c>
      <c r="J54" s="123" t="s">
        <v>97</v>
      </c>
      <c r="K54" s="233"/>
      <c r="L54" s="233"/>
      <c r="M54" s="235"/>
      <c r="N54" s="236"/>
      <c r="O54" s="235"/>
      <c r="P54" s="236"/>
      <c r="Q54" s="236"/>
      <c r="R54" s="236"/>
      <c r="S54" s="237"/>
      <c r="T54" s="236"/>
      <c r="U54" s="233"/>
      <c r="V54" s="233"/>
      <c r="W54" s="233"/>
      <c r="X54" s="238"/>
    </row>
    <row r="55" spans="1:24" s="3" customFormat="1">
      <c r="A55" s="233"/>
      <c r="B55" s="440" t="s">
        <v>349</v>
      </c>
      <c r="C55" s="441"/>
      <c r="D55" s="515" t="s">
        <v>357</v>
      </c>
      <c r="E55" s="435"/>
      <c r="F55" s="50">
        <v>1</v>
      </c>
      <c r="G55" s="62">
        <v>1</v>
      </c>
      <c r="H55" s="185">
        <v>2107.2199999999998</v>
      </c>
      <c r="I55" s="186">
        <f>IF(B55="",0,H55*G55*F55)</f>
        <v>2107.2199999999998</v>
      </c>
      <c r="J55" s="59"/>
      <c r="K55" s="233"/>
      <c r="L55" s="233"/>
      <c r="M55" s="235"/>
      <c r="N55" s="236"/>
      <c r="O55" s="235"/>
      <c r="P55" s="236"/>
      <c r="Q55" s="236"/>
      <c r="R55" s="236"/>
      <c r="S55" s="237"/>
      <c r="T55" s="236"/>
      <c r="U55" s="233"/>
      <c r="V55" s="233"/>
      <c r="W55" s="233"/>
      <c r="X55" s="238"/>
    </row>
    <row r="56" spans="1:24" s="3" customFormat="1">
      <c r="A56" s="233"/>
      <c r="B56" s="436" t="s">
        <v>349</v>
      </c>
      <c r="C56" s="437"/>
      <c r="D56" s="435" t="s">
        <v>358</v>
      </c>
      <c r="E56" s="435"/>
      <c r="F56" s="50">
        <v>1</v>
      </c>
      <c r="G56" s="62">
        <v>1</v>
      </c>
      <c r="H56" s="185">
        <v>829.79</v>
      </c>
      <c r="I56" s="186">
        <f>IF(B56="",0,H56*G56*F56)</f>
        <v>829.79</v>
      </c>
      <c r="J56" s="59"/>
      <c r="K56" s="233"/>
      <c r="L56" s="233"/>
      <c r="M56" s="235"/>
      <c r="N56" s="236"/>
      <c r="O56" s="235"/>
      <c r="P56" s="236"/>
      <c r="Q56" s="236"/>
      <c r="R56" s="236"/>
      <c r="S56" s="237"/>
      <c r="T56" s="236"/>
      <c r="U56" s="233"/>
      <c r="V56" s="233"/>
      <c r="W56" s="233"/>
      <c r="X56" s="238"/>
    </row>
    <row r="57" spans="1:24" s="3" customFormat="1">
      <c r="A57" s="233"/>
      <c r="B57" s="436" t="s">
        <v>349</v>
      </c>
      <c r="C57" s="437"/>
      <c r="D57" s="435" t="s">
        <v>359</v>
      </c>
      <c r="E57" s="435"/>
      <c r="F57" s="50">
        <v>1</v>
      </c>
      <c r="G57" s="62">
        <v>1</v>
      </c>
      <c r="H57" s="185">
        <v>268.75</v>
      </c>
      <c r="I57" s="186">
        <f t="shared" ref="I57" si="6">IF(B57="",0,H57*G57*F57)</f>
        <v>268.75</v>
      </c>
      <c r="J57" s="59"/>
      <c r="K57" s="233"/>
      <c r="L57" s="233"/>
      <c r="M57" s="235"/>
      <c r="N57" s="236"/>
      <c r="O57" s="235"/>
      <c r="P57" s="236"/>
      <c r="Q57" s="236"/>
      <c r="R57" s="236"/>
      <c r="S57" s="237"/>
      <c r="T57" s="236"/>
      <c r="U57" s="233"/>
      <c r="V57" s="233"/>
      <c r="W57" s="233"/>
      <c r="X57" s="238"/>
    </row>
    <row r="58" spans="1:24" s="3" customFormat="1">
      <c r="A58" s="233"/>
      <c r="B58" s="436" t="s">
        <v>349</v>
      </c>
      <c r="C58" s="437"/>
      <c r="D58" s="435" t="s">
        <v>358</v>
      </c>
      <c r="E58" s="435"/>
      <c r="F58" s="50">
        <v>1</v>
      </c>
      <c r="G58" s="62">
        <v>1</v>
      </c>
      <c r="H58" s="185">
        <v>7.62</v>
      </c>
      <c r="I58" s="186">
        <f t="shared" ref="I58:I68" si="7">IF(B58="",0,H58*G58*F58)</f>
        <v>7.62</v>
      </c>
      <c r="J58" s="59"/>
      <c r="K58" s="233"/>
      <c r="L58" s="233"/>
      <c r="M58" s="235"/>
      <c r="N58" s="236"/>
      <c r="O58" s="235"/>
      <c r="P58" s="236"/>
      <c r="Q58" s="236"/>
      <c r="R58" s="236"/>
      <c r="S58" s="237"/>
      <c r="T58" s="236"/>
      <c r="U58" s="233"/>
      <c r="V58" s="233"/>
      <c r="W58" s="233"/>
      <c r="X58" s="238"/>
    </row>
    <row r="59" spans="1:24" s="3" customFormat="1">
      <c r="A59" s="233"/>
      <c r="B59" s="436" t="s">
        <v>363</v>
      </c>
      <c r="C59" s="437"/>
      <c r="D59" s="435" t="s">
        <v>360</v>
      </c>
      <c r="E59" s="435"/>
      <c r="F59" s="50">
        <v>1</v>
      </c>
      <c r="G59" s="62">
        <v>1</v>
      </c>
      <c r="H59" s="185">
        <v>136.41</v>
      </c>
      <c r="I59" s="186">
        <f t="shared" si="7"/>
        <v>136.41</v>
      </c>
      <c r="J59" s="59"/>
      <c r="K59" s="233"/>
      <c r="L59" s="233"/>
      <c r="M59" s="235"/>
      <c r="N59" s="236"/>
      <c r="O59" s="235"/>
      <c r="P59" s="236"/>
      <c r="Q59" s="236"/>
      <c r="R59" s="236"/>
      <c r="S59" s="237"/>
      <c r="T59" s="236"/>
      <c r="U59" s="233"/>
      <c r="V59" s="233"/>
      <c r="W59" s="233"/>
      <c r="X59" s="238"/>
    </row>
    <row r="60" spans="1:24" s="3" customFormat="1">
      <c r="A60" s="233"/>
      <c r="B60" s="436" t="s">
        <v>363</v>
      </c>
      <c r="C60" s="437"/>
      <c r="D60" s="435" t="s">
        <v>358</v>
      </c>
      <c r="E60" s="435"/>
      <c r="F60" s="50">
        <v>1</v>
      </c>
      <c r="G60" s="62">
        <v>1</v>
      </c>
      <c r="H60" s="185">
        <v>46.92</v>
      </c>
      <c r="I60" s="186">
        <f t="shared" si="7"/>
        <v>46.92</v>
      </c>
      <c r="J60" s="59"/>
      <c r="K60" s="233"/>
      <c r="L60" s="233"/>
      <c r="M60" s="235"/>
      <c r="N60" s="236"/>
      <c r="O60" s="235"/>
      <c r="P60" s="236"/>
      <c r="Q60" s="236"/>
      <c r="R60" s="236"/>
      <c r="S60" s="237"/>
      <c r="T60" s="236"/>
      <c r="U60" s="233"/>
      <c r="V60" s="233"/>
      <c r="W60" s="233"/>
      <c r="X60" s="238"/>
    </row>
    <row r="61" spans="1:24" s="3" customFormat="1">
      <c r="A61" s="233"/>
      <c r="B61" s="436" t="s">
        <v>363</v>
      </c>
      <c r="C61" s="437"/>
      <c r="D61" s="435" t="s">
        <v>361</v>
      </c>
      <c r="E61" s="435"/>
      <c r="F61" s="50">
        <v>1</v>
      </c>
      <c r="G61" s="62">
        <v>1</v>
      </c>
      <c r="H61" s="185">
        <v>138.63</v>
      </c>
      <c r="I61" s="186">
        <f t="shared" si="7"/>
        <v>138.63</v>
      </c>
      <c r="J61" s="59"/>
      <c r="K61" s="233"/>
      <c r="L61" s="233"/>
      <c r="M61" s="235"/>
      <c r="N61" s="236"/>
      <c r="O61" s="235"/>
      <c r="P61" s="236"/>
      <c r="Q61" s="236"/>
      <c r="R61" s="236"/>
      <c r="S61" s="237"/>
      <c r="T61" s="236"/>
      <c r="U61" s="233"/>
      <c r="V61" s="233"/>
      <c r="W61" s="233"/>
      <c r="X61" s="238"/>
    </row>
    <row r="62" spans="1:24" s="3" customFormat="1">
      <c r="A62" s="233"/>
      <c r="B62" s="436" t="s">
        <v>363</v>
      </c>
      <c r="C62" s="437"/>
      <c r="D62" s="435" t="s">
        <v>358</v>
      </c>
      <c r="E62" s="435"/>
      <c r="F62" s="50">
        <v>1</v>
      </c>
      <c r="G62" s="62">
        <v>1</v>
      </c>
      <c r="H62" s="185">
        <v>46.92</v>
      </c>
      <c r="I62" s="186">
        <f t="shared" si="7"/>
        <v>46.92</v>
      </c>
      <c r="J62" s="59"/>
      <c r="K62" s="233"/>
      <c r="L62" s="233"/>
      <c r="M62" s="235"/>
      <c r="N62" s="236"/>
      <c r="O62" s="235"/>
      <c r="P62" s="236"/>
      <c r="Q62" s="236"/>
      <c r="R62" s="236"/>
      <c r="S62" s="237"/>
      <c r="T62" s="236"/>
      <c r="U62" s="233"/>
      <c r="V62" s="233"/>
      <c r="W62" s="233"/>
      <c r="X62" s="238"/>
    </row>
    <row r="63" spans="1:24" s="3" customFormat="1">
      <c r="A63" s="233"/>
      <c r="B63" s="436" t="s">
        <v>363</v>
      </c>
      <c r="C63" s="437"/>
      <c r="D63" s="435" t="s">
        <v>362</v>
      </c>
      <c r="E63" s="435"/>
      <c r="F63" s="50">
        <v>1</v>
      </c>
      <c r="G63" s="62">
        <v>1</v>
      </c>
      <c r="H63" s="185">
        <v>190.99</v>
      </c>
      <c r="I63" s="186">
        <f t="shared" si="7"/>
        <v>190.99</v>
      </c>
      <c r="J63" s="59"/>
      <c r="K63" s="233"/>
      <c r="L63" s="233"/>
      <c r="M63" s="235"/>
      <c r="N63" s="236"/>
      <c r="O63" s="235"/>
      <c r="P63" s="236"/>
      <c r="Q63" s="236"/>
      <c r="R63" s="236"/>
      <c r="S63" s="237"/>
      <c r="T63" s="236"/>
      <c r="U63" s="233"/>
      <c r="V63" s="233"/>
      <c r="W63" s="233"/>
      <c r="X63" s="238"/>
    </row>
    <row r="64" spans="1:24" s="3" customFormat="1">
      <c r="A64" s="233"/>
      <c r="B64" s="436" t="s">
        <v>363</v>
      </c>
      <c r="C64" s="437"/>
      <c r="D64" s="435" t="s">
        <v>358</v>
      </c>
      <c r="E64" s="435"/>
      <c r="F64" s="50">
        <v>1</v>
      </c>
      <c r="G64" s="62">
        <v>1</v>
      </c>
      <c r="H64" s="185">
        <v>343.62</v>
      </c>
      <c r="I64" s="186">
        <f t="shared" si="7"/>
        <v>343.62</v>
      </c>
      <c r="J64" s="59"/>
      <c r="K64" s="233"/>
      <c r="L64" s="233"/>
      <c r="M64" s="235"/>
      <c r="N64" s="236"/>
      <c r="O64" s="235"/>
      <c r="P64" s="236"/>
      <c r="Q64" s="236"/>
      <c r="R64" s="236"/>
      <c r="S64" s="237"/>
      <c r="T64" s="236"/>
      <c r="U64" s="233"/>
      <c r="V64" s="233"/>
      <c r="W64" s="233"/>
      <c r="X64" s="238"/>
    </row>
    <row r="65" spans="1:24" s="3" customFormat="1">
      <c r="A65" s="233"/>
      <c r="B65" s="436" t="s">
        <v>363</v>
      </c>
      <c r="C65" s="437"/>
      <c r="D65" s="435" t="s">
        <v>359</v>
      </c>
      <c r="E65" s="435"/>
      <c r="F65" s="50">
        <v>1</v>
      </c>
      <c r="G65" s="62">
        <v>1</v>
      </c>
      <c r="H65" s="185">
        <v>268.75</v>
      </c>
      <c r="I65" s="186">
        <f t="shared" si="7"/>
        <v>268.75</v>
      </c>
      <c r="J65" s="59"/>
      <c r="K65" s="233"/>
      <c r="L65" s="233"/>
      <c r="M65" s="235"/>
      <c r="N65" s="236"/>
      <c r="O65" s="235"/>
      <c r="P65" s="236"/>
      <c r="Q65" s="236"/>
      <c r="R65" s="236"/>
      <c r="S65" s="237"/>
      <c r="T65" s="236"/>
      <c r="U65" s="233"/>
      <c r="V65" s="233"/>
      <c r="W65" s="233"/>
      <c r="X65" s="238"/>
    </row>
    <row r="66" spans="1:24" s="3" customFormat="1">
      <c r="A66" s="233"/>
      <c r="B66" s="436" t="s">
        <v>363</v>
      </c>
      <c r="C66" s="437"/>
      <c r="D66" s="435" t="s">
        <v>358</v>
      </c>
      <c r="E66" s="435"/>
      <c r="F66" s="50">
        <v>1</v>
      </c>
      <c r="G66" s="62">
        <v>1</v>
      </c>
      <c r="H66" s="185">
        <v>7.62</v>
      </c>
      <c r="I66" s="186">
        <f t="shared" si="7"/>
        <v>7.62</v>
      </c>
      <c r="J66" s="59"/>
      <c r="K66" s="233"/>
      <c r="L66" s="233"/>
      <c r="M66" s="235"/>
      <c r="N66" s="236"/>
      <c r="O66" s="235"/>
      <c r="P66" s="236"/>
      <c r="Q66" s="236"/>
      <c r="R66" s="236"/>
      <c r="S66" s="237"/>
      <c r="T66" s="236"/>
      <c r="U66" s="233"/>
      <c r="V66" s="233"/>
      <c r="W66" s="233"/>
      <c r="X66" s="238"/>
    </row>
    <row r="67" spans="1:24" s="3" customFormat="1">
      <c r="A67" s="233"/>
      <c r="B67" s="436"/>
      <c r="C67" s="437"/>
      <c r="D67" s="435"/>
      <c r="E67" s="435"/>
      <c r="F67" s="50"/>
      <c r="G67" s="62"/>
      <c r="H67" s="185"/>
      <c r="I67" s="186">
        <f t="shared" si="7"/>
        <v>0</v>
      </c>
      <c r="J67" s="59"/>
      <c r="K67" s="233"/>
      <c r="L67" s="233"/>
      <c r="M67" s="235"/>
      <c r="N67" s="236"/>
      <c r="O67" s="235"/>
      <c r="P67" s="236"/>
      <c r="Q67" s="236"/>
      <c r="R67" s="236"/>
      <c r="S67" s="237"/>
      <c r="T67" s="236"/>
      <c r="U67" s="233"/>
      <c r="V67" s="233"/>
      <c r="W67" s="233"/>
      <c r="X67" s="238"/>
    </row>
    <row r="68" spans="1:24" s="3" customFormat="1">
      <c r="A68" s="233"/>
      <c r="B68" s="435"/>
      <c r="C68" s="435"/>
      <c r="D68" s="435"/>
      <c r="E68" s="435"/>
      <c r="F68" s="50"/>
      <c r="G68" s="62"/>
      <c r="H68" s="185"/>
      <c r="I68" s="186">
        <f t="shared" si="7"/>
        <v>0</v>
      </c>
      <c r="J68" s="59"/>
      <c r="K68" s="233"/>
      <c r="L68" s="233"/>
      <c r="M68" s="235"/>
      <c r="N68" s="236"/>
      <c r="O68" s="235"/>
      <c r="P68" s="236"/>
      <c r="Q68" s="236"/>
      <c r="R68" s="236"/>
      <c r="S68" s="237"/>
      <c r="T68" s="236"/>
      <c r="U68" s="233"/>
      <c r="V68" s="233"/>
      <c r="W68" s="233"/>
      <c r="X68" s="238"/>
    </row>
    <row r="69" spans="1:24" s="3" customFormat="1">
      <c r="A69" s="233"/>
      <c r="B69" s="136"/>
      <c r="C69" s="11"/>
      <c r="D69" s="234"/>
      <c r="E69" s="11"/>
      <c r="F69" s="233"/>
      <c r="G69" s="233"/>
      <c r="H69" s="233"/>
      <c r="I69" s="233"/>
      <c r="J69" s="233"/>
      <c r="K69" s="233"/>
      <c r="L69" s="233"/>
      <c r="M69" s="235"/>
      <c r="N69" s="236"/>
      <c r="O69" s="235"/>
      <c r="P69" s="236"/>
      <c r="Q69" s="236"/>
      <c r="R69" s="236"/>
      <c r="S69" s="237"/>
      <c r="T69" s="236"/>
      <c r="U69" s="233"/>
      <c r="V69" s="233"/>
      <c r="W69" s="233"/>
      <c r="X69" s="238"/>
    </row>
    <row r="70" spans="1:24" s="3" customFormat="1">
      <c r="A70" s="233"/>
      <c r="B70" s="136"/>
      <c r="C70" s="11"/>
      <c r="D70" s="234"/>
      <c r="E70" s="11"/>
      <c r="F70" s="233"/>
      <c r="G70" s="233"/>
      <c r="H70" s="233"/>
      <c r="I70" s="233"/>
      <c r="J70" s="233"/>
      <c r="K70" s="233"/>
      <c r="L70" s="233"/>
      <c r="M70" s="235"/>
      <c r="N70" s="236"/>
      <c r="O70" s="235"/>
      <c r="P70" s="236"/>
      <c r="Q70" s="236"/>
      <c r="R70" s="236"/>
      <c r="S70" s="237"/>
      <c r="T70" s="236"/>
      <c r="U70" s="233"/>
      <c r="V70" s="233"/>
      <c r="W70" s="233"/>
      <c r="X70" s="238"/>
    </row>
    <row r="71" spans="1:24" s="3" customFormat="1" ht="18">
      <c r="A71" s="233"/>
      <c r="B71" s="243" t="s">
        <v>238</v>
      </c>
      <c r="C71" s="11"/>
      <c r="D71" s="234"/>
      <c r="E71" s="11"/>
      <c r="F71" s="233"/>
      <c r="G71" s="233"/>
      <c r="H71" s="233"/>
      <c r="I71" s="233"/>
      <c r="J71" s="233"/>
      <c r="K71" s="233"/>
      <c r="L71" s="233"/>
      <c r="M71" s="235"/>
      <c r="N71" s="236"/>
      <c r="O71" s="235"/>
      <c r="P71" s="236"/>
      <c r="Q71" s="236"/>
      <c r="R71" s="236"/>
      <c r="S71" s="237"/>
      <c r="T71" s="236"/>
      <c r="U71" s="233"/>
      <c r="V71" s="233"/>
      <c r="W71" s="233"/>
      <c r="X71" s="238"/>
    </row>
    <row r="72" spans="1:24" s="3" customFormat="1">
      <c r="A72" s="233"/>
      <c r="B72" s="242" t="s">
        <v>239</v>
      </c>
      <c r="C72" s="11"/>
      <c r="D72" s="234"/>
      <c r="E72" s="11"/>
      <c r="F72" s="233"/>
      <c r="G72" s="233"/>
      <c r="H72" s="233"/>
      <c r="I72" s="233"/>
      <c r="J72" s="233"/>
      <c r="K72" s="233"/>
      <c r="L72" s="233"/>
      <c r="M72" s="235"/>
      <c r="N72" s="236"/>
      <c r="O72" s="235"/>
      <c r="P72" s="236"/>
      <c r="Q72" s="236"/>
      <c r="R72" s="236"/>
      <c r="S72" s="237"/>
      <c r="T72" s="236"/>
      <c r="U72" s="233"/>
      <c r="V72" s="233"/>
      <c r="W72" s="233"/>
      <c r="X72" s="238"/>
    </row>
    <row r="73" spans="1:24" s="3" customFormat="1">
      <c r="A73" s="233"/>
      <c r="B73" s="242" t="s">
        <v>240</v>
      </c>
      <c r="C73" s="11"/>
      <c r="D73" s="234"/>
      <c r="E73" s="11"/>
      <c r="F73" s="233"/>
      <c r="G73" s="233"/>
      <c r="H73" s="233"/>
      <c r="I73" s="233"/>
      <c r="J73" s="233"/>
      <c r="K73" s="233"/>
      <c r="L73" s="233"/>
      <c r="M73" s="235"/>
      <c r="N73" s="236"/>
      <c r="O73" s="235"/>
      <c r="P73" s="236"/>
      <c r="Q73" s="236"/>
      <c r="R73" s="236"/>
      <c r="S73" s="237"/>
      <c r="T73" s="236"/>
      <c r="U73" s="233"/>
      <c r="V73" s="233"/>
      <c r="W73" s="233"/>
      <c r="X73" s="238"/>
    </row>
    <row r="74" spans="1:24" s="3" customFormat="1">
      <c r="A74" s="233"/>
      <c r="B74" s="242" t="s">
        <v>257</v>
      </c>
      <c r="C74" s="11"/>
      <c r="D74" s="234"/>
      <c r="E74" s="11"/>
      <c r="F74" s="233"/>
      <c r="G74" s="233"/>
      <c r="H74" s="233"/>
      <c r="I74" s="233"/>
      <c r="J74" s="233"/>
      <c r="K74" s="233"/>
      <c r="L74" s="233"/>
      <c r="M74" s="235"/>
      <c r="N74" s="236"/>
      <c r="O74" s="235"/>
      <c r="P74" s="236"/>
      <c r="Q74" s="236"/>
      <c r="R74" s="236"/>
      <c r="S74" s="237"/>
      <c r="T74" s="236"/>
      <c r="U74" s="233"/>
      <c r="V74" s="233"/>
      <c r="W74" s="233"/>
      <c r="X74" s="238"/>
    </row>
    <row r="75" spans="1:24" s="3" customFormat="1">
      <c r="A75" s="233"/>
      <c r="B75" s="438" t="s">
        <v>152</v>
      </c>
      <c r="C75" s="439"/>
      <c r="D75" s="438" t="s">
        <v>153</v>
      </c>
      <c r="E75" s="439"/>
      <c r="F75" s="123" t="s">
        <v>154</v>
      </c>
      <c r="G75" s="123" t="s">
        <v>155</v>
      </c>
      <c r="H75" s="123" t="s">
        <v>156</v>
      </c>
      <c r="I75" s="123" t="s">
        <v>157</v>
      </c>
      <c r="J75" s="123" t="s">
        <v>97</v>
      </c>
      <c r="K75" s="233"/>
      <c r="L75" s="233"/>
      <c r="M75" s="235"/>
      <c r="N75" s="236"/>
      <c r="O75" s="235"/>
      <c r="P75" s="236"/>
      <c r="Q75" s="236"/>
      <c r="R75" s="236"/>
      <c r="S75" s="237"/>
      <c r="T75" s="236"/>
      <c r="U75" s="233"/>
      <c r="V75" s="233"/>
      <c r="W75" s="233"/>
      <c r="X75" s="238"/>
    </row>
    <row r="76" spans="1:24" s="3" customFormat="1">
      <c r="A76" s="233"/>
      <c r="B76" s="435"/>
      <c r="C76" s="435"/>
      <c r="D76" s="440"/>
      <c r="E76" s="441"/>
      <c r="F76" s="50"/>
      <c r="G76" s="62"/>
      <c r="H76" s="185"/>
      <c r="I76" s="186">
        <f t="shared" ref="I76:I105" si="8">IF(B76=0,0,H76*G76*F76)</f>
        <v>0</v>
      </c>
      <c r="J76" s="59"/>
      <c r="K76" s="233"/>
      <c r="L76" s="233"/>
      <c r="M76" s="235"/>
      <c r="N76" s="236"/>
      <c r="O76" s="235"/>
      <c r="P76" s="236"/>
      <c r="Q76" s="236"/>
      <c r="R76" s="236"/>
      <c r="S76" s="237"/>
      <c r="T76" s="236"/>
      <c r="U76" s="233"/>
      <c r="V76" s="233"/>
      <c r="W76" s="233"/>
      <c r="X76" s="238"/>
    </row>
    <row r="77" spans="1:24" s="3" customFormat="1">
      <c r="A77" s="233"/>
      <c r="B77" s="435"/>
      <c r="C77" s="435"/>
      <c r="D77" s="436"/>
      <c r="E77" s="437"/>
      <c r="F77" s="50"/>
      <c r="G77" s="62"/>
      <c r="H77" s="185"/>
      <c r="I77" s="186">
        <f t="shared" si="8"/>
        <v>0</v>
      </c>
      <c r="J77" s="59"/>
      <c r="K77" s="233"/>
      <c r="L77" s="233"/>
      <c r="M77" s="235"/>
      <c r="N77" s="236"/>
      <c r="O77" s="235"/>
      <c r="P77" s="236"/>
      <c r="Q77" s="236"/>
      <c r="R77" s="236"/>
      <c r="S77" s="237"/>
      <c r="T77" s="236"/>
      <c r="U77" s="233"/>
      <c r="V77" s="233"/>
      <c r="W77" s="233"/>
      <c r="X77" s="238"/>
    </row>
    <row r="78" spans="1:24" s="3" customFormat="1">
      <c r="A78" s="233"/>
      <c r="B78" s="435"/>
      <c r="C78" s="435"/>
      <c r="D78" s="436"/>
      <c r="E78" s="437"/>
      <c r="F78" s="50"/>
      <c r="G78" s="62"/>
      <c r="H78" s="185"/>
      <c r="I78" s="186">
        <f>IF(B78=0,0,H78*G78*F78)</f>
        <v>0</v>
      </c>
      <c r="J78" s="59"/>
      <c r="K78" s="233"/>
      <c r="L78" s="233"/>
      <c r="M78" s="235"/>
      <c r="N78" s="236"/>
      <c r="O78" s="235"/>
      <c r="P78" s="236"/>
      <c r="Q78" s="236"/>
      <c r="R78" s="236"/>
      <c r="S78" s="237"/>
      <c r="T78" s="236"/>
      <c r="U78" s="233"/>
      <c r="V78" s="233"/>
      <c r="W78" s="233"/>
      <c r="X78" s="238"/>
    </row>
    <row r="79" spans="1:24" s="3" customFormat="1">
      <c r="A79" s="233"/>
      <c r="B79" s="435"/>
      <c r="C79" s="435"/>
      <c r="D79" s="436"/>
      <c r="E79" s="437"/>
      <c r="F79" s="50"/>
      <c r="G79" s="62"/>
      <c r="H79" s="185"/>
      <c r="I79" s="186">
        <f>IF(B79=0,0,H79*G79*F79)</f>
        <v>0</v>
      </c>
      <c r="J79" s="59"/>
      <c r="K79" s="233"/>
      <c r="L79" s="233"/>
      <c r="M79" s="235"/>
      <c r="N79" s="236"/>
      <c r="O79" s="235"/>
      <c r="P79" s="236"/>
      <c r="Q79" s="236"/>
      <c r="R79" s="236"/>
      <c r="S79" s="237"/>
      <c r="T79" s="236"/>
      <c r="U79" s="233"/>
      <c r="V79" s="233"/>
      <c r="W79" s="233"/>
      <c r="X79" s="238"/>
    </row>
    <row r="80" spans="1:24" s="3" customFormat="1">
      <c r="A80" s="233"/>
      <c r="B80" s="435"/>
      <c r="C80" s="435"/>
      <c r="D80" s="436"/>
      <c r="E80" s="437"/>
      <c r="F80" s="50"/>
      <c r="G80" s="62"/>
      <c r="H80" s="185"/>
      <c r="I80" s="186">
        <f t="shared" si="8"/>
        <v>0</v>
      </c>
      <c r="J80" s="59"/>
      <c r="K80" s="233"/>
      <c r="L80" s="233"/>
      <c r="M80" s="235"/>
      <c r="N80" s="236"/>
      <c r="O80" s="235"/>
      <c r="P80" s="236"/>
      <c r="Q80" s="236"/>
      <c r="R80" s="236"/>
      <c r="S80" s="237"/>
      <c r="T80" s="236"/>
      <c r="U80" s="233"/>
      <c r="V80" s="233"/>
      <c r="W80" s="233"/>
      <c r="X80" s="238"/>
    </row>
    <row r="81" spans="1:24" s="3" customFormat="1">
      <c r="A81" s="233"/>
      <c r="B81" s="435"/>
      <c r="C81" s="435"/>
      <c r="D81" s="436"/>
      <c r="E81" s="437"/>
      <c r="F81" s="50"/>
      <c r="G81" s="62"/>
      <c r="H81" s="185"/>
      <c r="I81" s="186">
        <f t="shared" si="8"/>
        <v>0</v>
      </c>
      <c r="J81" s="59"/>
      <c r="K81" s="233"/>
      <c r="L81" s="233"/>
      <c r="M81" s="235"/>
      <c r="N81" s="236"/>
      <c r="O81" s="235"/>
      <c r="P81" s="236"/>
      <c r="Q81" s="236"/>
      <c r="R81" s="236"/>
      <c r="S81" s="237"/>
      <c r="T81" s="236"/>
      <c r="U81" s="233"/>
      <c r="V81" s="233"/>
      <c r="W81" s="233"/>
      <c r="X81" s="238"/>
    </row>
    <row r="82" spans="1:24" s="3" customFormat="1">
      <c r="A82" s="233"/>
      <c r="B82" s="435"/>
      <c r="C82" s="435"/>
      <c r="D82" s="436"/>
      <c r="E82" s="437"/>
      <c r="F82" s="50"/>
      <c r="G82" s="62"/>
      <c r="H82" s="185"/>
      <c r="I82" s="186">
        <f t="shared" si="8"/>
        <v>0</v>
      </c>
      <c r="J82" s="59"/>
      <c r="K82" s="233"/>
      <c r="L82" s="233"/>
      <c r="M82" s="235"/>
      <c r="N82" s="236"/>
      <c r="O82" s="235"/>
      <c r="P82" s="236"/>
      <c r="Q82" s="236"/>
      <c r="R82" s="236"/>
      <c r="S82" s="237"/>
      <c r="T82" s="236"/>
      <c r="U82" s="233"/>
      <c r="V82" s="233"/>
      <c r="W82" s="233"/>
      <c r="X82" s="238"/>
    </row>
    <row r="83" spans="1:24" s="3" customFormat="1">
      <c r="A83" s="233"/>
      <c r="B83" s="435"/>
      <c r="C83" s="435"/>
      <c r="D83" s="436"/>
      <c r="E83" s="437"/>
      <c r="F83" s="50"/>
      <c r="G83" s="62"/>
      <c r="H83" s="185"/>
      <c r="I83" s="186">
        <f t="shared" si="8"/>
        <v>0</v>
      </c>
      <c r="J83" s="59"/>
      <c r="K83" s="233"/>
      <c r="L83" s="233"/>
      <c r="M83" s="235"/>
      <c r="N83" s="236"/>
      <c r="O83" s="235"/>
      <c r="P83" s="236"/>
      <c r="Q83" s="236"/>
      <c r="R83" s="236"/>
      <c r="S83" s="237"/>
      <c r="T83" s="236"/>
      <c r="U83" s="233"/>
      <c r="V83" s="233"/>
      <c r="W83" s="233"/>
      <c r="X83" s="238"/>
    </row>
    <row r="84" spans="1:24" s="3" customFormat="1">
      <c r="A84" s="233"/>
      <c r="B84" s="435"/>
      <c r="C84" s="435"/>
      <c r="D84" s="436"/>
      <c r="E84" s="437"/>
      <c r="F84" s="50"/>
      <c r="G84" s="62"/>
      <c r="H84" s="185"/>
      <c r="I84" s="186">
        <f t="shared" si="8"/>
        <v>0</v>
      </c>
      <c r="J84" s="59"/>
      <c r="K84" s="233"/>
      <c r="L84" s="233"/>
      <c r="M84" s="235"/>
      <c r="N84" s="236"/>
      <c r="O84" s="235"/>
      <c r="P84" s="236"/>
      <c r="Q84" s="236"/>
      <c r="R84" s="236"/>
      <c r="S84" s="237"/>
      <c r="T84" s="236"/>
      <c r="U84" s="233"/>
      <c r="V84" s="233"/>
      <c r="W84" s="233"/>
      <c r="X84" s="238"/>
    </row>
    <row r="85" spans="1:24" s="3" customFormat="1">
      <c r="A85" s="233"/>
      <c r="B85" s="435"/>
      <c r="C85" s="435"/>
      <c r="D85" s="436"/>
      <c r="E85" s="437"/>
      <c r="F85" s="50"/>
      <c r="G85" s="62"/>
      <c r="H85" s="185"/>
      <c r="I85" s="186">
        <f t="shared" si="8"/>
        <v>0</v>
      </c>
      <c r="J85" s="59"/>
      <c r="K85" s="233"/>
      <c r="L85" s="233"/>
      <c r="M85" s="235"/>
      <c r="N85" s="236"/>
      <c r="O85" s="235"/>
      <c r="P85" s="236"/>
      <c r="Q85" s="236"/>
      <c r="R85" s="236"/>
      <c r="S85" s="237"/>
      <c r="T85" s="236"/>
      <c r="U85" s="233"/>
      <c r="V85" s="233"/>
      <c r="W85" s="233"/>
      <c r="X85" s="238"/>
    </row>
    <row r="86" spans="1:24" s="3" customFormat="1">
      <c r="A86" s="233"/>
      <c r="B86" s="435"/>
      <c r="C86" s="435"/>
      <c r="D86" s="436"/>
      <c r="E86" s="437"/>
      <c r="F86" s="50"/>
      <c r="G86" s="62"/>
      <c r="H86" s="185"/>
      <c r="I86" s="186">
        <f t="shared" si="8"/>
        <v>0</v>
      </c>
      <c r="J86" s="59"/>
      <c r="K86" s="233"/>
      <c r="L86" s="233"/>
      <c r="M86" s="235"/>
      <c r="N86" s="236"/>
      <c r="O86" s="235"/>
      <c r="P86" s="236"/>
      <c r="Q86" s="236"/>
      <c r="R86" s="236"/>
      <c r="S86" s="237"/>
      <c r="T86" s="236"/>
      <c r="U86" s="233"/>
      <c r="V86" s="233"/>
      <c r="W86" s="233"/>
      <c r="X86" s="238"/>
    </row>
    <row r="87" spans="1:24" s="3" customFormat="1">
      <c r="A87" s="233"/>
      <c r="B87" s="435"/>
      <c r="C87" s="435"/>
      <c r="D87" s="436"/>
      <c r="E87" s="437"/>
      <c r="F87" s="50"/>
      <c r="G87" s="62"/>
      <c r="H87" s="185"/>
      <c r="I87" s="186">
        <f t="shared" si="8"/>
        <v>0</v>
      </c>
      <c r="J87" s="59"/>
      <c r="K87" s="233"/>
      <c r="L87" s="233"/>
      <c r="M87" s="235"/>
      <c r="N87" s="236"/>
      <c r="O87" s="235"/>
      <c r="P87" s="236"/>
      <c r="Q87" s="236"/>
      <c r="R87" s="236"/>
      <c r="S87" s="237"/>
      <c r="T87" s="236"/>
      <c r="U87" s="233"/>
      <c r="V87" s="233"/>
      <c r="W87" s="233"/>
      <c r="X87" s="238"/>
    </row>
    <row r="88" spans="1:24" s="3" customFormat="1">
      <c r="A88" s="233"/>
      <c r="B88" s="435"/>
      <c r="C88" s="435"/>
      <c r="D88" s="436"/>
      <c r="E88" s="437"/>
      <c r="F88" s="50"/>
      <c r="G88" s="62"/>
      <c r="H88" s="185"/>
      <c r="I88" s="186">
        <f t="shared" si="8"/>
        <v>0</v>
      </c>
      <c r="J88" s="59"/>
      <c r="K88" s="233"/>
      <c r="L88" s="233"/>
      <c r="M88" s="235"/>
      <c r="N88" s="236"/>
      <c r="O88" s="235"/>
      <c r="P88" s="236"/>
      <c r="Q88" s="236"/>
      <c r="R88" s="236"/>
      <c r="S88" s="237"/>
      <c r="T88" s="236"/>
      <c r="U88" s="233"/>
      <c r="V88" s="233"/>
      <c r="W88" s="233"/>
      <c r="X88" s="238"/>
    </row>
    <row r="89" spans="1:24" s="3" customFormat="1">
      <c r="A89" s="233"/>
      <c r="B89" s="435"/>
      <c r="C89" s="435"/>
      <c r="D89" s="435"/>
      <c r="E89" s="435"/>
      <c r="F89" s="50"/>
      <c r="G89" s="62"/>
      <c r="H89" s="185"/>
      <c r="I89" s="186">
        <f t="shared" si="8"/>
        <v>0</v>
      </c>
      <c r="J89" s="59"/>
      <c r="K89" s="233"/>
      <c r="L89" s="233"/>
      <c r="M89" s="235"/>
      <c r="N89" s="236"/>
      <c r="O89" s="235"/>
      <c r="P89" s="236"/>
      <c r="Q89" s="236"/>
      <c r="R89" s="236"/>
      <c r="S89" s="237"/>
      <c r="T89" s="236"/>
      <c r="U89" s="233"/>
      <c r="V89" s="233"/>
      <c r="W89" s="233"/>
      <c r="X89" s="238"/>
    </row>
    <row r="90" spans="1:24" s="3" customFormat="1">
      <c r="A90" s="233"/>
      <c r="B90" s="435"/>
      <c r="C90" s="435"/>
      <c r="D90" s="435"/>
      <c r="E90" s="435"/>
      <c r="F90" s="50"/>
      <c r="G90" s="62"/>
      <c r="H90" s="185"/>
      <c r="I90" s="186">
        <f t="shared" si="8"/>
        <v>0</v>
      </c>
      <c r="J90" s="59"/>
      <c r="K90" s="233"/>
      <c r="L90" s="233"/>
      <c r="M90" s="235"/>
      <c r="N90" s="236"/>
      <c r="O90" s="235"/>
      <c r="P90" s="236"/>
      <c r="Q90" s="236"/>
      <c r="R90" s="236"/>
      <c r="S90" s="237"/>
      <c r="T90" s="236"/>
      <c r="U90" s="233"/>
      <c r="V90" s="233"/>
      <c r="W90" s="233"/>
      <c r="X90" s="238"/>
    </row>
    <row r="91" spans="1:24" s="3" customFormat="1">
      <c r="A91" s="233"/>
      <c r="B91" s="435"/>
      <c r="C91" s="435"/>
      <c r="D91" s="435"/>
      <c r="E91" s="435"/>
      <c r="F91" s="50"/>
      <c r="G91" s="62"/>
      <c r="H91" s="185"/>
      <c r="I91" s="186">
        <f t="shared" si="8"/>
        <v>0</v>
      </c>
      <c r="J91" s="59"/>
      <c r="K91" s="233"/>
      <c r="L91" s="233"/>
      <c r="M91" s="235"/>
      <c r="N91" s="236"/>
      <c r="O91" s="235"/>
      <c r="P91" s="236"/>
      <c r="Q91" s="236"/>
      <c r="R91" s="236"/>
      <c r="S91" s="237"/>
      <c r="T91" s="236"/>
      <c r="U91" s="233"/>
      <c r="V91" s="233"/>
      <c r="W91" s="233"/>
      <c r="X91" s="238"/>
    </row>
    <row r="92" spans="1:24" s="3" customFormat="1">
      <c r="A92" s="233"/>
      <c r="B92" s="435"/>
      <c r="C92" s="435"/>
      <c r="D92" s="435"/>
      <c r="E92" s="435"/>
      <c r="F92" s="50"/>
      <c r="G92" s="62"/>
      <c r="H92" s="185"/>
      <c r="I92" s="186">
        <f t="shared" si="8"/>
        <v>0</v>
      </c>
      <c r="J92" s="59"/>
      <c r="K92" s="233"/>
      <c r="L92" s="233"/>
      <c r="M92" s="235"/>
      <c r="N92" s="236"/>
      <c r="O92" s="235"/>
      <c r="P92" s="236"/>
      <c r="Q92" s="236"/>
      <c r="R92" s="236"/>
      <c r="S92" s="237"/>
      <c r="T92" s="236"/>
      <c r="U92" s="233"/>
      <c r="V92" s="233"/>
      <c r="W92" s="233"/>
      <c r="X92" s="238"/>
    </row>
    <row r="93" spans="1:24" s="3" customFormat="1">
      <c r="A93" s="233"/>
      <c r="B93" s="435"/>
      <c r="C93" s="435"/>
      <c r="D93" s="435"/>
      <c r="E93" s="435"/>
      <c r="F93" s="50"/>
      <c r="G93" s="62"/>
      <c r="H93" s="185"/>
      <c r="I93" s="186">
        <f t="shared" si="8"/>
        <v>0</v>
      </c>
      <c r="J93" s="59"/>
      <c r="K93" s="233"/>
      <c r="L93" s="233"/>
      <c r="M93" s="235"/>
      <c r="N93" s="236"/>
      <c r="O93" s="235"/>
      <c r="P93" s="236"/>
      <c r="Q93" s="236"/>
      <c r="R93" s="236"/>
      <c r="S93" s="237"/>
      <c r="T93" s="236"/>
      <c r="U93" s="233"/>
      <c r="V93" s="233"/>
      <c r="W93" s="233"/>
      <c r="X93" s="238"/>
    </row>
    <row r="94" spans="1:24" s="3" customFormat="1">
      <c r="A94" s="233"/>
      <c r="B94" s="435"/>
      <c r="C94" s="435"/>
      <c r="D94" s="435"/>
      <c r="E94" s="435"/>
      <c r="F94" s="50"/>
      <c r="G94" s="62"/>
      <c r="H94" s="185"/>
      <c r="I94" s="186">
        <f t="shared" si="8"/>
        <v>0</v>
      </c>
      <c r="J94" s="59"/>
      <c r="K94" s="233"/>
      <c r="L94" s="233"/>
      <c r="M94" s="235"/>
      <c r="N94" s="236"/>
      <c r="O94" s="235"/>
      <c r="P94" s="236"/>
      <c r="Q94" s="236"/>
      <c r="R94" s="236"/>
      <c r="S94" s="237"/>
      <c r="T94" s="236"/>
      <c r="U94" s="233"/>
      <c r="V94" s="233"/>
      <c r="W94" s="233"/>
      <c r="X94" s="238"/>
    </row>
    <row r="95" spans="1:24" s="3" customFormat="1">
      <c r="A95" s="233"/>
      <c r="B95" s="435"/>
      <c r="C95" s="435"/>
      <c r="D95" s="435"/>
      <c r="E95" s="435"/>
      <c r="F95" s="50"/>
      <c r="G95" s="62"/>
      <c r="H95" s="185"/>
      <c r="I95" s="186">
        <f t="shared" si="8"/>
        <v>0</v>
      </c>
      <c r="J95" s="59"/>
      <c r="K95" s="233"/>
      <c r="L95" s="233"/>
      <c r="M95" s="235"/>
      <c r="N95" s="236"/>
      <c r="O95" s="235"/>
      <c r="P95" s="236"/>
      <c r="Q95" s="236"/>
      <c r="R95" s="236"/>
      <c r="S95" s="237"/>
      <c r="T95" s="236"/>
      <c r="U95" s="233"/>
      <c r="V95" s="233"/>
      <c r="W95" s="233"/>
      <c r="X95" s="238"/>
    </row>
    <row r="96" spans="1:24" s="3" customFormat="1">
      <c r="A96" s="233"/>
      <c r="B96" s="435"/>
      <c r="C96" s="435"/>
      <c r="D96" s="435"/>
      <c r="E96" s="435"/>
      <c r="F96" s="50"/>
      <c r="G96" s="62"/>
      <c r="H96" s="185"/>
      <c r="I96" s="186">
        <f t="shared" si="8"/>
        <v>0</v>
      </c>
      <c r="J96" s="59"/>
      <c r="K96" s="233"/>
      <c r="L96" s="233"/>
      <c r="M96" s="235"/>
      <c r="N96" s="236"/>
      <c r="O96" s="235"/>
      <c r="P96" s="236"/>
      <c r="Q96" s="236"/>
      <c r="R96" s="236"/>
      <c r="S96" s="237"/>
      <c r="T96" s="236"/>
      <c r="U96" s="233"/>
      <c r="V96" s="233"/>
      <c r="W96" s="233"/>
      <c r="X96" s="238"/>
    </row>
    <row r="97" spans="1:24" s="3" customFormat="1">
      <c r="A97" s="233"/>
      <c r="B97" s="435"/>
      <c r="C97" s="435"/>
      <c r="D97" s="435"/>
      <c r="E97" s="435"/>
      <c r="F97" s="50"/>
      <c r="G97" s="62"/>
      <c r="H97" s="185"/>
      <c r="I97" s="186">
        <f t="shared" si="8"/>
        <v>0</v>
      </c>
      <c r="J97" s="59"/>
      <c r="K97" s="233"/>
      <c r="L97" s="233"/>
      <c r="M97" s="235"/>
      <c r="N97" s="236"/>
      <c r="O97" s="235"/>
      <c r="P97" s="236"/>
      <c r="Q97" s="236"/>
      <c r="R97" s="236"/>
      <c r="S97" s="237"/>
      <c r="T97" s="236"/>
      <c r="U97" s="233"/>
      <c r="V97" s="233"/>
      <c r="W97" s="233"/>
      <c r="X97" s="238"/>
    </row>
    <row r="98" spans="1:24" s="3" customFormat="1">
      <c r="A98" s="233"/>
      <c r="B98" s="435"/>
      <c r="C98" s="435"/>
      <c r="D98" s="435"/>
      <c r="E98" s="435"/>
      <c r="F98" s="50"/>
      <c r="G98" s="62"/>
      <c r="H98" s="185"/>
      <c r="I98" s="186">
        <f t="shared" si="8"/>
        <v>0</v>
      </c>
      <c r="J98" s="59"/>
      <c r="K98" s="233"/>
      <c r="L98" s="233"/>
      <c r="M98" s="235"/>
      <c r="N98" s="236"/>
      <c r="O98" s="235"/>
      <c r="P98" s="236"/>
      <c r="Q98" s="236"/>
      <c r="R98" s="236"/>
      <c r="S98" s="237"/>
      <c r="T98" s="236"/>
      <c r="U98" s="233"/>
      <c r="V98" s="233"/>
      <c r="W98" s="233"/>
      <c r="X98" s="238"/>
    </row>
    <row r="99" spans="1:24" s="3" customFormat="1">
      <c r="A99" s="233"/>
      <c r="B99" s="435"/>
      <c r="C99" s="435"/>
      <c r="D99" s="435"/>
      <c r="E99" s="435"/>
      <c r="F99" s="50"/>
      <c r="G99" s="62"/>
      <c r="H99" s="185"/>
      <c r="I99" s="186">
        <f t="shared" si="8"/>
        <v>0</v>
      </c>
      <c r="J99" s="59"/>
      <c r="K99" s="233"/>
      <c r="L99" s="233"/>
      <c r="M99" s="235"/>
      <c r="N99" s="236"/>
      <c r="O99" s="235"/>
      <c r="P99" s="236"/>
      <c r="Q99" s="236"/>
      <c r="R99" s="236"/>
      <c r="S99" s="237"/>
      <c r="T99" s="236"/>
      <c r="U99" s="233"/>
      <c r="V99" s="233"/>
      <c r="W99" s="233"/>
      <c r="X99" s="238"/>
    </row>
    <row r="100" spans="1:24" s="3" customFormat="1">
      <c r="A100" s="233"/>
      <c r="B100" s="435"/>
      <c r="C100" s="435"/>
      <c r="D100" s="435"/>
      <c r="E100" s="435"/>
      <c r="F100" s="50"/>
      <c r="G100" s="62"/>
      <c r="H100" s="185"/>
      <c r="I100" s="186">
        <f t="shared" si="8"/>
        <v>0</v>
      </c>
      <c r="J100" s="59"/>
      <c r="K100" s="233"/>
      <c r="L100" s="233"/>
      <c r="M100" s="235"/>
      <c r="N100" s="236"/>
      <c r="O100" s="235"/>
      <c r="P100" s="236"/>
      <c r="Q100" s="236"/>
      <c r="R100" s="236"/>
      <c r="S100" s="237"/>
      <c r="T100" s="236"/>
      <c r="U100" s="233"/>
      <c r="V100" s="233"/>
      <c r="W100" s="233"/>
      <c r="X100" s="238"/>
    </row>
    <row r="101" spans="1:24" s="3" customFormat="1">
      <c r="A101" s="233"/>
      <c r="B101" s="435"/>
      <c r="C101" s="435"/>
      <c r="D101" s="435"/>
      <c r="E101" s="435"/>
      <c r="F101" s="50"/>
      <c r="G101" s="62"/>
      <c r="H101" s="185"/>
      <c r="I101" s="186">
        <f t="shared" si="8"/>
        <v>0</v>
      </c>
      <c r="J101" s="59"/>
      <c r="K101" s="233"/>
      <c r="L101" s="233"/>
      <c r="M101" s="235"/>
      <c r="N101" s="236"/>
      <c r="O101" s="235"/>
      <c r="P101" s="236"/>
      <c r="Q101" s="236"/>
      <c r="R101" s="236"/>
      <c r="S101" s="237"/>
      <c r="T101" s="236"/>
      <c r="U101" s="233"/>
      <c r="V101" s="233"/>
      <c r="W101" s="233"/>
      <c r="X101" s="238"/>
    </row>
    <row r="102" spans="1:24" s="3" customFormat="1">
      <c r="A102" s="233"/>
      <c r="B102" s="435"/>
      <c r="C102" s="435"/>
      <c r="D102" s="435"/>
      <c r="E102" s="435"/>
      <c r="F102" s="50"/>
      <c r="G102" s="62"/>
      <c r="H102" s="185"/>
      <c r="I102" s="186">
        <f t="shared" si="8"/>
        <v>0</v>
      </c>
      <c r="J102" s="59"/>
      <c r="K102" s="233"/>
      <c r="L102" s="233"/>
      <c r="M102" s="235"/>
      <c r="N102" s="236"/>
      <c r="O102" s="235"/>
      <c r="P102" s="236"/>
      <c r="Q102" s="236"/>
      <c r="R102" s="236"/>
      <c r="S102" s="237"/>
      <c r="T102" s="236"/>
      <c r="U102" s="233"/>
      <c r="V102" s="233"/>
      <c r="W102" s="233"/>
      <c r="X102" s="238"/>
    </row>
    <row r="103" spans="1:24" s="3" customFormat="1">
      <c r="A103" s="233"/>
      <c r="B103" s="435"/>
      <c r="C103" s="435"/>
      <c r="D103" s="435"/>
      <c r="E103" s="435"/>
      <c r="F103" s="50"/>
      <c r="G103" s="62"/>
      <c r="H103" s="185"/>
      <c r="I103" s="186">
        <f t="shared" si="8"/>
        <v>0</v>
      </c>
      <c r="J103" s="59"/>
      <c r="K103" s="233"/>
      <c r="L103" s="233"/>
      <c r="M103" s="235"/>
      <c r="N103" s="236"/>
      <c r="O103" s="235"/>
      <c r="P103" s="236"/>
      <c r="Q103" s="236"/>
      <c r="R103" s="236"/>
      <c r="S103" s="237"/>
      <c r="T103" s="236"/>
      <c r="U103" s="233"/>
      <c r="V103" s="233"/>
      <c r="W103" s="233"/>
      <c r="X103" s="238"/>
    </row>
    <row r="104" spans="1:24" s="3" customFormat="1">
      <c r="A104" s="233"/>
      <c r="B104" s="435"/>
      <c r="C104" s="435"/>
      <c r="D104" s="435"/>
      <c r="E104" s="435"/>
      <c r="F104" s="50"/>
      <c r="G104" s="62"/>
      <c r="H104" s="185"/>
      <c r="I104" s="186">
        <f t="shared" si="8"/>
        <v>0</v>
      </c>
      <c r="J104" s="59"/>
      <c r="K104" s="233"/>
      <c r="L104" s="233"/>
      <c r="M104" s="235"/>
      <c r="N104" s="236"/>
      <c r="O104" s="235"/>
      <c r="P104" s="236"/>
      <c r="Q104" s="236"/>
      <c r="R104" s="236"/>
      <c r="S104" s="237"/>
      <c r="T104" s="236"/>
      <c r="U104" s="233"/>
      <c r="V104" s="233"/>
      <c r="W104" s="233"/>
      <c r="X104" s="238"/>
    </row>
    <row r="105" spans="1:24" s="3" customFormat="1">
      <c r="A105" s="233"/>
      <c r="B105" s="435"/>
      <c r="C105" s="435"/>
      <c r="D105" s="435"/>
      <c r="E105" s="435"/>
      <c r="F105" s="50"/>
      <c r="G105" s="62"/>
      <c r="H105" s="185"/>
      <c r="I105" s="186">
        <f t="shared" si="8"/>
        <v>0</v>
      </c>
      <c r="J105" s="59"/>
      <c r="K105" s="233"/>
      <c r="L105" s="233"/>
      <c r="M105" s="235"/>
      <c r="N105" s="236"/>
      <c r="O105" s="235"/>
      <c r="P105" s="236"/>
      <c r="Q105" s="236"/>
      <c r="R105" s="236"/>
      <c r="S105" s="237"/>
      <c r="T105" s="236"/>
      <c r="U105" s="233"/>
      <c r="V105" s="233"/>
      <c r="W105" s="233"/>
      <c r="X105" s="238"/>
    </row>
    <row r="106" spans="1:24" s="3" customFormat="1">
      <c r="A106" s="233"/>
      <c r="B106" s="136"/>
      <c r="C106" s="11"/>
      <c r="D106" s="234"/>
      <c r="E106" s="11"/>
      <c r="F106" s="233"/>
      <c r="G106" s="233"/>
      <c r="H106" s="233"/>
      <c r="I106" s="233"/>
      <c r="J106" s="233"/>
      <c r="K106" s="233"/>
      <c r="L106" s="233"/>
      <c r="M106" s="235"/>
      <c r="N106" s="236"/>
      <c r="O106" s="235"/>
      <c r="P106" s="236"/>
      <c r="Q106" s="236"/>
      <c r="R106" s="236"/>
      <c r="S106" s="237"/>
      <c r="T106" s="236"/>
      <c r="U106" s="233"/>
      <c r="V106" s="233"/>
      <c r="W106" s="233"/>
      <c r="X106" s="238"/>
    </row>
    <row r="107" spans="1:24" s="3" customFormat="1">
      <c r="A107" s="233"/>
      <c r="B107" s="136"/>
      <c r="C107" s="11"/>
      <c r="D107" s="234"/>
      <c r="E107" s="11"/>
      <c r="F107" s="233"/>
      <c r="G107" s="233"/>
      <c r="H107" s="233"/>
      <c r="I107" s="233"/>
      <c r="J107" s="233"/>
      <c r="K107" s="233"/>
      <c r="L107" s="233"/>
      <c r="M107" s="235"/>
      <c r="N107" s="236"/>
      <c r="O107" s="235"/>
      <c r="P107" s="236"/>
      <c r="Q107" s="236"/>
      <c r="R107" s="236"/>
      <c r="S107" s="237"/>
      <c r="T107" s="236"/>
      <c r="U107" s="233"/>
      <c r="V107" s="233"/>
      <c r="W107" s="233"/>
      <c r="X107" s="238"/>
    </row>
    <row r="108" spans="1:24" s="181" customFormat="1" ht="18">
      <c r="A108" s="244"/>
      <c r="B108" s="243" t="s">
        <v>241</v>
      </c>
      <c r="C108" s="245"/>
      <c r="D108" s="246"/>
      <c r="E108" s="245"/>
      <c r="F108" s="244"/>
      <c r="G108" s="244"/>
      <c r="H108" s="244"/>
      <c r="I108" s="244"/>
      <c r="J108" s="244"/>
      <c r="K108" s="244"/>
      <c r="L108" s="244"/>
      <c r="M108" s="247"/>
      <c r="N108" s="248"/>
      <c r="O108" s="247"/>
      <c r="P108" s="248"/>
      <c r="Q108" s="248"/>
      <c r="R108" s="248"/>
      <c r="S108" s="249"/>
      <c r="T108" s="248"/>
      <c r="U108" s="244"/>
      <c r="V108" s="244"/>
      <c r="W108" s="244"/>
      <c r="X108" s="250"/>
    </row>
    <row r="109" spans="1:24" s="3" customFormat="1">
      <c r="A109" s="233"/>
      <c r="B109" s="242" t="s">
        <v>242</v>
      </c>
      <c r="C109" s="11"/>
      <c r="D109" s="234"/>
      <c r="E109" s="11"/>
      <c r="F109" s="233"/>
      <c r="G109" s="233"/>
      <c r="H109" s="233"/>
      <c r="I109" s="233"/>
      <c r="J109" s="233"/>
      <c r="K109" s="233"/>
      <c r="L109" s="233"/>
      <c r="M109" s="235"/>
      <c r="N109" s="236"/>
      <c r="O109" s="235"/>
      <c r="P109" s="236"/>
      <c r="Q109" s="236"/>
      <c r="R109" s="236"/>
      <c r="S109" s="237"/>
      <c r="T109" s="236"/>
      <c r="U109" s="233"/>
      <c r="V109" s="233"/>
      <c r="W109" s="233"/>
      <c r="X109" s="238"/>
    </row>
    <row r="110" spans="1:24" s="3" customFormat="1">
      <c r="A110" s="233"/>
      <c r="B110" s="242" t="s">
        <v>243</v>
      </c>
      <c r="C110" s="11"/>
      <c r="D110" s="234"/>
      <c r="E110" s="11"/>
      <c r="F110" s="233"/>
      <c r="G110" s="233"/>
      <c r="H110" s="233"/>
      <c r="I110" s="233"/>
      <c r="J110" s="233"/>
      <c r="K110" s="233"/>
      <c r="L110" s="233"/>
      <c r="M110" s="235"/>
      <c r="N110" s="236"/>
      <c r="O110" s="235"/>
      <c r="P110" s="236"/>
      <c r="Q110" s="236"/>
      <c r="R110" s="236"/>
      <c r="S110" s="237"/>
      <c r="T110" s="236"/>
      <c r="U110" s="233"/>
      <c r="V110" s="233"/>
      <c r="W110" s="233"/>
      <c r="X110" s="238"/>
    </row>
    <row r="111" spans="1:24" s="3" customFormat="1">
      <c r="A111" s="233"/>
      <c r="B111" s="242" t="s">
        <v>244</v>
      </c>
      <c r="C111" s="11"/>
      <c r="D111" s="234"/>
      <c r="E111" s="11"/>
      <c r="F111" s="233"/>
      <c r="G111" s="233"/>
      <c r="H111" s="233"/>
      <c r="I111" s="233"/>
      <c r="J111" s="233"/>
      <c r="K111" s="233"/>
      <c r="L111" s="233"/>
      <c r="M111" s="235"/>
      <c r="N111" s="236"/>
      <c r="O111" s="235"/>
      <c r="P111" s="236"/>
      <c r="Q111" s="236"/>
      <c r="R111" s="236"/>
      <c r="S111" s="237"/>
      <c r="T111" s="236"/>
      <c r="U111" s="233"/>
      <c r="V111" s="233"/>
      <c r="W111" s="233"/>
      <c r="X111" s="238"/>
    </row>
    <row r="112" spans="1:24" s="3" customFormat="1">
      <c r="A112" s="233"/>
      <c r="B112" s="438" t="s">
        <v>152</v>
      </c>
      <c r="C112" s="439"/>
      <c r="D112" s="438" t="s">
        <v>153</v>
      </c>
      <c r="E112" s="439"/>
      <c r="F112" s="123" t="s">
        <v>154</v>
      </c>
      <c r="G112" s="123" t="s">
        <v>155</v>
      </c>
      <c r="H112" s="123" t="s">
        <v>156</v>
      </c>
      <c r="I112" s="123" t="s">
        <v>157</v>
      </c>
      <c r="J112" s="123" t="s">
        <v>97</v>
      </c>
      <c r="K112" s="233"/>
      <c r="L112" s="233"/>
      <c r="M112" s="235"/>
      <c r="N112" s="236"/>
      <c r="O112" s="235"/>
      <c r="P112" s="236"/>
      <c r="Q112" s="236"/>
      <c r="R112" s="236"/>
      <c r="S112" s="237"/>
      <c r="T112" s="236"/>
      <c r="U112" s="233"/>
      <c r="V112" s="233"/>
      <c r="W112" s="233"/>
      <c r="X112" s="238"/>
    </row>
    <row r="113" spans="1:24" s="3" customFormat="1">
      <c r="A113" s="233"/>
      <c r="B113" s="435"/>
      <c r="C113" s="435"/>
      <c r="D113" s="435"/>
      <c r="E113" s="435"/>
      <c r="F113" s="50"/>
      <c r="G113" s="62"/>
      <c r="H113" s="185"/>
      <c r="I113" s="186">
        <f t="shared" ref="I113:I142" si="9">IF(B113=0,0,H113*G113*F113)</f>
        <v>0</v>
      </c>
      <c r="J113" s="59"/>
      <c r="K113" s="233"/>
      <c r="L113" s="233"/>
      <c r="M113" s="235"/>
      <c r="N113" s="236"/>
      <c r="O113" s="235"/>
      <c r="P113" s="236"/>
      <c r="Q113" s="236"/>
      <c r="R113" s="236"/>
      <c r="S113" s="237"/>
      <c r="T113" s="236"/>
      <c r="U113" s="233"/>
      <c r="V113" s="233"/>
      <c r="W113" s="233"/>
      <c r="X113" s="238"/>
    </row>
    <row r="114" spans="1:24" s="3" customFormat="1">
      <c r="A114" s="233"/>
      <c r="B114" s="435"/>
      <c r="C114" s="435"/>
      <c r="D114" s="435"/>
      <c r="E114" s="435"/>
      <c r="F114" s="50"/>
      <c r="G114" s="62"/>
      <c r="H114" s="185"/>
      <c r="I114" s="186">
        <f t="shared" si="9"/>
        <v>0</v>
      </c>
      <c r="J114" s="59"/>
      <c r="K114" s="233"/>
      <c r="L114" s="233"/>
      <c r="M114" s="235"/>
      <c r="N114" s="236"/>
      <c r="O114" s="235"/>
      <c r="P114" s="236"/>
      <c r="Q114" s="236"/>
      <c r="R114" s="236"/>
      <c r="S114" s="237"/>
      <c r="T114" s="236"/>
      <c r="U114" s="233"/>
      <c r="V114" s="233"/>
      <c r="W114" s="233"/>
      <c r="X114" s="238"/>
    </row>
    <row r="115" spans="1:24" s="3" customFormat="1">
      <c r="A115" s="233"/>
      <c r="B115" s="435"/>
      <c r="C115" s="435"/>
      <c r="D115" s="435"/>
      <c r="E115" s="435"/>
      <c r="F115" s="50"/>
      <c r="G115" s="62"/>
      <c r="H115" s="185"/>
      <c r="I115" s="186">
        <f t="shared" si="9"/>
        <v>0</v>
      </c>
      <c r="J115" s="59"/>
      <c r="K115" s="233"/>
      <c r="L115" s="233"/>
      <c r="M115" s="235"/>
      <c r="N115" s="236"/>
      <c r="O115" s="235"/>
      <c r="P115" s="236"/>
      <c r="Q115" s="236"/>
      <c r="R115" s="236"/>
      <c r="S115" s="237"/>
      <c r="T115" s="236"/>
      <c r="U115" s="233"/>
      <c r="V115" s="233"/>
      <c r="W115" s="233"/>
      <c r="X115" s="238"/>
    </row>
    <row r="116" spans="1:24" s="3" customFormat="1">
      <c r="A116" s="233"/>
      <c r="B116" s="435"/>
      <c r="C116" s="435"/>
      <c r="D116" s="435"/>
      <c r="E116" s="435"/>
      <c r="F116" s="50"/>
      <c r="G116" s="62"/>
      <c r="H116" s="185"/>
      <c r="I116" s="186">
        <f t="shared" si="9"/>
        <v>0</v>
      </c>
      <c r="J116" s="59"/>
      <c r="K116" s="233"/>
      <c r="L116" s="233"/>
      <c r="M116" s="235"/>
      <c r="N116" s="236"/>
      <c r="O116" s="235"/>
      <c r="P116" s="236"/>
      <c r="Q116" s="236"/>
      <c r="R116" s="236"/>
      <c r="S116" s="237"/>
      <c r="T116" s="236"/>
      <c r="U116" s="233"/>
      <c r="V116" s="233"/>
      <c r="W116" s="233"/>
      <c r="X116" s="238"/>
    </row>
    <row r="117" spans="1:24" s="3" customFormat="1">
      <c r="A117" s="233"/>
      <c r="B117" s="435"/>
      <c r="C117" s="435"/>
      <c r="D117" s="435"/>
      <c r="E117" s="435"/>
      <c r="F117" s="50"/>
      <c r="G117" s="62"/>
      <c r="H117" s="185"/>
      <c r="I117" s="186">
        <f t="shared" si="9"/>
        <v>0</v>
      </c>
      <c r="J117" s="59"/>
      <c r="K117" s="233"/>
      <c r="L117" s="233"/>
      <c r="M117" s="235"/>
      <c r="N117" s="236"/>
      <c r="O117" s="235"/>
      <c r="P117" s="236"/>
      <c r="Q117" s="236"/>
      <c r="R117" s="236"/>
      <c r="S117" s="237"/>
      <c r="T117" s="236"/>
      <c r="U117" s="233"/>
      <c r="V117" s="233"/>
      <c r="W117" s="233"/>
      <c r="X117" s="238"/>
    </row>
    <row r="118" spans="1:24" s="3" customFormat="1">
      <c r="A118" s="233"/>
      <c r="B118" s="435"/>
      <c r="C118" s="435"/>
      <c r="D118" s="435"/>
      <c r="E118" s="435"/>
      <c r="F118" s="50"/>
      <c r="G118" s="62"/>
      <c r="H118" s="185"/>
      <c r="I118" s="186">
        <f t="shared" si="9"/>
        <v>0</v>
      </c>
      <c r="J118" s="59"/>
      <c r="K118" s="233"/>
      <c r="L118" s="233"/>
      <c r="M118" s="235"/>
      <c r="N118" s="236"/>
      <c r="O118" s="235"/>
      <c r="P118" s="236"/>
      <c r="Q118" s="236"/>
      <c r="R118" s="236"/>
      <c r="S118" s="237"/>
      <c r="T118" s="236"/>
      <c r="U118" s="233"/>
      <c r="V118" s="233"/>
      <c r="W118" s="233"/>
      <c r="X118" s="238"/>
    </row>
    <row r="119" spans="1:24" s="3" customFormat="1">
      <c r="A119" s="233"/>
      <c r="B119" s="435"/>
      <c r="C119" s="435"/>
      <c r="D119" s="435"/>
      <c r="E119" s="435"/>
      <c r="F119" s="50"/>
      <c r="G119" s="62"/>
      <c r="H119" s="185"/>
      <c r="I119" s="186">
        <f t="shared" si="9"/>
        <v>0</v>
      </c>
      <c r="J119" s="59"/>
      <c r="K119" s="233"/>
      <c r="L119" s="233"/>
      <c r="M119" s="235"/>
      <c r="N119" s="236"/>
      <c r="O119" s="235"/>
      <c r="P119" s="236"/>
      <c r="Q119" s="236"/>
      <c r="R119" s="236"/>
      <c r="S119" s="237"/>
      <c r="T119" s="236"/>
      <c r="U119" s="233"/>
      <c r="V119" s="233"/>
      <c r="W119" s="233"/>
      <c r="X119" s="238"/>
    </row>
    <row r="120" spans="1:24" s="3" customFormat="1">
      <c r="A120" s="233"/>
      <c r="B120" s="435"/>
      <c r="C120" s="435"/>
      <c r="D120" s="435"/>
      <c r="E120" s="435"/>
      <c r="F120" s="50"/>
      <c r="G120" s="62"/>
      <c r="H120" s="185"/>
      <c r="I120" s="186">
        <f t="shared" si="9"/>
        <v>0</v>
      </c>
      <c r="J120" s="59"/>
      <c r="K120" s="233"/>
      <c r="L120" s="233"/>
      <c r="M120" s="235"/>
      <c r="N120" s="236"/>
      <c r="O120" s="235"/>
      <c r="P120" s="236"/>
      <c r="Q120" s="236"/>
      <c r="R120" s="236"/>
      <c r="S120" s="237"/>
      <c r="T120" s="236"/>
      <c r="U120" s="233"/>
      <c r="V120" s="233"/>
      <c r="W120" s="233"/>
      <c r="X120" s="238"/>
    </row>
    <row r="121" spans="1:24" s="3" customFormat="1">
      <c r="A121" s="233"/>
      <c r="B121" s="435"/>
      <c r="C121" s="435"/>
      <c r="D121" s="435"/>
      <c r="E121" s="435"/>
      <c r="F121" s="50"/>
      <c r="G121" s="62"/>
      <c r="H121" s="185"/>
      <c r="I121" s="186">
        <f t="shared" si="9"/>
        <v>0</v>
      </c>
      <c r="J121" s="59"/>
      <c r="K121" s="233"/>
      <c r="L121" s="233"/>
      <c r="M121" s="235"/>
      <c r="N121" s="236"/>
      <c r="O121" s="235"/>
      <c r="P121" s="236"/>
      <c r="Q121" s="236"/>
      <c r="R121" s="236"/>
      <c r="S121" s="237"/>
      <c r="T121" s="236"/>
      <c r="U121" s="233"/>
      <c r="V121" s="233"/>
      <c r="W121" s="233"/>
      <c r="X121" s="238"/>
    </row>
    <row r="122" spans="1:24" s="3" customFormat="1">
      <c r="A122" s="233"/>
      <c r="B122" s="435"/>
      <c r="C122" s="435"/>
      <c r="D122" s="435"/>
      <c r="E122" s="435"/>
      <c r="F122" s="50"/>
      <c r="G122" s="62"/>
      <c r="H122" s="185"/>
      <c r="I122" s="186">
        <f t="shared" si="9"/>
        <v>0</v>
      </c>
      <c r="J122" s="59"/>
      <c r="K122" s="233"/>
      <c r="L122" s="233"/>
      <c r="M122" s="235"/>
      <c r="N122" s="236"/>
      <c r="O122" s="235"/>
      <c r="P122" s="236"/>
      <c r="Q122" s="236"/>
      <c r="R122" s="236"/>
      <c r="S122" s="237"/>
      <c r="T122" s="236"/>
      <c r="U122" s="233"/>
      <c r="V122" s="233"/>
      <c r="W122" s="233"/>
      <c r="X122" s="238"/>
    </row>
    <row r="123" spans="1:24" s="3" customFormat="1">
      <c r="A123" s="233"/>
      <c r="B123" s="435"/>
      <c r="C123" s="435"/>
      <c r="D123" s="435"/>
      <c r="E123" s="435"/>
      <c r="F123" s="50"/>
      <c r="G123" s="62"/>
      <c r="H123" s="185"/>
      <c r="I123" s="186">
        <f t="shared" si="9"/>
        <v>0</v>
      </c>
      <c r="J123" s="59"/>
      <c r="K123" s="233"/>
      <c r="L123" s="233"/>
      <c r="M123" s="235"/>
      <c r="N123" s="236"/>
      <c r="O123" s="235"/>
      <c r="P123" s="236"/>
      <c r="Q123" s="236"/>
      <c r="R123" s="236"/>
      <c r="S123" s="237"/>
      <c r="T123" s="236"/>
      <c r="U123" s="233"/>
      <c r="V123" s="233"/>
      <c r="W123" s="233"/>
      <c r="X123" s="238"/>
    </row>
    <row r="124" spans="1:24" s="3" customFormat="1">
      <c r="A124" s="233"/>
      <c r="B124" s="435"/>
      <c r="C124" s="435"/>
      <c r="D124" s="435"/>
      <c r="E124" s="435"/>
      <c r="F124" s="50"/>
      <c r="G124" s="62"/>
      <c r="H124" s="185"/>
      <c r="I124" s="186">
        <f t="shared" si="9"/>
        <v>0</v>
      </c>
      <c r="J124" s="59"/>
      <c r="K124" s="233"/>
      <c r="L124" s="233"/>
      <c r="M124" s="235"/>
      <c r="N124" s="236"/>
      <c r="O124" s="235"/>
      <c r="P124" s="236"/>
      <c r="Q124" s="236"/>
      <c r="R124" s="236"/>
      <c r="S124" s="237"/>
      <c r="T124" s="236"/>
      <c r="U124" s="233"/>
      <c r="V124" s="233"/>
      <c r="W124" s="233"/>
      <c r="X124" s="238"/>
    </row>
    <row r="125" spans="1:24" s="3" customFormat="1">
      <c r="A125" s="233"/>
      <c r="B125" s="435"/>
      <c r="C125" s="435"/>
      <c r="D125" s="435"/>
      <c r="E125" s="435"/>
      <c r="F125" s="50"/>
      <c r="G125" s="62"/>
      <c r="H125" s="185"/>
      <c r="I125" s="186">
        <f t="shared" si="9"/>
        <v>0</v>
      </c>
      <c r="J125" s="59"/>
      <c r="K125" s="233"/>
      <c r="L125" s="233"/>
      <c r="M125" s="235"/>
      <c r="N125" s="236"/>
      <c r="O125" s="235"/>
      <c r="P125" s="236"/>
      <c r="Q125" s="236"/>
      <c r="R125" s="236"/>
      <c r="S125" s="237"/>
      <c r="T125" s="236"/>
      <c r="U125" s="233"/>
      <c r="V125" s="233"/>
      <c r="W125" s="233"/>
      <c r="X125" s="238"/>
    </row>
    <row r="126" spans="1:24" s="3" customFormat="1">
      <c r="A126" s="233"/>
      <c r="B126" s="435"/>
      <c r="C126" s="435"/>
      <c r="D126" s="435"/>
      <c r="E126" s="435"/>
      <c r="F126" s="50"/>
      <c r="G126" s="62"/>
      <c r="H126" s="185"/>
      <c r="I126" s="186">
        <f t="shared" si="9"/>
        <v>0</v>
      </c>
      <c r="J126" s="59"/>
      <c r="K126" s="233"/>
      <c r="L126" s="233"/>
      <c r="M126" s="235"/>
      <c r="N126" s="236"/>
      <c r="O126" s="235"/>
      <c r="P126" s="236"/>
      <c r="Q126" s="236"/>
      <c r="R126" s="236"/>
      <c r="S126" s="237"/>
      <c r="T126" s="236"/>
      <c r="U126" s="233"/>
      <c r="V126" s="233"/>
      <c r="W126" s="233"/>
      <c r="X126" s="238"/>
    </row>
    <row r="127" spans="1:24" s="3" customFormat="1">
      <c r="A127" s="233"/>
      <c r="B127" s="435"/>
      <c r="C127" s="435"/>
      <c r="D127" s="435"/>
      <c r="E127" s="435"/>
      <c r="F127" s="50"/>
      <c r="G127" s="62"/>
      <c r="H127" s="185"/>
      <c r="I127" s="186">
        <f t="shared" si="9"/>
        <v>0</v>
      </c>
      <c r="J127" s="59"/>
      <c r="K127" s="233"/>
      <c r="L127" s="233"/>
      <c r="M127" s="235"/>
      <c r="N127" s="236"/>
      <c r="O127" s="235"/>
      <c r="P127" s="236"/>
      <c r="Q127" s="236"/>
      <c r="R127" s="236"/>
      <c r="S127" s="237"/>
      <c r="T127" s="236"/>
      <c r="U127" s="233"/>
      <c r="V127" s="233"/>
      <c r="W127" s="233"/>
      <c r="X127" s="238"/>
    </row>
    <row r="128" spans="1:24" s="3" customFormat="1">
      <c r="A128" s="233"/>
      <c r="B128" s="435"/>
      <c r="C128" s="435"/>
      <c r="D128" s="435"/>
      <c r="E128" s="435"/>
      <c r="F128" s="50"/>
      <c r="G128" s="62"/>
      <c r="H128" s="185"/>
      <c r="I128" s="186">
        <f t="shared" si="9"/>
        <v>0</v>
      </c>
      <c r="J128" s="59"/>
      <c r="K128" s="233"/>
      <c r="L128" s="233"/>
      <c r="M128" s="235"/>
      <c r="N128" s="236"/>
      <c r="O128" s="235"/>
      <c r="P128" s="236"/>
      <c r="Q128" s="236"/>
      <c r="R128" s="236"/>
      <c r="S128" s="237"/>
      <c r="T128" s="236"/>
      <c r="U128" s="233"/>
      <c r="V128" s="233"/>
      <c r="W128" s="233"/>
      <c r="X128" s="238"/>
    </row>
    <row r="129" spans="1:24" s="3" customFormat="1">
      <c r="A129" s="233"/>
      <c r="B129" s="435"/>
      <c r="C129" s="435"/>
      <c r="D129" s="435"/>
      <c r="E129" s="435"/>
      <c r="F129" s="50"/>
      <c r="G129" s="62"/>
      <c r="H129" s="185"/>
      <c r="I129" s="186">
        <f t="shared" si="9"/>
        <v>0</v>
      </c>
      <c r="J129" s="59"/>
      <c r="K129" s="233"/>
      <c r="L129" s="233"/>
      <c r="M129" s="235"/>
      <c r="N129" s="236"/>
      <c r="O129" s="235"/>
      <c r="P129" s="236"/>
      <c r="Q129" s="236"/>
      <c r="R129" s="236"/>
      <c r="S129" s="237"/>
      <c r="T129" s="236"/>
      <c r="U129" s="233"/>
      <c r="V129" s="233"/>
      <c r="W129" s="233"/>
      <c r="X129" s="238"/>
    </row>
    <row r="130" spans="1:24" s="3" customFormat="1">
      <c r="A130" s="233"/>
      <c r="B130" s="435"/>
      <c r="C130" s="435"/>
      <c r="D130" s="435"/>
      <c r="E130" s="435"/>
      <c r="F130" s="50"/>
      <c r="G130" s="62"/>
      <c r="H130" s="185"/>
      <c r="I130" s="186">
        <f t="shared" si="9"/>
        <v>0</v>
      </c>
      <c r="J130" s="59"/>
      <c r="K130" s="233"/>
      <c r="L130" s="233"/>
      <c r="M130" s="235"/>
      <c r="N130" s="236"/>
      <c r="O130" s="235"/>
      <c r="P130" s="236"/>
      <c r="Q130" s="236"/>
      <c r="R130" s="236"/>
      <c r="S130" s="237"/>
      <c r="T130" s="236"/>
      <c r="U130" s="233"/>
      <c r="V130" s="233"/>
      <c r="W130" s="233"/>
      <c r="X130" s="238"/>
    </row>
    <row r="131" spans="1:24" s="3" customFormat="1">
      <c r="A131" s="233"/>
      <c r="B131" s="435"/>
      <c r="C131" s="435"/>
      <c r="D131" s="435"/>
      <c r="E131" s="435"/>
      <c r="F131" s="50"/>
      <c r="G131" s="62"/>
      <c r="H131" s="185"/>
      <c r="I131" s="186">
        <f t="shared" si="9"/>
        <v>0</v>
      </c>
      <c r="J131" s="59"/>
      <c r="K131" s="233"/>
      <c r="L131" s="233"/>
      <c r="M131" s="235"/>
      <c r="N131" s="236"/>
      <c r="O131" s="235"/>
      <c r="P131" s="236"/>
      <c r="Q131" s="236"/>
      <c r="R131" s="236"/>
      <c r="S131" s="237"/>
      <c r="T131" s="236"/>
      <c r="U131" s="233"/>
      <c r="V131" s="233"/>
      <c r="W131" s="233"/>
      <c r="X131" s="238"/>
    </row>
    <row r="132" spans="1:24" s="3" customFormat="1">
      <c r="A132" s="233"/>
      <c r="B132" s="435"/>
      <c r="C132" s="435"/>
      <c r="D132" s="435"/>
      <c r="E132" s="435"/>
      <c r="F132" s="50"/>
      <c r="G132" s="62"/>
      <c r="H132" s="185"/>
      <c r="I132" s="186">
        <f t="shared" si="9"/>
        <v>0</v>
      </c>
      <c r="J132" s="59"/>
      <c r="K132" s="233"/>
      <c r="L132" s="233"/>
      <c r="M132" s="235"/>
      <c r="N132" s="236"/>
      <c r="O132" s="235"/>
      <c r="P132" s="236"/>
      <c r="Q132" s="236"/>
      <c r="R132" s="236"/>
      <c r="S132" s="237"/>
      <c r="T132" s="236"/>
      <c r="U132" s="233"/>
      <c r="V132" s="233"/>
      <c r="W132" s="233"/>
      <c r="X132" s="238"/>
    </row>
    <row r="133" spans="1:24" s="3" customFormat="1">
      <c r="A133" s="233"/>
      <c r="B133" s="435"/>
      <c r="C133" s="435"/>
      <c r="D133" s="435"/>
      <c r="E133" s="435"/>
      <c r="F133" s="50"/>
      <c r="G133" s="62"/>
      <c r="H133" s="185"/>
      <c r="I133" s="186">
        <f t="shared" si="9"/>
        <v>0</v>
      </c>
      <c r="J133" s="59"/>
      <c r="K133" s="233"/>
      <c r="L133" s="233"/>
      <c r="M133" s="235"/>
      <c r="N133" s="236"/>
      <c r="O133" s="235"/>
      <c r="P133" s="236"/>
      <c r="Q133" s="236"/>
      <c r="R133" s="236"/>
      <c r="S133" s="237"/>
      <c r="T133" s="236"/>
      <c r="U133" s="233"/>
      <c r="V133" s="233"/>
      <c r="W133" s="233"/>
      <c r="X133" s="238"/>
    </row>
    <row r="134" spans="1:24" s="3" customFormat="1">
      <c r="A134" s="233"/>
      <c r="B134" s="435"/>
      <c r="C134" s="435"/>
      <c r="D134" s="435"/>
      <c r="E134" s="435"/>
      <c r="F134" s="50"/>
      <c r="G134" s="62"/>
      <c r="H134" s="185"/>
      <c r="I134" s="186">
        <f t="shared" si="9"/>
        <v>0</v>
      </c>
      <c r="J134" s="59"/>
      <c r="K134" s="233"/>
      <c r="L134" s="233"/>
      <c r="M134" s="235"/>
      <c r="N134" s="236"/>
      <c r="O134" s="235"/>
      <c r="P134" s="236"/>
      <c r="Q134" s="236"/>
      <c r="R134" s="236"/>
      <c r="S134" s="237"/>
      <c r="T134" s="236"/>
      <c r="U134" s="233"/>
      <c r="V134" s="233"/>
      <c r="W134" s="233"/>
      <c r="X134" s="238"/>
    </row>
    <row r="135" spans="1:24" s="3" customFormat="1">
      <c r="A135" s="233"/>
      <c r="B135" s="435"/>
      <c r="C135" s="435"/>
      <c r="D135" s="435"/>
      <c r="E135" s="435"/>
      <c r="F135" s="50"/>
      <c r="G135" s="62"/>
      <c r="H135" s="185"/>
      <c r="I135" s="186">
        <f t="shared" si="9"/>
        <v>0</v>
      </c>
      <c r="J135" s="59"/>
      <c r="K135" s="233"/>
      <c r="L135" s="233"/>
      <c r="M135" s="235"/>
      <c r="N135" s="236"/>
      <c r="O135" s="235"/>
      <c r="P135" s="236"/>
      <c r="Q135" s="236"/>
      <c r="R135" s="236"/>
      <c r="S135" s="237"/>
      <c r="T135" s="236"/>
      <c r="U135" s="233"/>
      <c r="V135" s="233"/>
      <c r="W135" s="233"/>
      <c r="X135" s="238"/>
    </row>
    <row r="136" spans="1:24" s="3" customFormat="1">
      <c r="A136" s="233"/>
      <c r="B136" s="435"/>
      <c r="C136" s="435"/>
      <c r="D136" s="435"/>
      <c r="E136" s="435"/>
      <c r="F136" s="50"/>
      <c r="G136" s="62"/>
      <c r="H136" s="185"/>
      <c r="I136" s="186">
        <f t="shared" si="9"/>
        <v>0</v>
      </c>
      <c r="J136" s="59"/>
      <c r="K136" s="233"/>
      <c r="L136" s="233"/>
      <c r="M136" s="235"/>
      <c r="N136" s="236"/>
      <c r="O136" s="235"/>
      <c r="P136" s="236"/>
      <c r="Q136" s="236"/>
      <c r="R136" s="236"/>
      <c r="S136" s="237"/>
      <c r="T136" s="236"/>
      <c r="U136" s="233"/>
      <c r="V136" s="233"/>
      <c r="W136" s="233"/>
      <c r="X136" s="238"/>
    </row>
    <row r="137" spans="1:24" s="3" customFormat="1">
      <c r="A137" s="233"/>
      <c r="B137" s="435"/>
      <c r="C137" s="435"/>
      <c r="D137" s="435"/>
      <c r="E137" s="435"/>
      <c r="F137" s="50"/>
      <c r="G137" s="62"/>
      <c r="H137" s="185"/>
      <c r="I137" s="186">
        <f t="shared" si="9"/>
        <v>0</v>
      </c>
      <c r="J137" s="59"/>
      <c r="K137" s="233"/>
      <c r="L137" s="233"/>
      <c r="M137" s="235"/>
      <c r="N137" s="236"/>
      <c r="O137" s="235"/>
      <c r="P137" s="236"/>
      <c r="Q137" s="236"/>
      <c r="R137" s="236"/>
      <c r="S137" s="237"/>
      <c r="T137" s="236"/>
      <c r="U137" s="233"/>
      <c r="V137" s="233"/>
      <c r="W137" s="233"/>
      <c r="X137" s="238"/>
    </row>
    <row r="138" spans="1:24" s="3" customFormat="1">
      <c r="A138" s="233"/>
      <c r="B138" s="435"/>
      <c r="C138" s="435"/>
      <c r="D138" s="435"/>
      <c r="E138" s="435"/>
      <c r="F138" s="50"/>
      <c r="G138" s="62"/>
      <c r="H138" s="185"/>
      <c r="I138" s="186">
        <f t="shared" si="9"/>
        <v>0</v>
      </c>
      <c r="J138" s="59"/>
      <c r="K138" s="233"/>
      <c r="L138" s="233"/>
      <c r="M138" s="235"/>
      <c r="N138" s="236"/>
      <c r="O138" s="235"/>
      <c r="P138" s="236"/>
      <c r="Q138" s="236"/>
      <c r="R138" s="236"/>
      <c r="S138" s="237"/>
      <c r="T138" s="236"/>
      <c r="U138" s="233"/>
      <c r="V138" s="233"/>
      <c r="W138" s="233"/>
      <c r="X138" s="238"/>
    </row>
    <row r="139" spans="1:24" s="3" customFormat="1">
      <c r="A139" s="233"/>
      <c r="B139" s="435"/>
      <c r="C139" s="435"/>
      <c r="D139" s="435"/>
      <c r="E139" s="435"/>
      <c r="F139" s="50"/>
      <c r="G139" s="62"/>
      <c r="H139" s="185"/>
      <c r="I139" s="186">
        <f t="shared" si="9"/>
        <v>0</v>
      </c>
      <c r="J139" s="59"/>
      <c r="K139" s="233"/>
      <c r="L139" s="233"/>
      <c r="M139" s="235"/>
      <c r="N139" s="236"/>
      <c r="O139" s="235"/>
      <c r="P139" s="236"/>
      <c r="Q139" s="236"/>
      <c r="R139" s="236"/>
      <c r="S139" s="237"/>
      <c r="T139" s="236"/>
      <c r="U139" s="233"/>
      <c r="V139" s="233"/>
      <c r="W139" s="233"/>
      <c r="X139" s="238"/>
    </row>
    <row r="140" spans="1:24" s="3" customFormat="1">
      <c r="A140" s="233"/>
      <c r="B140" s="435"/>
      <c r="C140" s="435"/>
      <c r="D140" s="435"/>
      <c r="E140" s="435"/>
      <c r="F140" s="50"/>
      <c r="G140" s="62"/>
      <c r="H140" s="185"/>
      <c r="I140" s="186">
        <f t="shared" si="9"/>
        <v>0</v>
      </c>
      <c r="J140" s="59"/>
      <c r="K140" s="233"/>
      <c r="L140" s="233"/>
      <c r="M140" s="235"/>
      <c r="N140" s="236"/>
      <c r="O140" s="235"/>
      <c r="P140" s="236"/>
      <c r="Q140" s="236"/>
      <c r="R140" s="236"/>
      <c r="S140" s="237"/>
      <c r="T140" s="236"/>
      <c r="U140" s="233"/>
      <c r="V140" s="233"/>
      <c r="W140" s="233"/>
      <c r="X140" s="238"/>
    </row>
    <row r="141" spans="1:24" s="3" customFormat="1">
      <c r="A141" s="233"/>
      <c r="B141" s="435"/>
      <c r="C141" s="435"/>
      <c r="D141" s="435"/>
      <c r="E141" s="435"/>
      <c r="F141" s="50"/>
      <c r="G141" s="62"/>
      <c r="H141" s="185"/>
      <c r="I141" s="186">
        <f t="shared" si="9"/>
        <v>0</v>
      </c>
      <c r="J141" s="59"/>
      <c r="K141" s="233"/>
      <c r="L141" s="233"/>
      <c r="M141" s="235"/>
      <c r="N141" s="236"/>
      <c r="O141" s="235"/>
      <c r="P141" s="236"/>
      <c r="Q141" s="236"/>
      <c r="R141" s="236"/>
      <c r="S141" s="237"/>
      <c r="T141" s="236"/>
      <c r="U141" s="233"/>
      <c r="V141" s="233"/>
      <c r="W141" s="233"/>
      <c r="X141" s="238"/>
    </row>
    <row r="142" spans="1:24" s="3" customFormat="1">
      <c r="A142" s="233"/>
      <c r="B142" s="435"/>
      <c r="C142" s="435"/>
      <c r="D142" s="435"/>
      <c r="E142" s="435"/>
      <c r="F142" s="50"/>
      <c r="G142" s="62"/>
      <c r="H142" s="185"/>
      <c r="I142" s="186">
        <f t="shared" si="9"/>
        <v>0</v>
      </c>
      <c r="J142" s="59"/>
      <c r="K142" s="233"/>
      <c r="L142" s="233"/>
      <c r="M142" s="235"/>
      <c r="N142" s="236"/>
      <c r="O142" s="235"/>
      <c r="P142" s="236"/>
      <c r="Q142" s="236"/>
      <c r="R142" s="236"/>
      <c r="S142" s="237"/>
      <c r="T142" s="236"/>
      <c r="U142" s="233"/>
      <c r="V142" s="233"/>
      <c r="W142" s="233"/>
      <c r="X142" s="238"/>
    </row>
    <row r="143" spans="1:24" s="3" customFormat="1">
      <c r="A143" s="233"/>
      <c r="B143" s="136"/>
      <c r="C143" s="11"/>
      <c r="D143" s="234"/>
      <c r="E143" s="11"/>
      <c r="F143" s="233"/>
      <c r="G143" s="233"/>
      <c r="H143" s="233"/>
      <c r="I143" s="233"/>
      <c r="J143" s="233"/>
      <c r="K143" s="233"/>
      <c r="L143" s="233"/>
      <c r="M143" s="235"/>
      <c r="N143" s="236"/>
      <c r="O143" s="235"/>
      <c r="P143" s="236"/>
      <c r="Q143" s="236"/>
      <c r="R143" s="236"/>
      <c r="S143" s="237"/>
      <c r="T143" s="236"/>
      <c r="U143" s="233"/>
      <c r="V143" s="233"/>
      <c r="W143" s="233"/>
      <c r="X143" s="238"/>
    </row>
    <row r="144" spans="1:24" customFormat="1">
      <c r="B144" s="63"/>
      <c r="C144" s="63"/>
      <c r="D144" s="7"/>
      <c r="E144" s="7"/>
      <c r="F144" s="7"/>
      <c r="G144" s="7"/>
      <c r="H144" s="7"/>
      <c r="I144" s="7"/>
      <c r="J144" s="7"/>
      <c r="K144" s="7"/>
      <c r="L144" s="7"/>
      <c r="M144" s="7"/>
      <c r="N144" s="7"/>
      <c r="O144" s="7"/>
      <c r="P144" s="7"/>
      <c r="Q144" s="7"/>
      <c r="R144" s="7"/>
      <c r="S144" s="7"/>
      <c r="T144" s="7"/>
    </row>
    <row r="145" spans="1:24" customFormat="1">
      <c r="B145" s="64"/>
      <c r="C145" s="64"/>
      <c r="D145" s="65"/>
      <c r="E145" s="65"/>
      <c r="F145" s="65"/>
      <c r="G145" s="65"/>
      <c r="H145" s="65"/>
      <c r="I145" s="65"/>
      <c r="J145" s="65"/>
      <c r="K145" s="65"/>
      <c r="L145" s="65"/>
      <c r="M145" s="65"/>
      <c r="N145" s="65"/>
      <c r="O145" s="7"/>
      <c r="P145" s="7"/>
      <c r="Q145" s="7"/>
      <c r="R145" s="7"/>
      <c r="S145" s="7"/>
      <c r="T145" s="7"/>
    </row>
    <row r="146" spans="1:24" s="3" customFormat="1">
      <c r="A146" s="233"/>
      <c r="B146" s="136"/>
      <c r="C146" s="11"/>
      <c r="D146" s="234"/>
      <c r="E146" s="11"/>
      <c r="F146" s="233"/>
      <c r="G146" s="233"/>
      <c r="H146" s="233"/>
      <c r="I146" s="233"/>
      <c r="J146" s="233"/>
      <c r="K146" s="233"/>
      <c r="L146" s="233"/>
      <c r="M146" s="235"/>
      <c r="N146" s="236"/>
      <c r="O146" s="235"/>
      <c r="P146" s="236"/>
      <c r="Q146" s="236"/>
      <c r="R146" s="236"/>
      <c r="S146" s="237"/>
      <c r="T146" s="236"/>
      <c r="U146" s="233"/>
      <c r="V146" s="233"/>
      <c r="W146" s="233"/>
      <c r="X146" s="238"/>
    </row>
    <row r="147" spans="1:24" s="3" customFormat="1" ht="18">
      <c r="A147" s="233"/>
      <c r="B147" s="251" t="s">
        <v>245</v>
      </c>
      <c r="C147" s="11"/>
      <c r="D147" s="234"/>
      <c r="E147" s="11"/>
      <c r="F147" s="233"/>
      <c r="G147" s="233"/>
      <c r="H147" s="233"/>
      <c r="I147" s="233"/>
      <c r="J147" s="233"/>
      <c r="K147" s="233"/>
      <c r="L147" s="233"/>
      <c r="M147" s="235"/>
      <c r="N147" s="236"/>
      <c r="O147" s="235"/>
      <c r="P147" s="236"/>
      <c r="Q147" s="236"/>
      <c r="R147" s="236"/>
      <c r="S147" s="237"/>
      <c r="T147" s="236"/>
      <c r="U147" s="233"/>
      <c r="V147" s="233"/>
      <c r="W147" s="233"/>
      <c r="X147" s="238"/>
    </row>
    <row r="148" spans="1:24" s="3" customFormat="1">
      <c r="A148" s="233"/>
      <c r="B148" s="242" t="s">
        <v>246</v>
      </c>
      <c r="C148" s="11"/>
      <c r="D148" s="234"/>
      <c r="E148" s="11"/>
      <c r="F148" s="233"/>
      <c r="G148" s="233"/>
      <c r="H148" s="233"/>
      <c r="I148" s="233"/>
      <c r="J148" s="233"/>
      <c r="K148" s="233"/>
      <c r="L148" s="233"/>
      <c r="M148" s="235"/>
      <c r="N148" s="236"/>
      <c r="O148" s="235"/>
      <c r="P148" s="236"/>
      <c r="Q148" s="236"/>
      <c r="R148" s="236"/>
      <c r="S148" s="237"/>
      <c r="T148" s="236"/>
      <c r="U148" s="233"/>
      <c r="V148" s="233"/>
      <c r="W148" s="233"/>
      <c r="X148" s="238"/>
    </row>
    <row r="149" spans="1:24" s="3" customFormat="1">
      <c r="A149" s="233"/>
      <c r="B149" s="444" t="s">
        <v>81</v>
      </c>
      <c r="C149" s="445"/>
      <c r="D149" s="444" t="s">
        <v>153</v>
      </c>
      <c r="E149" s="445"/>
      <c r="F149" s="124" t="s">
        <v>154</v>
      </c>
      <c r="G149" s="124" t="s">
        <v>155</v>
      </c>
      <c r="H149" s="124" t="s">
        <v>156</v>
      </c>
      <c r="I149" s="124" t="s">
        <v>157</v>
      </c>
      <c r="J149" s="126" t="s">
        <v>97</v>
      </c>
      <c r="K149" s="233"/>
      <c r="L149" s="233"/>
      <c r="M149" s="235"/>
      <c r="N149" s="236"/>
      <c r="O149" s="235"/>
      <c r="P149" s="236"/>
      <c r="Q149" s="236"/>
      <c r="R149" s="236"/>
      <c r="S149" s="237"/>
      <c r="T149" s="236"/>
      <c r="U149" s="233"/>
      <c r="V149" s="233"/>
      <c r="W149" s="233"/>
      <c r="X149" s="238"/>
    </row>
    <row r="150" spans="1:24" s="3" customFormat="1">
      <c r="A150" s="233"/>
      <c r="B150" s="434" t="s">
        <v>151</v>
      </c>
      <c r="C150" s="434"/>
      <c r="D150" s="435"/>
      <c r="E150" s="435"/>
      <c r="F150" s="50"/>
      <c r="G150" s="62"/>
      <c r="H150" s="185"/>
      <c r="I150" s="186">
        <f t="shared" ref="I150:I159" si="10">IF(B150=0,0,H150*G150*F150)</f>
        <v>0</v>
      </c>
      <c r="J150" s="59"/>
      <c r="K150" s="233"/>
      <c r="L150" s="233"/>
      <c r="M150" s="235"/>
      <c r="N150" s="236"/>
      <c r="O150" s="235"/>
      <c r="P150" s="236"/>
      <c r="Q150" s="236"/>
      <c r="R150" s="236"/>
      <c r="S150" s="237"/>
      <c r="T150" s="236"/>
      <c r="U150" s="233"/>
      <c r="V150" s="233"/>
      <c r="W150" s="233"/>
      <c r="X150" s="238"/>
    </row>
    <row r="151" spans="1:24" s="3" customFormat="1">
      <c r="A151" s="233"/>
      <c r="B151" s="434" t="s">
        <v>151</v>
      </c>
      <c r="C151" s="434"/>
      <c r="D151" s="435"/>
      <c r="E151" s="435"/>
      <c r="F151" s="50"/>
      <c r="G151" s="62"/>
      <c r="H151" s="185"/>
      <c r="I151" s="186">
        <f t="shared" si="10"/>
        <v>0</v>
      </c>
      <c r="J151" s="59"/>
      <c r="K151" s="233"/>
      <c r="L151" s="233"/>
      <c r="M151" s="235"/>
      <c r="N151" s="236"/>
      <c r="O151" s="235"/>
      <c r="P151" s="236"/>
      <c r="Q151" s="236"/>
      <c r="R151" s="236"/>
      <c r="S151" s="237"/>
      <c r="T151" s="236"/>
      <c r="U151" s="233"/>
      <c r="V151" s="233"/>
      <c r="W151" s="233"/>
      <c r="X151" s="238"/>
    </row>
    <row r="152" spans="1:24" s="3" customFormat="1">
      <c r="A152" s="233"/>
      <c r="B152" s="434" t="s">
        <v>151</v>
      </c>
      <c r="C152" s="434"/>
      <c r="D152" s="435"/>
      <c r="E152" s="435"/>
      <c r="F152" s="50"/>
      <c r="G152" s="62"/>
      <c r="H152" s="185"/>
      <c r="I152" s="186">
        <f t="shared" si="10"/>
        <v>0</v>
      </c>
      <c r="J152" s="59"/>
      <c r="K152" s="233"/>
      <c r="L152" s="233"/>
      <c r="M152" s="235"/>
      <c r="N152" s="236"/>
      <c r="O152" s="235"/>
      <c r="P152" s="236"/>
      <c r="Q152" s="236"/>
      <c r="R152" s="236"/>
      <c r="S152" s="237"/>
      <c r="T152" s="236"/>
      <c r="U152" s="233"/>
      <c r="V152" s="233"/>
      <c r="W152" s="233"/>
      <c r="X152" s="238"/>
    </row>
    <row r="153" spans="1:24" s="3" customFormat="1">
      <c r="A153" s="233"/>
      <c r="B153" s="434" t="s">
        <v>151</v>
      </c>
      <c r="C153" s="434"/>
      <c r="D153" s="435"/>
      <c r="E153" s="435"/>
      <c r="F153" s="50"/>
      <c r="G153" s="62"/>
      <c r="H153" s="185"/>
      <c r="I153" s="186">
        <f t="shared" si="10"/>
        <v>0</v>
      </c>
      <c r="J153" s="59"/>
      <c r="K153" s="233"/>
      <c r="L153" s="233"/>
      <c r="M153" s="235"/>
      <c r="N153" s="236"/>
      <c r="O153" s="235"/>
      <c r="P153" s="236"/>
      <c r="Q153" s="236"/>
      <c r="R153" s="236"/>
      <c r="S153" s="237"/>
      <c r="T153" s="236"/>
      <c r="U153" s="233"/>
      <c r="V153" s="233"/>
      <c r="W153" s="233"/>
      <c r="X153" s="238"/>
    </row>
    <row r="154" spans="1:24" s="3" customFormat="1">
      <c r="A154" s="233"/>
      <c r="B154" s="434" t="s">
        <v>151</v>
      </c>
      <c r="C154" s="434"/>
      <c r="D154" s="435"/>
      <c r="E154" s="435"/>
      <c r="F154" s="50"/>
      <c r="G154" s="62"/>
      <c r="H154" s="185"/>
      <c r="I154" s="186">
        <f t="shared" si="10"/>
        <v>0</v>
      </c>
      <c r="J154" s="59"/>
      <c r="K154" s="233"/>
      <c r="L154" s="233"/>
      <c r="M154" s="235"/>
      <c r="N154" s="236"/>
      <c r="O154" s="235"/>
      <c r="P154" s="236"/>
      <c r="Q154" s="236"/>
      <c r="R154" s="236"/>
      <c r="S154" s="237"/>
      <c r="T154" s="236"/>
      <c r="U154" s="233"/>
      <c r="V154" s="233"/>
      <c r="W154" s="233"/>
      <c r="X154" s="238"/>
    </row>
    <row r="155" spans="1:24" s="3" customFormat="1">
      <c r="A155" s="233"/>
      <c r="B155" s="434" t="s">
        <v>151</v>
      </c>
      <c r="C155" s="434"/>
      <c r="D155" s="435"/>
      <c r="E155" s="435"/>
      <c r="F155" s="50"/>
      <c r="G155" s="62"/>
      <c r="H155" s="185"/>
      <c r="I155" s="186">
        <f t="shared" si="10"/>
        <v>0</v>
      </c>
      <c r="J155" s="59"/>
      <c r="K155" s="233"/>
      <c r="L155" s="233"/>
      <c r="M155" s="235"/>
      <c r="N155" s="236"/>
      <c r="O155" s="235"/>
      <c r="P155" s="236"/>
      <c r="Q155" s="236"/>
      <c r="R155" s="236"/>
      <c r="S155" s="237"/>
      <c r="T155" s="236"/>
      <c r="U155" s="233"/>
      <c r="V155" s="233"/>
      <c r="W155" s="233"/>
      <c r="X155" s="238"/>
    </row>
    <row r="156" spans="1:24" s="3" customFormat="1">
      <c r="A156" s="233"/>
      <c r="B156" s="434" t="s">
        <v>151</v>
      </c>
      <c r="C156" s="434"/>
      <c r="D156" s="435"/>
      <c r="E156" s="435"/>
      <c r="F156" s="50"/>
      <c r="G156" s="62"/>
      <c r="H156" s="185"/>
      <c r="I156" s="186">
        <f t="shared" si="10"/>
        <v>0</v>
      </c>
      <c r="J156" s="59"/>
      <c r="K156" s="233"/>
      <c r="L156" s="233"/>
      <c r="M156" s="235"/>
      <c r="N156" s="236"/>
      <c r="O156" s="235"/>
      <c r="P156" s="236"/>
      <c r="Q156" s="236"/>
      <c r="R156" s="236"/>
      <c r="S156" s="237"/>
      <c r="T156" s="236"/>
      <c r="U156" s="233"/>
      <c r="V156" s="233"/>
      <c r="W156" s="233"/>
      <c r="X156" s="238"/>
    </row>
    <row r="157" spans="1:24" s="3" customFormat="1">
      <c r="A157" s="233"/>
      <c r="B157" s="434" t="s">
        <v>151</v>
      </c>
      <c r="C157" s="434"/>
      <c r="D157" s="435"/>
      <c r="E157" s="435"/>
      <c r="F157" s="50"/>
      <c r="G157" s="62"/>
      <c r="H157" s="185"/>
      <c r="I157" s="186">
        <f t="shared" si="10"/>
        <v>0</v>
      </c>
      <c r="J157" s="59"/>
      <c r="K157" s="233"/>
      <c r="L157" s="233"/>
      <c r="M157" s="235"/>
      <c r="N157" s="236"/>
      <c r="O157" s="235"/>
      <c r="P157" s="236"/>
      <c r="Q157" s="236"/>
      <c r="R157" s="236"/>
      <c r="S157" s="237"/>
      <c r="T157" s="236"/>
      <c r="U157" s="233"/>
      <c r="V157" s="233"/>
      <c r="W157" s="233"/>
      <c r="X157" s="238"/>
    </row>
    <row r="158" spans="1:24" s="3" customFormat="1">
      <c r="A158" s="233"/>
      <c r="B158" s="434" t="s">
        <v>151</v>
      </c>
      <c r="C158" s="434"/>
      <c r="D158" s="435"/>
      <c r="E158" s="435"/>
      <c r="F158" s="50"/>
      <c r="G158" s="62"/>
      <c r="H158" s="185"/>
      <c r="I158" s="186">
        <f t="shared" si="10"/>
        <v>0</v>
      </c>
      <c r="J158" s="59"/>
      <c r="K158" s="233"/>
      <c r="L158" s="233"/>
      <c r="M158" s="235"/>
      <c r="N158" s="236"/>
      <c r="O158" s="235"/>
      <c r="P158" s="236"/>
      <c r="Q158" s="236"/>
      <c r="R158" s="236"/>
      <c r="S158" s="237"/>
      <c r="T158" s="236"/>
      <c r="U158" s="233"/>
      <c r="V158" s="233"/>
      <c r="W158" s="233"/>
      <c r="X158" s="238"/>
    </row>
    <row r="159" spans="1:24" s="3" customFormat="1">
      <c r="A159" s="233"/>
      <c r="B159" s="434" t="s">
        <v>151</v>
      </c>
      <c r="C159" s="434"/>
      <c r="D159" s="435"/>
      <c r="E159" s="435"/>
      <c r="F159" s="50"/>
      <c r="G159" s="62"/>
      <c r="H159" s="185"/>
      <c r="I159" s="186">
        <f t="shared" si="10"/>
        <v>0</v>
      </c>
      <c r="J159" s="59"/>
      <c r="K159" s="233"/>
      <c r="L159" s="233"/>
      <c r="M159" s="235"/>
      <c r="N159" s="236"/>
      <c r="O159" s="235"/>
      <c r="P159" s="236"/>
      <c r="Q159" s="236"/>
      <c r="R159" s="236"/>
      <c r="S159" s="237"/>
      <c r="T159" s="236"/>
      <c r="U159" s="233"/>
      <c r="V159" s="233"/>
      <c r="W159" s="233"/>
      <c r="X159" s="238"/>
    </row>
    <row r="160" spans="1:24" s="3" customFormat="1">
      <c r="A160" s="233"/>
      <c r="B160" s="233"/>
      <c r="C160" s="233"/>
      <c r="D160" s="233"/>
      <c r="E160" s="233"/>
      <c r="F160" s="233"/>
      <c r="G160" s="233"/>
      <c r="H160" s="233"/>
      <c r="I160" s="233"/>
      <c r="J160" s="233"/>
      <c r="K160" s="233"/>
      <c r="L160" s="233"/>
      <c r="M160" s="235"/>
      <c r="N160" s="236"/>
      <c r="O160" s="235"/>
      <c r="P160" s="236"/>
      <c r="Q160" s="236"/>
      <c r="R160" s="236"/>
      <c r="S160" s="237"/>
      <c r="T160" s="236"/>
      <c r="U160" s="233"/>
      <c r="V160" s="233"/>
      <c r="W160" s="233"/>
      <c r="X160" s="238"/>
    </row>
    <row r="161" spans="1:24" s="3" customFormat="1">
      <c r="A161" s="233"/>
      <c r="B161" s="136"/>
      <c r="C161" s="11"/>
      <c r="D161" s="234"/>
      <c r="E161" s="11"/>
      <c r="F161" s="233"/>
      <c r="G161" s="233"/>
      <c r="H161" s="233"/>
      <c r="I161" s="233"/>
      <c r="J161" s="233"/>
      <c r="K161" s="233"/>
      <c r="L161" s="233"/>
      <c r="M161" s="235"/>
      <c r="N161" s="236"/>
      <c r="O161" s="235"/>
      <c r="P161" s="236"/>
      <c r="Q161" s="236"/>
      <c r="R161" s="236"/>
      <c r="S161" s="237"/>
      <c r="T161" s="236"/>
      <c r="U161" s="233"/>
      <c r="V161" s="233"/>
      <c r="W161" s="233"/>
      <c r="X161" s="238"/>
    </row>
    <row r="162" spans="1:24" s="181" customFormat="1" ht="18">
      <c r="A162" s="244"/>
      <c r="B162" s="251" t="s">
        <v>247</v>
      </c>
      <c r="C162" s="245"/>
      <c r="D162" s="246"/>
      <c r="E162" s="245"/>
      <c r="F162" s="244"/>
      <c r="G162" s="244"/>
      <c r="H162" s="244"/>
      <c r="I162" s="244"/>
      <c r="J162" s="244"/>
      <c r="K162" s="244"/>
      <c r="L162" s="244"/>
      <c r="M162" s="247"/>
      <c r="N162" s="248"/>
      <c r="O162" s="247"/>
      <c r="P162" s="248"/>
      <c r="Q162" s="248"/>
      <c r="R162" s="248"/>
      <c r="S162" s="249"/>
      <c r="T162" s="248"/>
      <c r="U162" s="244"/>
      <c r="V162" s="244"/>
      <c r="W162" s="244"/>
      <c r="X162" s="250"/>
    </row>
    <row r="163" spans="1:24" s="3" customFormat="1">
      <c r="A163" s="233"/>
      <c r="B163" s="242" t="s">
        <v>248</v>
      </c>
      <c r="C163" s="11"/>
      <c r="D163" s="234"/>
      <c r="E163" s="11"/>
      <c r="F163" s="233"/>
      <c r="G163" s="233"/>
      <c r="H163" s="233"/>
      <c r="I163" s="233"/>
      <c r="J163" s="233"/>
      <c r="K163" s="233"/>
      <c r="L163" s="233"/>
      <c r="M163" s="235"/>
      <c r="N163" s="236"/>
      <c r="O163" s="235"/>
      <c r="P163" s="236"/>
      <c r="Q163" s="236"/>
      <c r="R163" s="236"/>
      <c r="S163" s="237"/>
      <c r="T163" s="236"/>
      <c r="U163" s="233"/>
      <c r="V163" s="233"/>
      <c r="W163" s="233"/>
      <c r="X163" s="238"/>
    </row>
    <row r="164" spans="1:24" s="3" customFormat="1">
      <c r="A164" s="233"/>
      <c r="B164" s="444" t="s">
        <v>81</v>
      </c>
      <c r="C164" s="445"/>
      <c r="D164" s="444" t="s">
        <v>153</v>
      </c>
      <c r="E164" s="445"/>
      <c r="F164" s="124" t="s">
        <v>154</v>
      </c>
      <c r="G164" s="124" t="s">
        <v>155</v>
      </c>
      <c r="H164" s="124" t="s">
        <v>156</v>
      </c>
      <c r="I164" s="124" t="s">
        <v>157</v>
      </c>
      <c r="J164" s="126" t="s">
        <v>97</v>
      </c>
      <c r="K164" s="233"/>
      <c r="L164" s="233"/>
      <c r="M164" s="235"/>
      <c r="N164" s="236"/>
      <c r="O164" s="235"/>
      <c r="P164" s="236"/>
      <c r="Q164" s="236"/>
      <c r="R164" s="236"/>
      <c r="S164" s="237"/>
      <c r="T164" s="236"/>
      <c r="U164" s="233"/>
      <c r="V164" s="233"/>
      <c r="W164" s="233"/>
      <c r="X164" s="238"/>
    </row>
    <row r="165" spans="1:24" s="3" customFormat="1">
      <c r="A165" s="233"/>
      <c r="B165" s="434" t="s">
        <v>151</v>
      </c>
      <c r="C165" s="434"/>
      <c r="D165" s="435"/>
      <c r="E165" s="435"/>
      <c r="F165" s="50"/>
      <c r="G165" s="62"/>
      <c r="H165" s="185"/>
      <c r="I165" s="186">
        <f t="shared" ref="I165:I174" si="11">IF(B165=0,0,H165*G165*F165)</f>
        <v>0</v>
      </c>
      <c r="J165" s="59"/>
      <c r="K165" s="233"/>
      <c r="L165" s="233"/>
      <c r="M165" s="235"/>
      <c r="N165" s="236"/>
      <c r="O165" s="235"/>
      <c r="P165" s="236"/>
      <c r="Q165" s="236"/>
      <c r="R165" s="236"/>
      <c r="S165" s="237"/>
      <c r="T165" s="236"/>
      <c r="U165" s="233"/>
      <c r="V165" s="233"/>
      <c r="W165" s="233"/>
      <c r="X165" s="238"/>
    </row>
    <row r="166" spans="1:24" s="3" customFormat="1">
      <c r="A166" s="233"/>
      <c r="B166" s="434" t="s">
        <v>151</v>
      </c>
      <c r="C166" s="434"/>
      <c r="D166" s="435"/>
      <c r="E166" s="435"/>
      <c r="F166" s="50"/>
      <c r="G166" s="62"/>
      <c r="H166" s="185"/>
      <c r="I166" s="186">
        <f t="shared" si="11"/>
        <v>0</v>
      </c>
      <c r="J166" s="59"/>
      <c r="K166" s="233"/>
      <c r="L166" s="233"/>
      <c r="M166" s="235"/>
      <c r="N166" s="236"/>
      <c r="O166" s="235"/>
      <c r="P166" s="236"/>
      <c r="Q166" s="236"/>
      <c r="R166" s="236"/>
      <c r="S166" s="237"/>
      <c r="T166" s="236"/>
      <c r="U166" s="233"/>
      <c r="V166" s="233"/>
      <c r="W166" s="233"/>
      <c r="X166" s="238"/>
    </row>
    <row r="167" spans="1:24" s="3" customFormat="1">
      <c r="A167" s="233"/>
      <c r="B167" s="434" t="s">
        <v>151</v>
      </c>
      <c r="C167" s="434"/>
      <c r="D167" s="435"/>
      <c r="E167" s="435"/>
      <c r="F167" s="50"/>
      <c r="G167" s="62"/>
      <c r="H167" s="185"/>
      <c r="I167" s="186">
        <f t="shared" si="11"/>
        <v>0</v>
      </c>
      <c r="J167" s="59"/>
      <c r="K167" s="233"/>
      <c r="L167" s="233"/>
      <c r="M167" s="235"/>
      <c r="N167" s="236"/>
      <c r="O167" s="235"/>
      <c r="P167" s="236"/>
      <c r="Q167" s="236"/>
      <c r="R167" s="236"/>
      <c r="S167" s="237"/>
      <c r="T167" s="236"/>
      <c r="U167" s="233"/>
      <c r="V167" s="233"/>
      <c r="W167" s="233"/>
      <c r="X167" s="238"/>
    </row>
    <row r="168" spans="1:24" s="3" customFormat="1">
      <c r="A168" s="233"/>
      <c r="B168" s="434" t="s">
        <v>151</v>
      </c>
      <c r="C168" s="434"/>
      <c r="D168" s="435"/>
      <c r="E168" s="435"/>
      <c r="F168" s="50"/>
      <c r="G168" s="62"/>
      <c r="H168" s="185"/>
      <c r="I168" s="186">
        <f t="shared" si="11"/>
        <v>0</v>
      </c>
      <c r="J168" s="59"/>
      <c r="K168" s="233"/>
      <c r="L168" s="233"/>
      <c r="M168" s="235"/>
      <c r="N168" s="236"/>
      <c r="O168" s="235"/>
      <c r="P168" s="236"/>
      <c r="Q168" s="236"/>
      <c r="R168" s="236"/>
      <c r="S168" s="237"/>
      <c r="T168" s="236"/>
      <c r="U168" s="233"/>
      <c r="V168" s="233"/>
      <c r="W168" s="233"/>
      <c r="X168" s="238"/>
    </row>
    <row r="169" spans="1:24" s="3" customFormat="1">
      <c r="A169" s="233"/>
      <c r="B169" s="434" t="s">
        <v>151</v>
      </c>
      <c r="C169" s="434"/>
      <c r="D169" s="435"/>
      <c r="E169" s="435"/>
      <c r="F169" s="50"/>
      <c r="G169" s="62"/>
      <c r="H169" s="185"/>
      <c r="I169" s="186">
        <f t="shared" si="11"/>
        <v>0</v>
      </c>
      <c r="J169" s="59"/>
      <c r="K169" s="233"/>
      <c r="L169" s="233"/>
      <c r="M169" s="235"/>
      <c r="N169" s="236"/>
      <c r="O169" s="235"/>
      <c r="P169" s="236"/>
      <c r="Q169" s="236"/>
      <c r="R169" s="236"/>
      <c r="S169" s="237"/>
      <c r="T169" s="236"/>
      <c r="U169" s="233"/>
      <c r="V169" s="233"/>
      <c r="W169" s="233"/>
      <c r="X169" s="238"/>
    </row>
    <row r="170" spans="1:24" s="3" customFormat="1">
      <c r="A170" s="233"/>
      <c r="B170" s="434" t="s">
        <v>151</v>
      </c>
      <c r="C170" s="434"/>
      <c r="D170" s="435"/>
      <c r="E170" s="435"/>
      <c r="F170" s="50"/>
      <c r="G170" s="62"/>
      <c r="H170" s="185"/>
      <c r="I170" s="186">
        <f t="shared" si="11"/>
        <v>0</v>
      </c>
      <c r="J170" s="59"/>
      <c r="K170" s="233"/>
      <c r="L170" s="233"/>
      <c r="M170" s="235"/>
      <c r="N170" s="236"/>
      <c r="O170" s="235"/>
      <c r="P170" s="236"/>
      <c r="Q170" s="236"/>
      <c r="R170" s="236"/>
      <c r="S170" s="237"/>
      <c r="T170" s="236"/>
      <c r="U170" s="233"/>
      <c r="V170" s="233"/>
      <c r="W170" s="233"/>
      <c r="X170" s="238"/>
    </row>
    <row r="171" spans="1:24" s="3" customFormat="1">
      <c r="A171" s="233"/>
      <c r="B171" s="434" t="s">
        <v>151</v>
      </c>
      <c r="C171" s="434"/>
      <c r="D171" s="435"/>
      <c r="E171" s="435"/>
      <c r="F171" s="50"/>
      <c r="G171" s="62"/>
      <c r="H171" s="185"/>
      <c r="I171" s="186">
        <f t="shared" si="11"/>
        <v>0</v>
      </c>
      <c r="J171" s="59"/>
      <c r="K171" s="233"/>
      <c r="L171" s="233"/>
      <c r="M171" s="235"/>
      <c r="N171" s="236"/>
      <c r="O171" s="235"/>
      <c r="P171" s="236"/>
      <c r="Q171" s="236"/>
      <c r="R171" s="236"/>
      <c r="S171" s="237"/>
      <c r="T171" s="236"/>
      <c r="U171" s="233"/>
      <c r="V171" s="233"/>
      <c r="W171" s="233"/>
      <c r="X171" s="238"/>
    </row>
    <row r="172" spans="1:24" s="3" customFormat="1">
      <c r="A172" s="233"/>
      <c r="B172" s="434" t="s">
        <v>151</v>
      </c>
      <c r="C172" s="434"/>
      <c r="D172" s="435"/>
      <c r="E172" s="435"/>
      <c r="F172" s="50"/>
      <c r="G172" s="62"/>
      <c r="H172" s="185"/>
      <c r="I172" s="186">
        <f t="shared" si="11"/>
        <v>0</v>
      </c>
      <c r="J172" s="59"/>
      <c r="K172" s="233"/>
      <c r="L172" s="233"/>
      <c r="M172" s="235"/>
      <c r="N172" s="236"/>
      <c r="O172" s="235"/>
      <c r="P172" s="236"/>
      <c r="Q172" s="236"/>
      <c r="R172" s="236"/>
      <c r="S172" s="237"/>
      <c r="T172" s="236"/>
      <c r="U172" s="233"/>
      <c r="V172" s="233"/>
      <c r="W172" s="233"/>
      <c r="X172" s="238"/>
    </row>
    <row r="173" spans="1:24" s="3" customFormat="1">
      <c r="A173" s="233"/>
      <c r="B173" s="434" t="s">
        <v>151</v>
      </c>
      <c r="C173" s="434"/>
      <c r="D173" s="435"/>
      <c r="E173" s="435"/>
      <c r="F173" s="50"/>
      <c r="G173" s="62"/>
      <c r="H173" s="185"/>
      <c r="I173" s="186">
        <f t="shared" si="11"/>
        <v>0</v>
      </c>
      <c r="J173" s="59"/>
      <c r="K173" s="233"/>
      <c r="L173" s="233"/>
      <c r="M173" s="235"/>
      <c r="N173" s="236"/>
      <c r="O173" s="235"/>
      <c r="P173" s="236"/>
      <c r="Q173" s="236"/>
      <c r="R173" s="236"/>
      <c r="S173" s="237"/>
      <c r="T173" s="236"/>
      <c r="U173" s="233"/>
      <c r="V173" s="233"/>
      <c r="W173" s="233"/>
      <c r="X173" s="238"/>
    </row>
    <row r="174" spans="1:24" s="3" customFormat="1">
      <c r="A174" s="233"/>
      <c r="B174" s="434" t="s">
        <v>151</v>
      </c>
      <c r="C174" s="434"/>
      <c r="D174" s="435"/>
      <c r="E174" s="435"/>
      <c r="F174" s="50"/>
      <c r="G174" s="62"/>
      <c r="H174" s="185"/>
      <c r="I174" s="186">
        <f t="shared" si="11"/>
        <v>0</v>
      </c>
      <c r="J174" s="59"/>
      <c r="K174" s="233"/>
      <c r="L174" s="233"/>
      <c r="M174" s="235"/>
      <c r="N174" s="236"/>
      <c r="O174" s="235"/>
      <c r="P174" s="236"/>
      <c r="Q174" s="236"/>
      <c r="R174" s="236"/>
      <c r="S174" s="237"/>
      <c r="T174" s="236"/>
      <c r="U174" s="233"/>
      <c r="V174" s="233"/>
      <c r="W174" s="233"/>
      <c r="X174" s="238"/>
    </row>
    <row r="175" spans="1:24" s="3" customFormat="1">
      <c r="A175" s="233"/>
      <c r="B175" s="136"/>
      <c r="C175" s="11"/>
      <c r="D175" s="234"/>
      <c r="E175" s="11"/>
      <c r="F175" s="233"/>
      <c r="G175" s="233"/>
      <c r="H175" s="233"/>
      <c r="I175" s="233"/>
      <c r="J175" s="233"/>
      <c r="K175" s="233"/>
      <c r="L175" s="233"/>
      <c r="M175" s="235"/>
      <c r="N175" s="236"/>
      <c r="O175" s="235"/>
      <c r="P175" s="236"/>
      <c r="Q175" s="236"/>
      <c r="R175" s="236"/>
      <c r="S175" s="237"/>
      <c r="T175" s="236"/>
      <c r="U175" s="233"/>
      <c r="V175" s="233"/>
      <c r="W175" s="233"/>
      <c r="X175" s="238"/>
    </row>
    <row r="176" spans="1:24" s="3" customFormat="1">
      <c r="A176" s="233"/>
      <c r="B176" s="136"/>
      <c r="C176" s="11"/>
      <c r="D176" s="234"/>
      <c r="E176" s="11"/>
      <c r="F176" s="233"/>
      <c r="G176" s="233"/>
      <c r="H176" s="233"/>
      <c r="I176" s="233"/>
      <c r="J176" s="233"/>
      <c r="K176" s="233"/>
      <c r="L176" s="233"/>
      <c r="M176" s="235"/>
      <c r="N176" s="236"/>
      <c r="O176" s="235"/>
      <c r="P176" s="236"/>
      <c r="Q176" s="236"/>
      <c r="R176" s="236"/>
      <c r="S176" s="237"/>
      <c r="T176" s="236"/>
      <c r="U176" s="233"/>
      <c r="V176" s="233"/>
      <c r="W176" s="233"/>
      <c r="X176" s="238"/>
    </row>
    <row r="177" spans="1:24" s="181" customFormat="1" ht="18">
      <c r="A177" s="244"/>
      <c r="B177" s="251" t="s">
        <v>249</v>
      </c>
      <c r="C177" s="245"/>
      <c r="D177" s="246"/>
      <c r="E177" s="245"/>
      <c r="F177" s="244"/>
      <c r="G177" s="244"/>
      <c r="H177" s="244"/>
      <c r="I177" s="244"/>
      <c r="J177" s="244"/>
      <c r="K177" s="244"/>
      <c r="L177" s="244"/>
      <c r="M177" s="247"/>
      <c r="N177" s="248"/>
      <c r="O177" s="247"/>
      <c r="P177" s="248"/>
      <c r="Q177" s="248"/>
      <c r="R177" s="248"/>
      <c r="S177" s="249"/>
      <c r="T177" s="248"/>
      <c r="U177" s="244"/>
      <c r="V177" s="244"/>
      <c r="W177" s="244"/>
      <c r="X177" s="250"/>
    </row>
    <row r="178" spans="1:24" s="3" customFormat="1">
      <c r="A178" s="233"/>
      <c r="B178" s="242" t="s">
        <v>250</v>
      </c>
      <c r="C178" s="11"/>
      <c r="D178" s="234"/>
      <c r="E178" s="11"/>
      <c r="F178" s="233"/>
      <c r="G178" s="233"/>
      <c r="H178" s="233"/>
      <c r="I178" s="233"/>
      <c r="J178" s="233"/>
      <c r="K178" s="233"/>
      <c r="L178" s="233"/>
      <c r="M178" s="235"/>
      <c r="N178" s="236"/>
      <c r="O178" s="235"/>
      <c r="P178" s="236"/>
      <c r="Q178" s="236"/>
      <c r="R178" s="236"/>
      <c r="S178" s="237"/>
      <c r="T178" s="236"/>
      <c r="U178" s="233"/>
      <c r="V178" s="233"/>
      <c r="W178" s="233"/>
      <c r="X178" s="238"/>
    </row>
    <row r="179" spans="1:24" s="3" customFormat="1">
      <c r="A179" s="233"/>
      <c r="B179" s="444" t="s">
        <v>81</v>
      </c>
      <c r="C179" s="445"/>
      <c r="D179" s="444" t="s">
        <v>153</v>
      </c>
      <c r="E179" s="445"/>
      <c r="F179" s="124" t="s">
        <v>154</v>
      </c>
      <c r="G179" s="124" t="s">
        <v>155</v>
      </c>
      <c r="H179" s="124" t="s">
        <v>156</v>
      </c>
      <c r="I179" s="124" t="s">
        <v>157</v>
      </c>
      <c r="J179" s="126" t="s">
        <v>97</v>
      </c>
      <c r="K179" s="233"/>
      <c r="L179" s="233"/>
      <c r="M179" s="235"/>
      <c r="N179" s="236"/>
      <c r="O179" s="235"/>
      <c r="P179" s="236"/>
      <c r="Q179" s="236"/>
      <c r="R179" s="236"/>
      <c r="S179" s="237"/>
      <c r="T179" s="236"/>
      <c r="U179" s="233"/>
      <c r="V179" s="233"/>
      <c r="W179" s="233"/>
      <c r="X179" s="238"/>
    </row>
    <row r="180" spans="1:24" s="3" customFormat="1">
      <c r="A180" s="233"/>
      <c r="B180" s="434" t="s">
        <v>151</v>
      </c>
      <c r="C180" s="434"/>
      <c r="D180" s="435"/>
      <c r="E180" s="435"/>
      <c r="F180" s="50"/>
      <c r="G180" s="62"/>
      <c r="H180" s="185"/>
      <c r="I180" s="186">
        <f t="shared" ref="I180:I189" si="12">IF(B180=0,0,H180*G180*F180)</f>
        <v>0</v>
      </c>
      <c r="J180" s="59"/>
      <c r="K180" s="233"/>
      <c r="L180" s="233"/>
      <c r="M180" s="235"/>
      <c r="N180" s="236"/>
      <c r="O180" s="235"/>
      <c r="P180" s="236"/>
      <c r="Q180" s="236"/>
      <c r="R180" s="236"/>
      <c r="S180" s="237"/>
      <c r="T180" s="236"/>
      <c r="U180" s="233"/>
      <c r="V180" s="233"/>
      <c r="W180" s="233"/>
      <c r="X180" s="238"/>
    </row>
    <row r="181" spans="1:24" s="3" customFormat="1">
      <c r="A181" s="233"/>
      <c r="B181" s="434" t="s">
        <v>151</v>
      </c>
      <c r="C181" s="434"/>
      <c r="D181" s="435"/>
      <c r="E181" s="435"/>
      <c r="F181" s="50"/>
      <c r="G181" s="62"/>
      <c r="H181" s="185"/>
      <c r="I181" s="186">
        <f t="shared" si="12"/>
        <v>0</v>
      </c>
      <c r="J181" s="59"/>
      <c r="K181" s="233"/>
      <c r="L181" s="233"/>
      <c r="M181" s="235"/>
      <c r="N181" s="236"/>
      <c r="O181" s="235"/>
      <c r="P181" s="236"/>
      <c r="Q181" s="236"/>
      <c r="R181" s="236"/>
      <c r="S181" s="237"/>
      <c r="T181" s="236"/>
      <c r="U181" s="233"/>
      <c r="V181" s="233"/>
      <c r="W181" s="233"/>
      <c r="X181" s="238"/>
    </row>
    <row r="182" spans="1:24" s="3" customFormat="1">
      <c r="A182" s="233"/>
      <c r="B182" s="434" t="s">
        <v>151</v>
      </c>
      <c r="C182" s="434"/>
      <c r="D182" s="435"/>
      <c r="E182" s="435"/>
      <c r="F182" s="50"/>
      <c r="G182" s="62"/>
      <c r="H182" s="185"/>
      <c r="I182" s="186">
        <f t="shared" si="12"/>
        <v>0</v>
      </c>
      <c r="J182" s="59"/>
      <c r="K182" s="233"/>
      <c r="L182" s="233"/>
      <c r="M182" s="235"/>
      <c r="N182" s="236"/>
      <c r="O182" s="235"/>
      <c r="P182" s="236"/>
      <c r="Q182" s="236"/>
      <c r="R182" s="236"/>
      <c r="S182" s="237"/>
      <c r="T182" s="236"/>
      <c r="U182" s="233"/>
      <c r="V182" s="233"/>
      <c r="W182" s="233"/>
      <c r="X182" s="238"/>
    </row>
    <row r="183" spans="1:24" s="3" customFormat="1">
      <c r="A183" s="233"/>
      <c r="B183" s="434" t="s">
        <v>151</v>
      </c>
      <c r="C183" s="434"/>
      <c r="D183" s="435"/>
      <c r="E183" s="435"/>
      <c r="F183" s="50"/>
      <c r="G183" s="62"/>
      <c r="H183" s="185"/>
      <c r="I183" s="186">
        <f t="shared" si="12"/>
        <v>0</v>
      </c>
      <c r="J183" s="59"/>
      <c r="K183" s="233"/>
      <c r="L183" s="233"/>
      <c r="M183" s="235"/>
      <c r="N183" s="236"/>
      <c r="O183" s="235"/>
      <c r="P183" s="236"/>
      <c r="Q183" s="236"/>
      <c r="R183" s="236"/>
      <c r="S183" s="237"/>
      <c r="T183" s="236"/>
      <c r="U183" s="233"/>
      <c r="V183" s="233"/>
      <c r="W183" s="233"/>
      <c r="X183" s="238"/>
    </row>
    <row r="184" spans="1:24" s="3" customFormat="1">
      <c r="A184" s="233"/>
      <c r="B184" s="434" t="s">
        <v>151</v>
      </c>
      <c r="C184" s="434"/>
      <c r="D184" s="435"/>
      <c r="E184" s="435"/>
      <c r="F184" s="50"/>
      <c r="G184" s="62"/>
      <c r="H184" s="185"/>
      <c r="I184" s="186">
        <f t="shared" si="12"/>
        <v>0</v>
      </c>
      <c r="J184" s="59"/>
      <c r="K184" s="233"/>
      <c r="L184" s="233"/>
      <c r="M184" s="235"/>
      <c r="N184" s="236"/>
      <c r="O184" s="235"/>
      <c r="P184" s="236"/>
      <c r="Q184" s="236"/>
      <c r="R184" s="236"/>
      <c r="S184" s="237"/>
      <c r="T184" s="236"/>
      <c r="U184" s="233"/>
      <c r="V184" s="233"/>
      <c r="W184" s="233"/>
      <c r="X184" s="238"/>
    </row>
    <row r="185" spans="1:24" s="3" customFormat="1">
      <c r="A185" s="233"/>
      <c r="B185" s="434" t="s">
        <v>151</v>
      </c>
      <c r="C185" s="434"/>
      <c r="D185" s="435"/>
      <c r="E185" s="435"/>
      <c r="F185" s="50"/>
      <c r="G185" s="62"/>
      <c r="H185" s="185"/>
      <c r="I185" s="186">
        <f t="shared" si="12"/>
        <v>0</v>
      </c>
      <c r="J185" s="59"/>
      <c r="K185" s="233"/>
      <c r="L185" s="233"/>
      <c r="M185" s="235"/>
      <c r="N185" s="236"/>
      <c r="O185" s="235"/>
      <c r="P185" s="236"/>
      <c r="Q185" s="236"/>
      <c r="R185" s="236"/>
      <c r="S185" s="237"/>
      <c r="T185" s="236"/>
      <c r="U185" s="233"/>
      <c r="V185" s="233"/>
      <c r="W185" s="233"/>
      <c r="X185" s="238"/>
    </row>
    <row r="186" spans="1:24" s="3" customFormat="1">
      <c r="A186" s="233"/>
      <c r="B186" s="434" t="s">
        <v>151</v>
      </c>
      <c r="C186" s="434"/>
      <c r="D186" s="435"/>
      <c r="E186" s="435"/>
      <c r="F186" s="50"/>
      <c r="G186" s="62"/>
      <c r="H186" s="185"/>
      <c r="I186" s="186">
        <f t="shared" si="12"/>
        <v>0</v>
      </c>
      <c r="J186" s="59"/>
      <c r="K186" s="233"/>
      <c r="L186" s="233"/>
      <c r="M186" s="235"/>
      <c r="N186" s="236"/>
      <c r="O186" s="235"/>
      <c r="P186" s="236"/>
      <c r="Q186" s="236"/>
      <c r="R186" s="236"/>
      <c r="S186" s="237"/>
      <c r="T186" s="236"/>
      <c r="U186" s="233"/>
      <c r="V186" s="233"/>
      <c r="W186" s="233"/>
      <c r="X186" s="238"/>
    </row>
    <row r="187" spans="1:24" s="3" customFormat="1">
      <c r="A187" s="233"/>
      <c r="B187" s="434" t="s">
        <v>151</v>
      </c>
      <c r="C187" s="434"/>
      <c r="D187" s="435"/>
      <c r="E187" s="435"/>
      <c r="F187" s="50"/>
      <c r="G187" s="62"/>
      <c r="H187" s="185"/>
      <c r="I187" s="186">
        <f t="shared" si="12"/>
        <v>0</v>
      </c>
      <c r="J187" s="59"/>
      <c r="K187" s="233"/>
      <c r="L187" s="233"/>
      <c r="M187" s="235"/>
      <c r="N187" s="236"/>
      <c r="O187" s="235"/>
      <c r="P187" s="236"/>
      <c r="Q187" s="236"/>
      <c r="R187" s="236"/>
      <c r="S187" s="237"/>
      <c r="T187" s="236"/>
      <c r="U187" s="233"/>
      <c r="V187" s="233"/>
      <c r="W187" s="233"/>
      <c r="X187" s="238"/>
    </row>
    <row r="188" spans="1:24" s="3" customFormat="1">
      <c r="A188" s="233"/>
      <c r="B188" s="434" t="s">
        <v>151</v>
      </c>
      <c r="C188" s="434"/>
      <c r="D188" s="435"/>
      <c r="E188" s="435"/>
      <c r="F188" s="50"/>
      <c r="G188" s="62"/>
      <c r="H188" s="185"/>
      <c r="I188" s="186">
        <f t="shared" si="12"/>
        <v>0</v>
      </c>
      <c r="J188" s="59"/>
      <c r="K188" s="233"/>
      <c r="L188" s="233"/>
      <c r="M188" s="235"/>
      <c r="N188" s="236"/>
      <c r="O188" s="235"/>
      <c r="P188" s="236"/>
      <c r="Q188" s="236"/>
      <c r="R188" s="236"/>
      <c r="S188" s="237"/>
      <c r="T188" s="236"/>
      <c r="U188" s="233"/>
      <c r="V188" s="233"/>
      <c r="W188" s="233"/>
      <c r="X188" s="238"/>
    </row>
    <row r="189" spans="1:24" s="3" customFormat="1">
      <c r="A189" s="233"/>
      <c r="B189" s="434" t="s">
        <v>151</v>
      </c>
      <c r="C189" s="434"/>
      <c r="D189" s="435"/>
      <c r="E189" s="435"/>
      <c r="F189" s="50"/>
      <c r="G189" s="62"/>
      <c r="H189" s="185"/>
      <c r="I189" s="186">
        <f t="shared" si="12"/>
        <v>0</v>
      </c>
      <c r="J189" s="59"/>
      <c r="K189" s="233"/>
      <c r="L189" s="233"/>
      <c r="M189" s="235"/>
      <c r="N189" s="236"/>
      <c r="O189" s="235"/>
      <c r="P189" s="236"/>
      <c r="Q189" s="236"/>
      <c r="R189" s="236"/>
      <c r="S189" s="237"/>
      <c r="T189" s="236"/>
      <c r="U189" s="233"/>
      <c r="V189" s="233"/>
      <c r="W189" s="233"/>
      <c r="X189" s="238"/>
    </row>
    <row r="190" spans="1:24" s="3" customFormat="1">
      <c r="A190" s="233"/>
      <c r="B190" s="136"/>
      <c r="C190" s="11"/>
      <c r="D190" s="234"/>
      <c r="E190" s="11"/>
      <c r="F190" s="233"/>
      <c r="G190" s="233"/>
      <c r="H190" s="233"/>
      <c r="I190" s="233"/>
      <c r="J190" s="233"/>
      <c r="K190" s="233"/>
      <c r="L190" s="233"/>
      <c r="M190" s="235"/>
      <c r="N190" s="236"/>
      <c r="O190" s="235"/>
      <c r="P190" s="236"/>
      <c r="Q190" s="236"/>
      <c r="R190" s="236"/>
      <c r="S190" s="237"/>
      <c r="T190" s="236"/>
      <c r="U190" s="233"/>
      <c r="V190" s="233"/>
      <c r="W190" s="233"/>
      <c r="X190" s="238"/>
    </row>
    <row r="191" spans="1:24" customFormat="1">
      <c r="B191" s="63"/>
      <c r="C191" s="63"/>
      <c r="D191" s="7"/>
      <c r="E191" s="7"/>
      <c r="F191" s="7"/>
      <c r="G191" s="7"/>
      <c r="H191" s="7"/>
      <c r="I191" s="7"/>
      <c r="J191" s="7"/>
      <c r="K191" s="7"/>
      <c r="L191" s="7"/>
      <c r="M191" s="7"/>
      <c r="N191" s="7"/>
      <c r="O191" s="7"/>
      <c r="P191" s="7"/>
      <c r="Q191" s="7"/>
      <c r="R191" s="7"/>
    </row>
    <row r="192" spans="1:24" customFormat="1">
      <c r="B192" s="64"/>
      <c r="C192" s="64"/>
      <c r="D192" s="65"/>
      <c r="E192" s="65"/>
      <c r="F192" s="65"/>
      <c r="G192" s="65"/>
      <c r="H192" s="65"/>
      <c r="I192" s="65"/>
      <c r="J192" s="65"/>
      <c r="K192" s="65"/>
      <c r="L192" s="65"/>
      <c r="M192" s="7"/>
      <c r="N192" s="7"/>
      <c r="O192" s="7"/>
      <c r="P192" s="7"/>
      <c r="Q192" s="7"/>
      <c r="R192" s="7"/>
    </row>
    <row r="193" spans="1:24" s="3" customFormat="1">
      <c r="A193" s="233"/>
      <c r="B193" s="187"/>
      <c r="C193" s="11"/>
      <c r="D193" s="234"/>
      <c r="E193" s="11"/>
      <c r="F193" s="233"/>
      <c r="G193" s="233"/>
      <c r="H193" s="233"/>
      <c r="I193" s="233"/>
      <c r="J193" s="233"/>
      <c r="K193" s="233"/>
      <c r="L193" s="233"/>
      <c r="M193" s="235"/>
      <c r="N193" s="236"/>
      <c r="O193" s="235"/>
      <c r="P193" s="236"/>
      <c r="Q193" s="236"/>
      <c r="R193" s="236"/>
      <c r="S193" s="237"/>
      <c r="T193" s="236"/>
      <c r="U193" s="233"/>
      <c r="V193" s="233"/>
      <c r="W193" s="233"/>
      <c r="X193" s="238"/>
    </row>
    <row r="194" spans="1:24" s="3" customFormat="1" ht="18">
      <c r="A194" s="233"/>
      <c r="B194" s="140" t="s">
        <v>251</v>
      </c>
      <c r="C194" s="11"/>
      <c r="D194" s="234"/>
      <c r="E194" s="11"/>
      <c r="F194" s="233"/>
      <c r="G194" s="233"/>
      <c r="H194" s="233"/>
      <c r="I194" s="233"/>
      <c r="J194" s="233"/>
      <c r="K194" s="233"/>
      <c r="L194" s="233"/>
      <c r="M194" s="235"/>
      <c r="N194" s="236"/>
      <c r="O194" s="235"/>
      <c r="P194" s="236"/>
      <c r="Q194" s="236"/>
      <c r="R194" s="236"/>
      <c r="S194" s="237"/>
      <c r="T194" s="236"/>
      <c r="U194" s="233"/>
      <c r="V194" s="233"/>
      <c r="W194" s="233"/>
      <c r="X194" s="238"/>
    </row>
    <row r="195" spans="1:24" s="3" customFormat="1">
      <c r="A195" s="233"/>
      <c r="B195" s="136" t="s">
        <v>252</v>
      </c>
      <c r="C195" s="11"/>
      <c r="D195" s="234"/>
      <c r="E195" s="11"/>
      <c r="F195" s="233"/>
      <c r="G195" s="233"/>
      <c r="H195" s="233"/>
      <c r="I195" s="233"/>
      <c r="J195" s="233"/>
      <c r="K195" s="233"/>
      <c r="L195" s="233"/>
      <c r="M195" s="235"/>
      <c r="N195" s="236"/>
      <c r="O195" s="235"/>
      <c r="P195" s="236"/>
      <c r="Q195" s="236"/>
      <c r="R195" s="236"/>
      <c r="S195" s="237"/>
      <c r="T195" s="236"/>
      <c r="U195" s="233"/>
      <c r="V195" s="233"/>
      <c r="W195" s="233"/>
      <c r="X195" s="238"/>
    </row>
    <row r="196" spans="1:24" s="3" customFormat="1">
      <c r="A196" s="136"/>
      <c r="B196" s="136" t="s">
        <v>253</v>
      </c>
      <c r="C196" s="11"/>
      <c r="D196" s="234"/>
      <c r="E196" s="11"/>
      <c r="F196" s="233"/>
      <c r="G196" s="233"/>
      <c r="H196" s="233"/>
      <c r="I196" s="233"/>
      <c r="J196" s="233"/>
      <c r="K196" s="233"/>
      <c r="L196" s="233"/>
      <c r="M196" s="235"/>
      <c r="N196" s="236"/>
      <c r="O196" s="235"/>
      <c r="P196" s="236"/>
      <c r="Q196" s="236"/>
      <c r="R196" s="236"/>
      <c r="S196" s="237"/>
      <c r="T196" s="236"/>
      <c r="U196" s="233"/>
      <c r="V196" s="233"/>
      <c r="W196" s="233"/>
      <c r="X196" s="238"/>
    </row>
    <row r="197" spans="1:24" s="3" customFormat="1">
      <c r="A197" s="136"/>
      <c r="B197" s="136"/>
      <c r="C197" s="11"/>
      <c r="D197" s="234"/>
      <c r="E197" s="11"/>
      <c r="F197" s="233"/>
      <c r="G197" s="233"/>
      <c r="H197" s="233"/>
      <c r="I197" s="233"/>
      <c r="J197" s="233"/>
      <c r="K197" s="233"/>
      <c r="L197" s="233"/>
      <c r="M197" s="235"/>
      <c r="N197" s="236"/>
      <c r="O197" s="235"/>
      <c r="P197" s="236"/>
      <c r="Q197" s="236"/>
      <c r="R197" s="236"/>
      <c r="S197" s="237"/>
      <c r="T197" s="236"/>
      <c r="U197" s="233"/>
      <c r="V197" s="233"/>
      <c r="W197" s="233"/>
      <c r="X197" s="238"/>
    </row>
    <row r="198" spans="1:24" s="3" customFormat="1">
      <c r="A198" s="233"/>
      <c r="B198" s="9"/>
      <c r="C198" s="42" t="s">
        <v>254</v>
      </c>
      <c r="D198" s="62" t="s">
        <v>256</v>
      </c>
      <c r="E198" s="252" t="s">
        <v>255</v>
      </c>
      <c r="F198" s="233"/>
      <c r="G198" s="233"/>
      <c r="H198" s="233"/>
      <c r="I198" s="233"/>
      <c r="J198" s="233"/>
      <c r="K198" s="233"/>
      <c r="L198" s="233"/>
      <c r="M198" s="235"/>
      <c r="N198" s="236"/>
      <c r="O198" s="235"/>
      <c r="P198" s="236"/>
      <c r="Q198" s="236"/>
      <c r="R198" s="236"/>
      <c r="S198" s="237"/>
      <c r="T198" s="236"/>
      <c r="U198" s="233"/>
      <c r="V198" s="233"/>
      <c r="W198" s="233"/>
      <c r="X198" s="238"/>
    </row>
    <row r="199" spans="1:24" s="3" customFormat="1">
      <c r="A199" s="233"/>
      <c r="B199" s="187"/>
      <c r="C199" s="11"/>
      <c r="D199" s="9"/>
      <c r="E199" s="11"/>
      <c r="F199" s="233"/>
      <c r="G199" s="233"/>
      <c r="H199" s="233"/>
      <c r="I199" s="233"/>
      <c r="J199" s="233"/>
      <c r="K199" s="233"/>
      <c r="L199" s="233"/>
      <c r="M199" s="235"/>
      <c r="N199" s="236"/>
      <c r="O199" s="235"/>
      <c r="P199" s="236"/>
      <c r="Q199" s="236"/>
      <c r="R199" s="236"/>
      <c r="S199" s="237"/>
      <c r="T199" s="236"/>
      <c r="U199" s="233"/>
      <c r="V199" s="233"/>
      <c r="W199" s="233"/>
      <c r="X199" s="238"/>
    </row>
    <row r="200" spans="1:24" s="3" customFormat="1" ht="15" customHeight="1">
      <c r="A200" s="233"/>
      <c r="B200" s="430" t="s">
        <v>81</v>
      </c>
      <c r="C200" s="431"/>
      <c r="D200" s="442" t="s">
        <v>226</v>
      </c>
      <c r="E200" s="443"/>
      <c r="F200" s="443"/>
      <c r="G200" s="446" t="s">
        <v>231</v>
      </c>
      <c r="H200" s="447"/>
      <c r="I200" s="447"/>
      <c r="J200" s="233"/>
      <c r="K200" s="233"/>
      <c r="L200" s="233"/>
      <c r="M200" s="235"/>
      <c r="N200" s="236"/>
      <c r="O200" s="235"/>
      <c r="P200" s="236"/>
      <c r="Q200" s="236"/>
      <c r="R200" s="236"/>
      <c r="S200" s="237"/>
      <c r="T200" s="236"/>
      <c r="U200" s="233"/>
      <c r="V200" s="233"/>
      <c r="W200" s="233"/>
      <c r="X200" s="238"/>
    </row>
    <row r="201" spans="1:24" s="79" customFormat="1" ht="28.8">
      <c r="A201" s="253"/>
      <c r="B201" s="432"/>
      <c r="C201" s="433"/>
      <c r="D201" s="122" t="s">
        <v>227</v>
      </c>
      <c r="E201" s="122" t="s">
        <v>234</v>
      </c>
      <c r="F201" s="122" t="s">
        <v>235</v>
      </c>
      <c r="G201" s="121" t="s">
        <v>230</v>
      </c>
      <c r="H201" s="121" t="s">
        <v>236</v>
      </c>
      <c r="I201" s="121" t="s">
        <v>237</v>
      </c>
      <c r="J201" s="253"/>
      <c r="K201" s="253"/>
      <c r="L201" s="253"/>
      <c r="M201" s="254"/>
      <c r="N201" s="255"/>
      <c r="O201" s="254"/>
      <c r="P201" s="255"/>
      <c r="Q201" s="255"/>
      <c r="R201" s="255"/>
      <c r="S201" s="255"/>
      <c r="T201" s="255"/>
      <c r="U201" s="253"/>
      <c r="V201" s="253"/>
      <c r="W201" s="253"/>
      <c r="X201" s="256"/>
    </row>
    <row r="202" spans="1:24" s="3" customFormat="1">
      <c r="A202" s="233"/>
      <c r="B202" s="66" t="s">
        <v>137</v>
      </c>
      <c r="C202" s="60" t="str">
        <f>IF(intervencao1=0,"Do not fill this line",intervencao1)</f>
        <v>PET-CT</v>
      </c>
      <c r="D202" s="185"/>
      <c r="E202" s="185"/>
      <c r="F202" s="185"/>
      <c r="G202" s="185"/>
      <c r="H202" s="185"/>
      <c r="I202" s="185"/>
      <c r="J202" s="257"/>
      <c r="K202" s="233"/>
      <c r="L202" s="233"/>
      <c r="M202" s="235"/>
      <c r="N202" s="236"/>
      <c r="O202" s="235"/>
      <c r="P202" s="236"/>
      <c r="Q202" s="236"/>
      <c r="R202" s="236"/>
      <c r="S202" s="237"/>
      <c r="T202" s="236"/>
      <c r="U202" s="233"/>
      <c r="V202" s="233"/>
      <c r="W202" s="233"/>
      <c r="X202" s="238"/>
    </row>
    <row r="203" spans="1:24" s="3" customFormat="1">
      <c r="A203" s="233"/>
      <c r="B203" s="66" t="s">
        <v>138</v>
      </c>
      <c r="C203" s="60" t="str">
        <f>IF(intervencao2=0,"Do not fill this line",intervencao2)</f>
        <v>Do not fill this line</v>
      </c>
      <c r="D203" s="185"/>
      <c r="E203" s="185"/>
      <c r="F203" s="185"/>
      <c r="G203" s="186">
        <f>G202</f>
        <v>0</v>
      </c>
      <c r="H203" s="186">
        <f>H202</f>
        <v>0</v>
      </c>
      <c r="I203" s="186">
        <f>I202</f>
        <v>0</v>
      </c>
      <c r="J203" s="257"/>
      <c r="K203" s="233"/>
      <c r="L203" s="233"/>
      <c r="M203" s="235"/>
      <c r="N203" s="236"/>
      <c r="O203" s="235"/>
      <c r="P203" s="236"/>
      <c r="Q203" s="236"/>
      <c r="R203" s="236"/>
      <c r="S203" s="237"/>
      <c r="T203" s="236"/>
      <c r="U203" s="233"/>
      <c r="V203" s="233"/>
      <c r="W203" s="233"/>
      <c r="X203" s="238"/>
    </row>
    <row r="204" spans="1:24" s="3" customFormat="1">
      <c r="A204" s="233"/>
      <c r="B204" s="66" t="s">
        <v>139</v>
      </c>
      <c r="C204" s="60" t="str">
        <f>IF(intervencao3=0,"Do not fill this line",intervencao3)</f>
        <v>Do not fill this line</v>
      </c>
      <c r="D204" s="185"/>
      <c r="E204" s="185"/>
      <c r="F204" s="185"/>
      <c r="G204" s="186">
        <f t="shared" ref="G204:G215" si="13">G203</f>
        <v>0</v>
      </c>
      <c r="H204" s="186">
        <f t="shared" ref="H204:I215" si="14">H203</f>
        <v>0</v>
      </c>
      <c r="I204" s="186">
        <f t="shared" si="14"/>
        <v>0</v>
      </c>
      <c r="J204" s="233"/>
      <c r="K204" s="233"/>
      <c r="L204" s="233"/>
      <c r="M204" s="235"/>
      <c r="N204" s="236"/>
      <c r="O204" s="235"/>
      <c r="P204" s="236"/>
      <c r="Q204" s="236"/>
      <c r="R204" s="236"/>
      <c r="S204" s="237"/>
      <c r="T204" s="236"/>
      <c r="U204" s="233"/>
      <c r="V204" s="233"/>
      <c r="W204" s="233"/>
      <c r="X204" s="238"/>
    </row>
    <row r="205" spans="1:24" s="3" customFormat="1">
      <c r="A205" s="233"/>
      <c r="B205" s="66" t="s">
        <v>140</v>
      </c>
      <c r="C205" s="60" t="str">
        <f>IF(intervencao4=0,"Do not fill this line",intervencao4)</f>
        <v>Do not fill this line</v>
      </c>
      <c r="D205" s="185"/>
      <c r="E205" s="185"/>
      <c r="F205" s="185"/>
      <c r="G205" s="186">
        <f t="shared" si="13"/>
        <v>0</v>
      </c>
      <c r="H205" s="186">
        <f t="shared" si="14"/>
        <v>0</v>
      </c>
      <c r="I205" s="186">
        <f t="shared" si="14"/>
        <v>0</v>
      </c>
      <c r="J205" s="233"/>
      <c r="K205" s="233"/>
      <c r="L205" s="233"/>
      <c r="M205" s="235"/>
      <c r="N205" s="236"/>
      <c r="O205" s="235"/>
      <c r="P205" s="236"/>
      <c r="Q205" s="236"/>
      <c r="R205" s="236"/>
      <c r="S205" s="237"/>
      <c r="T205" s="236"/>
      <c r="U205" s="233"/>
      <c r="V205" s="233"/>
      <c r="W205" s="233"/>
      <c r="X205" s="238"/>
    </row>
    <row r="206" spans="1:24" s="3" customFormat="1">
      <c r="A206" s="233"/>
      <c r="B206" s="66" t="s">
        <v>141</v>
      </c>
      <c r="C206" s="60" t="str">
        <f>IF(comparador1=0,"Do not fill this line",comparador1)</f>
        <v>CT scan + scintigraphy</v>
      </c>
      <c r="D206" s="185"/>
      <c r="E206" s="185"/>
      <c r="F206" s="185"/>
      <c r="G206" s="186">
        <f t="shared" si="13"/>
        <v>0</v>
      </c>
      <c r="H206" s="186">
        <f t="shared" si="14"/>
        <v>0</v>
      </c>
      <c r="I206" s="186">
        <f t="shared" si="14"/>
        <v>0</v>
      </c>
      <c r="J206" s="233"/>
      <c r="K206" s="233"/>
      <c r="L206" s="233"/>
      <c r="M206" s="235"/>
      <c r="N206" s="236"/>
      <c r="O206" s="235"/>
      <c r="P206" s="236"/>
      <c r="Q206" s="236"/>
      <c r="R206" s="236"/>
      <c r="S206" s="237"/>
      <c r="T206" s="236"/>
      <c r="U206" s="233"/>
      <c r="V206" s="233"/>
      <c r="W206" s="233"/>
      <c r="X206" s="238"/>
    </row>
    <row r="207" spans="1:24" s="3" customFormat="1">
      <c r="A207" s="233"/>
      <c r="B207" s="66" t="s">
        <v>142</v>
      </c>
      <c r="C207" s="60" t="str">
        <f>IF(comparador2=0,"Do not fill this line",comparador2)</f>
        <v>Do not fill this line</v>
      </c>
      <c r="D207" s="185"/>
      <c r="E207" s="185"/>
      <c r="F207" s="185"/>
      <c r="G207" s="186">
        <f t="shared" si="13"/>
        <v>0</v>
      </c>
      <c r="H207" s="186">
        <f t="shared" si="14"/>
        <v>0</v>
      </c>
      <c r="I207" s="186">
        <f t="shared" si="14"/>
        <v>0</v>
      </c>
      <c r="J207" s="233"/>
      <c r="K207" s="233"/>
      <c r="L207" s="233"/>
      <c r="M207" s="235"/>
      <c r="N207" s="236"/>
      <c r="O207" s="235"/>
      <c r="P207" s="236"/>
      <c r="Q207" s="236"/>
      <c r="R207" s="236"/>
      <c r="S207" s="237"/>
      <c r="T207" s="236"/>
      <c r="U207" s="233"/>
      <c r="V207" s="233"/>
      <c r="W207" s="233"/>
      <c r="X207" s="238"/>
    </row>
    <row r="208" spans="1:24" s="3" customFormat="1">
      <c r="A208" s="233"/>
      <c r="B208" s="66" t="s">
        <v>143</v>
      </c>
      <c r="C208" s="60" t="str">
        <f>IF(comparador3=0,"Do not fill this line",comparador3)</f>
        <v>Do not fill this line</v>
      </c>
      <c r="D208" s="185"/>
      <c r="E208" s="185"/>
      <c r="F208" s="185"/>
      <c r="G208" s="186">
        <f t="shared" si="13"/>
        <v>0</v>
      </c>
      <c r="H208" s="186">
        <f t="shared" si="14"/>
        <v>0</v>
      </c>
      <c r="I208" s="186">
        <f t="shared" si="14"/>
        <v>0</v>
      </c>
      <c r="J208" s="233"/>
      <c r="K208" s="233"/>
      <c r="L208" s="233"/>
      <c r="M208" s="235"/>
      <c r="N208" s="236"/>
      <c r="O208" s="235"/>
      <c r="P208" s="236"/>
      <c r="Q208" s="236"/>
      <c r="R208" s="236"/>
      <c r="S208" s="237"/>
      <c r="T208" s="236"/>
      <c r="U208" s="233"/>
      <c r="V208" s="233"/>
      <c r="W208" s="233"/>
      <c r="X208" s="238"/>
    </row>
    <row r="209" spans="1:24" s="3" customFormat="1">
      <c r="A209" s="233"/>
      <c r="B209" s="66" t="s">
        <v>144</v>
      </c>
      <c r="C209" s="60" t="str">
        <f>IF(comparador4=0,"Do not fill this line",comparador4)</f>
        <v>Do not fill this line</v>
      </c>
      <c r="D209" s="185"/>
      <c r="E209" s="185"/>
      <c r="F209" s="185"/>
      <c r="G209" s="186">
        <f t="shared" si="13"/>
        <v>0</v>
      </c>
      <c r="H209" s="186">
        <f t="shared" si="14"/>
        <v>0</v>
      </c>
      <c r="I209" s="186">
        <f t="shared" si="14"/>
        <v>0</v>
      </c>
      <c r="J209" s="233"/>
      <c r="K209" s="233"/>
      <c r="L209" s="233"/>
      <c r="M209" s="235"/>
      <c r="N209" s="236"/>
      <c r="O209" s="235"/>
      <c r="P209" s="236"/>
      <c r="Q209" s="236"/>
      <c r="R209" s="236"/>
      <c r="S209" s="237"/>
      <c r="T209" s="236"/>
      <c r="U209" s="233"/>
      <c r="V209" s="233"/>
      <c r="W209" s="233"/>
      <c r="X209" s="238"/>
    </row>
    <row r="210" spans="1:24" s="3" customFormat="1">
      <c r="A210" s="233"/>
      <c r="B210" s="66" t="s">
        <v>145</v>
      </c>
      <c r="C210" s="60" t="str">
        <f>IF(comparador5=0,"Do not fill this line",comparador5)</f>
        <v>Do not fill this line</v>
      </c>
      <c r="D210" s="185"/>
      <c r="E210" s="185"/>
      <c r="F210" s="185"/>
      <c r="G210" s="186">
        <f t="shared" si="13"/>
        <v>0</v>
      </c>
      <c r="H210" s="186">
        <f t="shared" si="14"/>
        <v>0</v>
      </c>
      <c r="I210" s="186">
        <f t="shared" si="14"/>
        <v>0</v>
      </c>
      <c r="J210" s="233"/>
      <c r="K210" s="233"/>
      <c r="L210" s="233"/>
      <c r="M210" s="235"/>
      <c r="N210" s="236"/>
      <c r="O210" s="235"/>
      <c r="P210" s="236"/>
      <c r="Q210" s="236"/>
      <c r="R210" s="236"/>
      <c r="S210" s="237"/>
      <c r="T210" s="236"/>
      <c r="U210" s="233"/>
      <c r="V210" s="233"/>
      <c r="W210" s="233"/>
      <c r="X210" s="238"/>
    </row>
    <row r="211" spans="1:24" s="3" customFormat="1">
      <c r="A211" s="233"/>
      <c r="B211" s="66" t="s">
        <v>146</v>
      </c>
      <c r="C211" s="60" t="str">
        <f>IF(comparador6=0,"Do not fill this line",comparador6)</f>
        <v>Do not fill this line</v>
      </c>
      <c r="D211" s="185"/>
      <c r="E211" s="185"/>
      <c r="F211" s="185"/>
      <c r="G211" s="186">
        <f t="shared" si="13"/>
        <v>0</v>
      </c>
      <c r="H211" s="186">
        <f t="shared" si="14"/>
        <v>0</v>
      </c>
      <c r="I211" s="186">
        <f t="shared" si="14"/>
        <v>0</v>
      </c>
      <c r="J211" s="233"/>
      <c r="K211" s="233"/>
      <c r="L211" s="233"/>
      <c r="M211" s="235"/>
      <c r="N211" s="236"/>
      <c r="O211" s="235"/>
      <c r="P211" s="236"/>
      <c r="Q211" s="236"/>
      <c r="R211" s="236"/>
      <c r="S211" s="237"/>
      <c r="T211" s="236"/>
      <c r="U211" s="233"/>
      <c r="V211" s="233"/>
      <c r="W211" s="233"/>
      <c r="X211" s="238"/>
    </row>
    <row r="212" spans="1:24" s="3" customFormat="1">
      <c r="A212" s="233"/>
      <c r="B212" s="66" t="s">
        <v>147</v>
      </c>
      <c r="C212" s="60" t="str">
        <f>IF(comparador7=0,"Do not fill this line",comparador7)</f>
        <v>Do not fill this line</v>
      </c>
      <c r="D212" s="185"/>
      <c r="E212" s="185"/>
      <c r="F212" s="185"/>
      <c r="G212" s="186">
        <f t="shared" si="13"/>
        <v>0</v>
      </c>
      <c r="H212" s="186">
        <f t="shared" si="14"/>
        <v>0</v>
      </c>
      <c r="I212" s="186">
        <f t="shared" si="14"/>
        <v>0</v>
      </c>
      <c r="J212" s="233"/>
      <c r="K212" s="233"/>
      <c r="L212" s="233"/>
      <c r="M212" s="235"/>
      <c r="N212" s="236"/>
      <c r="O212" s="235"/>
      <c r="P212" s="236"/>
      <c r="Q212" s="236"/>
      <c r="R212" s="236"/>
      <c r="S212" s="237"/>
      <c r="T212" s="236"/>
      <c r="U212" s="233"/>
      <c r="V212" s="233"/>
      <c r="W212" s="233"/>
      <c r="X212" s="238"/>
    </row>
    <row r="213" spans="1:24" s="3" customFormat="1">
      <c r="A213" s="233"/>
      <c r="B213" s="66" t="s">
        <v>148</v>
      </c>
      <c r="C213" s="60" t="str">
        <f>IF(comparador8=0,"Do not fill this line",comparador8)</f>
        <v>Do not fill this line</v>
      </c>
      <c r="D213" s="185"/>
      <c r="E213" s="185"/>
      <c r="F213" s="185"/>
      <c r="G213" s="186">
        <f t="shared" si="13"/>
        <v>0</v>
      </c>
      <c r="H213" s="186">
        <f t="shared" si="14"/>
        <v>0</v>
      </c>
      <c r="I213" s="186">
        <f t="shared" si="14"/>
        <v>0</v>
      </c>
      <c r="J213" s="233"/>
      <c r="K213" s="233"/>
      <c r="L213" s="233"/>
      <c r="M213" s="235"/>
      <c r="N213" s="236"/>
      <c r="O213" s="235"/>
      <c r="P213" s="236"/>
      <c r="Q213" s="236"/>
      <c r="R213" s="236"/>
      <c r="S213" s="237"/>
      <c r="T213" s="236"/>
      <c r="U213" s="233"/>
      <c r="V213" s="233"/>
      <c r="W213" s="233"/>
      <c r="X213" s="238"/>
    </row>
    <row r="214" spans="1:24" s="3" customFormat="1">
      <c r="A214" s="233"/>
      <c r="B214" s="66" t="s">
        <v>149</v>
      </c>
      <c r="C214" s="60" t="str">
        <f>IF(comparador9=0,"Do not fill this line",comparador9)</f>
        <v>Do not fill this line</v>
      </c>
      <c r="D214" s="185"/>
      <c r="E214" s="185"/>
      <c r="F214" s="185"/>
      <c r="G214" s="186">
        <f t="shared" si="13"/>
        <v>0</v>
      </c>
      <c r="H214" s="186">
        <f t="shared" si="14"/>
        <v>0</v>
      </c>
      <c r="I214" s="186">
        <f t="shared" si="14"/>
        <v>0</v>
      </c>
      <c r="J214" s="233"/>
      <c r="K214" s="233"/>
      <c r="L214" s="233"/>
      <c r="M214" s="235"/>
      <c r="N214" s="236"/>
      <c r="O214" s="235"/>
      <c r="P214" s="236"/>
      <c r="Q214" s="236"/>
      <c r="R214" s="236"/>
      <c r="S214" s="237"/>
      <c r="T214" s="236"/>
      <c r="U214" s="233"/>
      <c r="V214" s="233"/>
      <c r="W214" s="233"/>
      <c r="X214" s="238"/>
    </row>
    <row r="215" spans="1:24" s="3" customFormat="1">
      <c r="A215" s="233"/>
      <c r="B215" s="66" t="s">
        <v>150</v>
      </c>
      <c r="C215" s="60" t="str">
        <f>IF(comparador10=0,"Do not fill this line",comparador10)</f>
        <v>Do not fill this line</v>
      </c>
      <c r="D215" s="185"/>
      <c r="E215" s="185"/>
      <c r="F215" s="185"/>
      <c r="G215" s="186">
        <f t="shared" si="13"/>
        <v>0</v>
      </c>
      <c r="H215" s="186">
        <f t="shared" si="14"/>
        <v>0</v>
      </c>
      <c r="I215" s="186">
        <f t="shared" si="14"/>
        <v>0</v>
      </c>
      <c r="J215" s="233"/>
      <c r="K215" s="233"/>
      <c r="L215" s="233"/>
      <c r="M215" s="235"/>
      <c r="N215" s="236"/>
      <c r="O215" s="235"/>
      <c r="P215" s="236"/>
      <c r="Q215" s="236"/>
      <c r="R215" s="236"/>
      <c r="S215" s="237"/>
      <c r="T215" s="236"/>
      <c r="U215" s="233"/>
      <c r="V215" s="233"/>
      <c r="W215" s="233"/>
      <c r="X215" s="238"/>
    </row>
    <row r="216" spans="1:24" s="3" customFormat="1">
      <c r="A216" s="233"/>
      <c r="B216" s="163"/>
      <c r="C216" s="83"/>
      <c r="D216" s="234"/>
      <c r="E216" s="11"/>
      <c r="F216" s="233"/>
      <c r="G216" s="233"/>
      <c r="H216" s="233"/>
      <c r="I216" s="233"/>
      <c r="J216" s="233"/>
      <c r="K216" s="233"/>
      <c r="L216" s="233"/>
      <c r="M216" s="235"/>
      <c r="N216" s="236"/>
      <c r="O216" s="235"/>
      <c r="P216" s="236"/>
      <c r="Q216" s="236"/>
      <c r="R216" s="236"/>
      <c r="S216" s="237"/>
      <c r="T216" s="236"/>
      <c r="U216" s="233"/>
      <c r="V216" s="233"/>
      <c r="W216" s="233"/>
      <c r="X216" s="238"/>
    </row>
    <row r="217" spans="1:24" s="3" customFormat="1">
      <c r="A217" s="233"/>
      <c r="B217" s="187"/>
      <c r="C217" s="11"/>
      <c r="D217" s="234"/>
      <c r="E217" s="11"/>
      <c r="F217" s="233"/>
      <c r="G217" s="233"/>
      <c r="H217" s="233"/>
      <c r="I217" s="233"/>
      <c r="J217" s="233"/>
      <c r="K217" s="233"/>
      <c r="L217" s="233"/>
      <c r="M217" s="235"/>
      <c r="N217" s="236"/>
      <c r="O217" s="235"/>
      <c r="P217" s="236"/>
      <c r="Q217" s="236"/>
      <c r="R217" s="236"/>
      <c r="S217" s="237"/>
      <c r="T217" s="236"/>
      <c r="U217" s="233"/>
      <c r="V217" s="233"/>
      <c r="W217" s="233"/>
      <c r="X217" s="238"/>
    </row>
    <row r="228" spans="2:13">
      <c r="B228" s="7"/>
      <c r="C228" s="7"/>
      <c r="D228" s="7"/>
      <c r="E228" s="7"/>
      <c r="F228" s="7"/>
      <c r="G228" s="7"/>
      <c r="H228" s="7"/>
      <c r="I228" s="7"/>
      <c r="J228" s="7"/>
      <c r="K228" s="7"/>
      <c r="L228" s="142"/>
      <c r="M228" s="142"/>
    </row>
    <row r="229" spans="2:13">
      <c r="B229" s="65"/>
      <c r="C229" s="65"/>
      <c r="D229" s="65"/>
      <c r="E229" s="65"/>
      <c r="F229" s="65"/>
      <c r="G229" s="65"/>
      <c r="H229" s="65"/>
      <c r="I229" s="65"/>
      <c r="J229" s="65"/>
      <c r="K229" s="65"/>
      <c r="L229" s="65"/>
      <c r="M229" s="65"/>
    </row>
    <row r="230" spans="2:13">
      <c r="B230" s="406" t="s">
        <v>77</v>
      </c>
      <c r="C230" s="406"/>
      <c r="D230" s="406"/>
      <c r="E230" s="406"/>
      <c r="F230" s="406"/>
      <c r="G230" s="406"/>
      <c r="H230" s="406"/>
      <c r="I230" s="406"/>
      <c r="J230" s="406"/>
      <c r="K230" s="406"/>
      <c r="L230" s="406"/>
      <c r="M230" s="406"/>
    </row>
    <row r="231" spans="2:13">
      <c r="B231" s="406"/>
      <c r="C231" s="406"/>
      <c r="D231" s="406"/>
      <c r="E231" s="406"/>
      <c r="F231" s="406"/>
      <c r="G231" s="406"/>
      <c r="H231" s="406"/>
      <c r="I231" s="406"/>
      <c r="J231" s="406"/>
      <c r="K231" s="406"/>
      <c r="L231" s="406"/>
      <c r="M231" s="406"/>
    </row>
    <row r="232" spans="2:13" s="3" customFormat="1" ht="85.95" customHeight="1">
      <c r="B232" s="405" t="e" vm="1">
        <v>#VALUE!</v>
      </c>
      <c r="C232" s="405"/>
      <c r="D232" s="405"/>
      <c r="E232" s="405"/>
      <c r="F232" s="405"/>
      <c r="G232" s="405"/>
      <c r="H232" s="405"/>
      <c r="I232" s="405"/>
      <c r="J232" s="405"/>
      <c r="K232" s="405"/>
      <c r="L232" s="405"/>
      <c r="M232" s="405"/>
    </row>
  </sheetData>
  <sheetProtection algorithmName="SHA-512" hashValue="YMD1BZL3/G0UOIkTlnysnG3d1LS8eVuydjjKCvPlkV7P4cSTrvJfUPRNuCz/w6TPtP3hFsyJju8t0CX7exOsIg==" saltValue="sNfFz4OotFykXId28xtgeA==" spinCount="100000" sheet="1" formatCells="0" formatColumns="0" formatRows="0"/>
  <mergeCells count="22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 ref="B157:C157"/>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B114:C114"/>
    <mergeCell ref="D114:E114"/>
    <mergeCell ref="B115:C115"/>
    <mergeCell ref="D115:E115"/>
    <mergeCell ref="B116:C116"/>
    <mergeCell ref="D116:E116"/>
    <mergeCell ref="B112:C112"/>
    <mergeCell ref="D112:E112"/>
    <mergeCell ref="B113:C113"/>
    <mergeCell ref="D113:E113"/>
    <mergeCell ref="D120:E120"/>
    <mergeCell ref="B121:C121"/>
    <mergeCell ref="D121:E121"/>
    <mergeCell ref="B122:C122"/>
    <mergeCell ref="D122:E122"/>
    <mergeCell ref="B117:C117"/>
    <mergeCell ref="D117:E117"/>
    <mergeCell ref="B118:C118"/>
    <mergeCell ref="D118:E118"/>
    <mergeCell ref="B119:C119"/>
    <mergeCell ref="D119:E119"/>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79:C179"/>
    <mergeCell ref="D179:E179"/>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D67:E67"/>
    <mergeCell ref="D68:E68"/>
    <mergeCell ref="B65:C65"/>
    <mergeCell ref="B132:C132"/>
    <mergeCell ref="D132:E132"/>
    <mergeCell ref="B133:C133"/>
    <mergeCell ref="D133:E133"/>
    <mergeCell ref="B134:C134"/>
    <mergeCell ref="D134:E134"/>
    <mergeCell ref="B129:C129"/>
    <mergeCell ref="D129:E129"/>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B66:C66"/>
    <mergeCell ref="B67:C67"/>
    <mergeCell ref="B68:C68"/>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B54:C54"/>
    <mergeCell ref="D54:E54"/>
    <mergeCell ref="D55:E55"/>
    <mergeCell ref="D56:E56"/>
    <mergeCell ref="D58:E58"/>
    <mergeCell ref="D59:E59"/>
    <mergeCell ref="D60:E60"/>
    <mergeCell ref="D61:E61"/>
    <mergeCell ref="D62:E62"/>
    <mergeCell ref="B57:C57"/>
    <mergeCell ref="D57:E57"/>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D87:E87"/>
    <mergeCell ref="B230:M231"/>
    <mergeCell ref="B232:M232"/>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s>
  <phoneticPr fontId="2" type="noConversion"/>
  <conditionalFormatting sqref="D202:F215">
    <cfRule type="expression" dxfId="41" priority="3">
      <formula>$C202="Do not fill this line"</formula>
    </cfRule>
  </conditionalFormatting>
  <conditionalFormatting sqref="D203:F203">
    <cfRule type="expression" dxfId="40" priority="2" stopIfTrue="1">
      <formula>$B203="Do not fill this line"</formula>
    </cfRule>
  </conditionalFormatting>
  <conditionalFormatting sqref="D204:F204">
    <cfRule type="expression" dxfId="39" priority="1" stopIfTrue="1">
      <formula>$B204="Do not fill this line"</formula>
    </cfRule>
  </conditionalFormatting>
  <dataValidations count="1">
    <dataValidation type="list" allowBlank="1" showInputMessage="1" showErrorMessage="1" sqref="D198" xr:uid="{5325D9D5-22F4-48A4-BF54-82E62C1FF21B}">
      <formula1>"Yes,No"</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Definitions!$S$5:$S$18</xm:f>
          </x14:formula1>
          <xm:sqref>B113:C142 B55:C68 B76:C105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41"/>
  <sheetViews>
    <sheetView showGridLines="0" showRowColHeaders="0" zoomScaleNormal="100" workbookViewId="0">
      <selection activeCell="T24" sqref="T24"/>
    </sheetView>
  </sheetViews>
  <sheetFormatPr defaultColWidth="8.77734375" defaultRowHeight="14.4"/>
  <cols>
    <col min="1" max="1" width="4.33203125" style="3" customWidth="1"/>
    <col min="2" max="2" width="4" style="3" customWidth="1"/>
    <col min="3" max="3" width="39.44140625" style="3" customWidth="1"/>
    <col min="4" max="8" width="9.77734375" style="3" customWidth="1"/>
    <col min="9" max="9" width="19.109375" style="3" customWidth="1"/>
    <col min="10" max="10" width="11" style="172" customWidth="1"/>
    <col min="11" max="11" width="11.33203125" style="3" customWidth="1"/>
    <col min="12" max="12" width="11.44140625" style="3" customWidth="1"/>
    <col min="13" max="13" width="11.77734375" style="4" customWidth="1"/>
    <col min="14" max="14" width="6.33203125" style="4" customWidth="1"/>
    <col min="15" max="16" width="6.33203125" style="3" customWidth="1"/>
    <col min="17" max="17" width="27" style="305" customWidth="1"/>
    <col min="18" max="21" width="10.33203125" style="305" customWidth="1"/>
    <col min="22" max="22" width="2.6640625" style="305" customWidth="1"/>
    <col min="23" max="23" width="2.6640625" style="3" customWidth="1"/>
    <col min="24" max="24" width="25.77734375" style="305" customWidth="1"/>
    <col min="25" max="28" width="10.33203125" style="305" customWidth="1"/>
    <col min="29" max="29" width="2.6640625" style="305" customWidth="1"/>
    <col min="30" max="30" width="2.6640625" style="3" customWidth="1"/>
    <col min="31" max="31" width="25.77734375" style="305" customWidth="1"/>
    <col min="32" max="35" width="10.33203125" style="3" customWidth="1"/>
    <col min="36" max="37" width="2.6640625" style="3" customWidth="1"/>
    <col min="38" max="38" width="25.77734375" style="3" customWidth="1"/>
    <col min="39" max="39" width="11.44140625" style="3" customWidth="1"/>
    <col min="40" max="40" width="11.109375" style="3" customWidth="1"/>
    <col min="41" max="41" width="12" style="3" customWidth="1"/>
    <col min="42" max="42" width="11.44140625" style="3" customWidth="1"/>
    <col min="43" max="43" width="12.44140625" style="3" customWidth="1"/>
    <col min="44" max="16384" width="8.77734375" style="3"/>
  </cols>
  <sheetData>
    <row r="1" spans="1:31" s="130" customFormat="1" ht="33.6">
      <c r="A1" s="127"/>
      <c r="B1" s="128" t="str">
        <f>Introduction!$B$1</f>
        <v>Budget impact analysis of PET-CT for treatment of small-cell lung cancer</v>
      </c>
      <c r="C1" s="128"/>
      <c r="D1" s="129"/>
      <c r="E1" s="127"/>
      <c r="F1" s="127"/>
      <c r="G1" s="127"/>
      <c r="H1" s="127"/>
      <c r="I1" s="127"/>
      <c r="J1" s="127"/>
      <c r="K1" s="127"/>
      <c r="L1" s="127"/>
      <c r="M1" s="217"/>
      <c r="N1" s="217"/>
      <c r="O1" s="127"/>
      <c r="P1" s="127"/>
      <c r="Q1" s="129"/>
      <c r="R1" s="129"/>
      <c r="S1" s="129"/>
      <c r="T1" s="129"/>
      <c r="U1" s="129"/>
      <c r="V1" s="129"/>
      <c r="W1" s="127"/>
      <c r="X1" s="129"/>
      <c r="Y1" s="129"/>
      <c r="Z1" s="129"/>
      <c r="AA1" s="129"/>
      <c r="AB1" s="129"/>
      <c r="AC1" s="129"/>
      <c r="AD1" s="127"/>
      <c r="AE1" s="129"/>
    </row>
    <row r="2" spans="1:31" s="130" customFormat="1" ht="18">
      <c r="A2" s="127"/>
      <c r="B2" s="131"/>
      <c r="C2" s="131"/>
      <c r="D2" s="132"/>
      <c r="E2" s="133"/>
      <c r="F2" s="133"/>
      <c r="G2" s="133"/>
      <c r="H2" s="133"/>
      <c r="I2" s="133"/>
      <c r="J2" s="133"/>
      <c r="K2" s="133"/>
      <c r="L2" s="133"/>
      <c r="M2" s="217"/>
      <c r="N2" s="217"/>
      <c r="O2" s="127"/>
      <c r="P2" s="127"/>
      <c r="Q2" s="129"/>
      <c r="R2" s="129"/>
      <c r="S2" s="129"/>
      <c r="T2" s="129"/>
      <c r="U2" s="129"/>
      <c r="V2" s="129"/>
      <c r="W2" s="127"/>
      <c r="X2" s="129"/>
      <c r="Y2" s="129"/>
      <c r="Z2" s="129"/>
      <c r="AA2" s="129"/>
      <c r="AB2" s="129"/>
      <c r="AC2" s="129"/>
      <c r="AD2" s="127"/>
      <c r="AE2" s="129"/>
    </row>
    <row r="3" spans="1:31" s="134" customFormat="1" ht="4.2">
      <c r="D3" s="135"/>
      <c r="M3" s="218"/>
      <c r="N3" s="218"/>
      <c r="Q3" s="135"/>
      <c r="R3" s="135"/>
      <c r="S3" s="135"/>
      <c r="T3" s="135"/>
      <c r="U3" s="135"/>
      <c r="V3" s="135"/>
      <c r="X3" s="135"/>
      <c r="Y3" s="135"/>
      <c r="Z3" s="135"/>
      <c r="AA3" s="135"/>
      <c r="AB3" s="135"/>
      <c r="AC3" s="135"/>
      <c r="AE3" s="135"/>
    </row>
    <row r="4" spans="1:31">
      <c r="A4" s="9"/>
      <c r="B4" s="9"/>
      <c r="C4" s="9"/>
      <c r="D4" s="9"/>
      <c r="E4" s="9"/>
      <c r="F4" s="9"/>
      <c r="G4" s="9"/>
      <c r="H4" s="9"/>
      <c r="I4" s="9"/>
      <c r="J4" s="9"/>
      <c r="K4" s="9"/>
      <c r="L4" s="9"/>
      <c r="O4" s="9"/>
      <c r="P4" s="9"/>
      <c r="Q4" s="11"/>
      <c r="R4" s="11"/>
      <c r="S4" s="11"/>
      <c r="T4" s="11"/>
      <c r="U4" s="11"/>
      <c r="V4" s="11"/>
      <c r="W4" s="9"/>
      <c r="X4" s="11"/>
      <c r="Y4" s="11"/>
      <c r="Z4" s="11"/>
      <c r="AA4" s="11"/>
      <c r="AB4" s="11"/>
      <c r="AC4" s="11"/>
      <c r="AD4" s="9"/>
      <c r="AE4" s="11"/>
    </row>
    <row r="5" spans="1:31" s="137" customFormat="1" ht="18">
      <c r="A5" s="136"/>
      <c r="C5" s="140" t="s">
        <v>198</v>
      </c>
      <c r="D5" s="138"/>
      <c r="F5" s="43"/>
      <c r="M5" s="187"/>
      <c r="N5" s="187"/>
      <c r="Q5" s="138"/>
      <c r="R5" s="138"/>
      <c r="S5" s="138"/>
      <c r="T5" s="138"/>
      <c r="U5" s="138"/>
      <c r="V5" s="138"/>
      <c r="X5" s="138"/>
      <c r="Y5" s="138"/>
      <c r="Z5" s="138"/>
      <c r="AA5" s="138"/>
      <c r="AB5" s="138"/>
      <c r="AC5" s="138"/>
      <c r="AE5" s="138"/>
    </row>
    <row r="6" spans="1:31" customFormat="1">
      <c r="C6" s="136" t="s">
        <v>199</v>
      </c>
      <c r="M6" s="283"/>
      <c r="N6" s="283"/>
      <c r="Q6" s="284"/>
      <c r="R6" s="284"/>
      <c r="S6" s="284"/>
      <c r="T6" s="284"/>
      <c r="U6" s="284"/>
      <c r="V6" s="284"/>
      <c r="X6" s="284"/>
      <c r="Y6" s="284"/>
      <c r="Z6" s="284"/>
      <c r="AA6" s="284"/>
      <c r="AB6" s="284"/>
      <c r="AC6" s="284"/>
      <c r="AE6" s="284"/>
    </row>
    <row r="7" spans="1:31" customFormat="1">
      <c r="C7" s="136" t="s">
        <v>200</v>
      </c>
      <c r="M7" s="283"/>
      <c r="N7" s="283"/>
      <c r="Q7" s="284"/>
      <c r="R7" s="284"/>
      <c r="S7" s="284"/>
      <c r="T7" s="284"/>
      <c r="U7" s="284"/>
      <c r="V7" s="284"/>
      <c r="X7" s="284"/>
      <c r="Y7" s="284"/>
      <c r="Z7" s="284"/>
      <c r="AA7" s="284"/>
      <c r="AB7" s="284"/>
      <c r="AC7" s="284"/>
      <c r="AE7" s="284"/>
    </row>
    <row r="8" spans="1:31">
      <c r="A8" s="9"/>
      <c r="B8" s="9"/>
      <c r="C8" s="136" t="s">
        <v>201</v>
      </c>
      <c r="D8" s="9"/>
      <c r="E8" s="11"/>
      <c r="F8" s="9"/>
      <c r="G8" s="9"/>
      <c r="H8" s="9"/>
      <c r="I8" s="9"/>
      <c r="K8" s="9"/>
      <c r="L8" s="9"/>
      <c r="O8" s="9"/>
      <c r="P8" s="9"/>
      <c r="Q8" s="11"/>
      <c r="R8" s="11"/>
      <c r="S8" s="11"/>
      <c r="T8" s="11"/>
      <c r="U8" s="11"/>
      <c r="V8" s="11"/>
      <c r="W8" s="9"/>
      <c r="X8" s="11"/>
      <c r="Y8" s="11"/>
      <c r="Z8" s="11"/>
      <c r="AA8" s="11"/>
      <c r="AB8" s="11"/>
      <c r="AC8" s="11"/>
      <c r="AD8" s="9"/>
      <c r="AE8" s="11"/>
    </row>
    <row r="9" spans="1:31">
      <c r="A9" s="9"/>
      <c r="B9" s="9"/>
      <c r="C9" s="4"/>
      <c r="D9" s="9"/>
      <c r="E9" s="11"/>
      <c r="F9" s="9"/>
      <c r="G9" s="9"/>
      <c r="H9" s="9"/>
      <c r="I9" s="9"/>
      <c r="K9" s="9"/>
      <c r="L9" s="9"/>
      <c r="O9" s="9"/>
      <c r="P9" s="9"/>
      <c r="Q9" s="11"/>
      <c r="R9" s="11"/>
      <c r="S9" s="11"/>
      <c r="T9" s="11"/>
      <c r="U9" s="11"/>
      <c r="V9" s="11"/>
      <c r="W9" s="9"/>
      <c r="X9" s="11"/>
      <c r="Y9" s="11"/>
      <c r="Z9" s="11"/>
      <c r="AA9" s="11"/>
      <c r="AB9" s="11"/>
      <c r="AC9" s="11"/>
      <c r="AD9" s="9"/>
      <c r="AE9" s="11"/>
    </row>
    <row r="10" spans="1:31">
      <c r="A10" s="9"/>
      <c r="B10" s="9"/>
      <c r="C10" s="448" t="s">
        <v>202</v>
      </c>
      <c r="D10" s="448"/>
      <c r="E10" s="448"/>
      <c r="F10" s="448"/>
      <c r="G10" s="448"/>
      <c r="H10" s="448"/>
      <c r="I10" s="9"/>
      <c r="K10" s="9"/>
      <c r="L10" s="9"/>
      <c r="O10" s="9"/>
      <c r="P10" s="9"/>
      <c r="Q10" s="11"/>
      <c r="R10" s="11"/>
      <c r="S10" s="11"/>
      <c r="T10" s="11"/>
      <c r="U10" s="11"/>
      <c r="V10" s="11"/>
      <c r="W10" s="9"/>
      <c r="X10" s="11"/>
      <c r="Y10" s="11"/>
      <c r="Z10" s="11"/>
      <c r="AA10" s="11"/>
      <c r="AB10" s="11"/>
      <c r="AC10" s="11"/>
      <c r="AD10" s="9"/>
      <c r="AE10" s="11"/>
    </row>
    <row r="11" spans="1:31">
      <c r="A11" s="9"/>
      <c r="B11" s="9"/>
      <c r="C11" s="285" t="str">
        <f>IF(D12=0,"Informe a resposta para cada ano"," ")</f>
        <v xml:space="preserve"> </v>
      </c>
      <c r="D11" s="189" t="s">
        <v>193</v>
      </c>
      <c r="E11" s="189" t="s">
        <v>194</v>
      </c>
      <c r="F11" s="189" t="s">
        <v>195</v>
      </c>
      <c r="G11" s="189" t="s">
        <v>197</v>
      </c>
      <c r="H11" s="189" t="s">
        <v>196</v>
      </c>
      <c r="I11" s="9"/>
      <c r="K11" s="9"/>
      <c r="L11" s="9"/>
      <c r="O11" s="9"/>
      <c r="P11" s="9"/>
      <c r="Q11" s="11"/>
      <c r="R11" s="11"/>
      <c r="S11" s="11"/>
      <c r="T11" s="11"/>
      <c r="U11" s="11"/>
      <c r="V11" s="11"/>
      <c r="W11" s="9"/>
      <c r="X11" s="11"/>
      <c r="Y11" s="11"/>
      <c r="Z11" s="11"/>
      <c r="AA11" s="11"/>
      <c r="AB11" s="11"/>
      <c r="AC11" s="11"/>
      <c r="AD11" s="9"/>
      <c r="AE11" s="11"/>
    </row>
    <row r="12" spans="1:31">
      <c r="A12" s="9"/>
      <c r="B12" s="9"/>
      <c r="C12" s="10" t="str">
        <f>IF(intervencao1=0,"Do not fill this line",intervencao1)</f>
        <v>PET-CT</v>
      </c>
      <c r="D12" s="212">
        <v>1</v>
      </c>
      <c r="E12" s="212"/>
      <c r="F12" s="212"/>
      <c r="G12" s="212"/>
      <c r="H12" s="212"/>
      <c r="I12" s="286" t="s">
        <v>204</v>
      </c>
      <c r="K12" s="9"/>
      <c r="L12" s="9"/>
      <c r="O12" s="9"/>
      <c r="P12" s="9"/>
      <c r="Q12" s="11"/>
      <c r="R12" s="11"/>
      <c r="S12" s="11"/>
      <c r="T12" s="11"/>
      <c r="U12" s="11"/>
      <c r="V12" s="11"/>
      <c r="W12" s="9"/>
      <c r="X12" s="11"/>
      <c r="Y12" s="11"/>
      <c r="Z12" s="11"/>
      <c r="AA12" s="11"/>
      <c r="AB12" s="11"/>
      <c r="AC12" s="11"/>
      <c r="AD12" s="9"/>
      <c r="AE12" s="11"/>
    </row>
    <row r="13" spans="1:31">
      <c r="A13" s="9"/>
      <c r="B13" s="9"/>
      <c r="C13" s="10" t="str">
        <f>IF(intervencao2=0,"Do not fill this line",intervencao2)</f>
        <v>Do not fill this line</v>
      </c>
      <c r="D13" s="212"/>
      <c r="E13" s="212"/>
      <c r="F13" s="212"/>
      <c r="G13" s="212"/>
      <c r="H13" s="212"/>
      <c r="I13" s="286" t="s">
        <v>204</v>
      </c>
      <c r="K13" s="9"/>
      <c r="L13" s="9"/>
      <c r="O13" s="9"/>
      <c r="P13" s="9"/>
      <c r="Q13" s="11"/>
      <c r="R13" s="11"/>
      <c r="S13" s="11"/>
      <c r="T13" s="11"/>
      <c r="U13" s="11"/>
      <c r="V13" s="11"/>
      <c r="W13" s="9"/>
      <c r="X13" s="11"/>
      <c r="Y13" s="11"/>
      <c r="Z13" s="11"/>
      <c r="AA13" s="11"/>
      <c r="AB13" s="11"/>
      <c r="AC13" s="11"/>
      <c r="AD13" s="9"/>
      <c r="AE13" s="11"/>
    </row>
    <row r="14" spans="1:31">
      <c r="A14" s="9"/>
      <c r="B14" s="9"/>
      <c r="C14" s="10" t="str">
        <f>IF(intervencao3=0,"Do not fill this line",intervencao3)</f>
        <v>Do not fill this line</v>
      </c>
      <c r="D14" s="212"/>
      <c r="E14" s="212"/>
      <c r="F14" s="212"/>
      <c r="G14" s="212"/>
      <c r="H14" s="212"/>
      <c r="I14" s="286" t="s">
        <v>204</v>
      </c>
      <c r="K14" s="9"/>
      <c r="L14" s="9"/>
      <c r="O14" s="9"/>
      <c r="P14" s="9"/>
      <c r="Q14" s="11"/>
      <c r="R14" s="11"/>
      <c r="S14" s="11"/>
      <c r="T14" s="11"/>
      <c r="U14" s="11"/>
      <c r="V14" s="11"/>
      <c r="W14" s="9"/>
      <c r="X14" s="11"/>
      <c r="Y14" s="11"/>
      <c r="Z14" s="11"/>
      <c r="AA14" s="11"/>
      <c r="AB14" s="11"/>
      <c r="AC14" s="11"/>
      <c r="AD14" s="9"/>
      <c r="AE14" s="11"/>
    </row>
    <row r="15" spans="1:31">
      <c r="A15" s="9"/>
      <c r="B15" s="9"/>
      <c r="C15" s="10" t="str">
        <f>IF(intervencao4=0,"Do not fill this line",intervencao4)</f>
        <v>Do not fill this line</v>
      </c>
      <c r="D15" s="212"/>
      <c r="E15" s="212"/>
      <c r="F15" s="212"/>
      <c r="G15" s="212"/>
      <c r="H15" s="212"/>
      <c r="I15" s="286" t="s">
        <v>204</v>
      </c>
      <c r="K15" s="9"/>
      <c r="L15" s="9"/>
      <c r="O15" s="9"/>
      <c r="P15" s="9"/>
      <c r="Q15" s="11"/>
      <c r="R15" s="11"/>
      <c r="S15" s="11"/>
      <c r="T15" s="11"/>
      <c r="U15" s="11"/>
      <c r="V15" s="11"/>
      <c r="W15" s="9"/>
      <c r="X15" s="11"/>
      <c r="Y15" s="11"/>
      <c r="Z15" s="11"/>
      <c r="AA15" s="11"/>
      <c r="AB15" s="11"/>
      <c r="AC15" s="11"/>
      <c r="AD15" s="9"/>
      <c r="AE15" s="11"/>
    </row>
    <row r="16" spans="1:31">
      <c r="A16" s="9"/>
      <c r="B16" s="9"/>
      <c r="C16" s="10"/>
      <c r="D16" s="9"/>
      <c r="E16" s="11"/>
      <c r="F16" s="9"/>
      <c r="G16" s="9"/>
      <c r="H16" s="9"/>
      <c r="I16" s="9"/>
      <c r="K16" s="9"/>
      <c r="L16" s="9"/>
      <c r="O16" s="9"/>
      <c r="P16" s="9"/>
      <c r="Q16" s="11"/>
      <c r="R16" s="11"/>
      <c r="S16" s="11"/>
      <c r="T16" s="11"/>
      <c r="U16" s="11"/>
      <c r="V16" s="11"/>
      <c r="W16" s="9"/>
      <c r="X16" s="11"/>
      <c r="Y16" s="11"/>
      <c r="Z16" s="11"/>
      <c r="AA16" s="11"/>
      <c r="AB16" s="11"/>
      <c r="AC16" s="11"/>
      <c r="AD16" s="9"/>
      <c r="AE16" s="11"/>
    </row>
    <row r="17" spans="2:31">
      <c r="B17" s="9"/>
      <c r="C17" s="448" t="s">
        <v>203</v>
      </c>
      <c r="D17" s="448"/>
      <c r="E17" s="448"/>
      <c r="F17" s="448"/>
      <c r="G17" s="448"/>
      <c r="H17" s="448"/>
      <c r="I17" s="9"/>
      <c r="K17" s="9"/>
      <c r="L17" s="9"/>
      <c r="O17" s="9"/>
      <c r="P17" s="9"/>
      <c r="Q17" s="11"/>
      <c r="R17" s="11"/>
      <c r="S17" s="11"/>
      <c r="T17" s="11"/>
      <c r="U17" s="11"/>
      <c r="V17" s="11"/>
      <c r="W17" s="9"/>
      <c r="X17" s="11"/>
      <c r="Y17" s="11"/>
      <c r="Z17" s="11"/>
      <c r="AA17" s="11"/>
      <c r="AB17" s="11"/>
      <c r="AC17" s="11"/>
      <c r="AD17" s="9"/>
      <c r="AE17" s="11"/>
    </row>
    <row r="18" spans="2:31">
      <c r="B18" s="9"/>
      <c r="C18" s="285" t="str">
        <f>IF(D19=0,"Informe a resposta para cada ano"," ")</f>
        <v xml:space="preserve"> </v>
      </c>
      <c r="D18" s="189" t="s">
        <v>193</v>
      </c>
      <c r="E18" s="189" t="s">
        <v>194</v>
      </c>
      <c r="F18" s="189" t="s">
        <v>195</v>
      </c>
      <c r="G18" s="189" t="s">
        <v>197</v>
      </c>
      <c r="H18" s="189" t="s">
        <v>196</v>
      </c>
      <c r="I18" s="9"/>
      <c r="K18" s="9"/>
      <c r="L18" s="9"/>
      <c r="O18" s="9"/>
      <c r="P18" s="9"/>
      <c r="Q18" s="11"/>
      <c r="R18" s="11"/>
      <c r="S18" s="11"/>
      <c r="T18" s="11"/>
      <c r="U18" s="11"/>
      <c r="V18" s="11"/>
      <c r="W18" s="9"/>
      <c r="X18" s="11"/>
      <c r="Y18" s="11"/>
      <c r="Z18" s="11"/>
      <c r="AA18" s="11"/>
      <c r="AB18" s="11"/>
      <c r="AC18" s="11"/>
      <c r="AD18" s="9"/>
      <c r="AE18" s="11"/>
    </row>
    <row r="19" spans="2:31">
      <c r="B19" s="9"/>
      <c r="C19" s="10" t="str">
        <f>IF(comparador1=0,"Do not fill this line",comparador1)</f>
        <v>CT scan + scintigraphy</v>
      </c>
      <c r="D19" s="212">
        <v>1</v>
      </c>
      <c r="E19" s="212"/>
      <c r="F19" s="212"/>
      <c r="G19" s="212"/>
      <c r="H19" s="212"/>
      <c r="I19" s="286" t="s">
        <v>204</v>
      </c>
      <c r="K19" s="9"/>
      <c r="L19" s="9"/>
      <c r="O19" s="9"/>
      <c r="P19" s="9"/>
      <c r="Q19" s="11"/>
      <c r="R19" s="11"/>
      <c r="S19" s="11"/>
      <c r="T19" s="11"/>
      <c r="U19" s="11"/>
      <c r="V19" s="11"/>
      <c r="W19" s="9"/>
      <c r="X19" s="11"/>
      <c r="Y19" s="11"/>
      <c r="Z19" s="11"/>
      <c r="AA19" s="11"/>
      <c r="AB19" s="11"/>
      <c r="AC19" s="11"/>
      <c r="AD19" s="9"/>
      <c r="AE19" s="11"/>
    </row>
    <row r="20" spans="2:31">
      <c r="B20" s="9"/>
      <c r="C20" s="10" t="str">
        <f>IF(comparador2=0,"Do not fill this line",comparador2)</f>
        <v>Do not fill this line</v>
      </c>
      <c r="D20" s="212"/>
      <c r="E20" s="212"/>
      <c r="F20" s="212"/>
      <c r="G20" s="212"/>
      <c r="H20" s="212"/>
      <c r="I20" s="286" t="s">
        <v>204</v>
      </c>
      <c r="K20" s="9"/>
      <c r="L20" s="9"/>
      <c r="O20" s="9"/>
      <c r="P20" s="9"/>
      <c r="Q20" s="11"/>
      <c r="R20" s="11"/>
      <c r="S20" s="11"/>
      <c r="T20" s="11"/>
      <c r="U20" s="11"/>
      <c r="V20" s="11"/>
      <c r="W20" s="9"/>
      <c r="X20" s="11"/>
      <c r="Y20" s="11"/>
      <c r="Z20" s="11"/>
      <c r="AA20" s="11"/>
      <c r="AB20" s="11"/>
      <c r="AC20" s="11"/>
      <c r="AD20" s="9"/>
      <c r="AE20" s="11"/>
    </row>
    <row r="21" spans="2:31">
      <c r="B21" s="9"/>
      <c r="C21" s="10" t="str">
        <f>IF(comparador3=0,"Do not fill this line",comparador3)</f>
        <v>Do not fill this line</v>
      </c>
      <c r="D21" s="212"/>
      <c r="E21" s="212"/>
      <c r="F21" s="212"/>
      <c r="G21" s="212"/>
      <c r="H21" s="212"/>
      <c r="I21" s="286" t="s">
        <v>204</v>
      </c>
      <c r="K21" s="9"/>
      <c r="L21" s="9"/>
      <c r="O21" s="9"/>
      <c r="P21" s="9"/>
      <c r="Q21" s="11"/>
      <c r="R21" s="11"/>
      <c r="S21" s="11"/>
      <c r="T21" s="11"/>
      <c r="U21" s="11"/>
      <c r="V21" s="11"/>
      <c r="W21" s="9"/>
      <c r="X21" s="11"/>
      <c r="Y21" s="11"/>
      <c r="Z21" s="11"/>
      <c r="AA21" s="11"/>
      <c r="AB21" s="11"/>
      <c r="AC21" s="11"/>
      <c r="AD21" s="9"/>
      <c r="AE21" s="11"/>
    </row>
    <row r="22" spans="2:31">
      <c r="B22" s="9"/>
      <c r="C22" s="10" t="str">
        <f>IF(comparador4=0,"Do not fill this line",comparador4)</f>
        <v>Do not fill this line</v>
      </c>
      <c r="D22" s="212"/>
      <c r="E22" s="212"/>
      <c r="F22" s="212"/>
      <c r="G22" s="212"/>
      <c r="H22" s="212"/>
      <c r="I22" s="286" t="s">
        <v>204</v>
      </c>
      <c r="K22" s="9"/>
      <c r="L22" s="9"/>
      <c r="O22" s="9"/>
      <c r="P22" s="9"/>
      <c r="Q22" s="11"/>
      <c r="R22" s="11"/>
      <c r="S22" s="11"/>
      <c r="T22" s="11"/>
      <c r="U22" s="11"/>
      <c r="V22" s="11"/>
      <c r="W22" s="9"/>
      <c r="X22" s="11"/>
      <c r="Y22" s="11"/>
      <c r="Z22" s="11"/>
      <c r="AA22" s="11"/>
      <c r="AB22" s="11"/>
      <c r="AC22" s="11"/>
      <c r="AD22" s="9"/>
      <c r="AE22" s="11"/>
    </row>
    <row r="23" spans="2:31">
      <c r="B23" s="9"/>
      <c r="C23" s="10" t="str">
        <f>IF(comparador5=0,"Do not fill this line",comparador5)</f>
        <v>Do not fill this line</v>
      </c>
      <c r="D23" s="212"/>
      <c r="E23" s="212"/>
      <c r="F23" s="212"/>
      <c r="G23" s="212"/>
      <c r="H23" s="212"/>
      <c r="I23" s="286" t="s">
        <v>204</v>
      </c>
      <c r="K23" s="9"/>
      <c r="L23" s="9"/>
      <c r="O23" s="9"/>
      <c r="P23" s="9"/>
      <c r="Q23" s="11"/>
      <c r="R23" s="11"/>
      <c r="S23" s="11"/>
      <c r="T23" s="11"/>
      <c r="U23" s="11"/>
      <c r="V23" s="11"/>
      <c r="W23" s="9"/>
      <c r="X23" s="11"/>
      <c r="Y23" s="11"/>
      <c r="Z23" s="11"/>
      <c r="AA23" s="11"/>
      <c r="AB23" s="11"/>
      <c r="AC23" s="11"/>
      <c r="AD23" s="9"/>
      <c r="AE23" s="11"/>
    </row>
    <row r="24" spans="2:31">
      <c r="B24" s="9"/>
      <c r="C24" s="10" t="str">
        <f>IF(comparador6=0,"Do not fill this line",comparador6)</f>
        <v>Do not fill this line</v>
      </c>
      <c r="D24" s="212"/>
      <c r="E24" s="212"/>
      <c r="F24" s="212"/>
      <c r="G24" s="212"/>
      <c r="H24" s="212"/>
      <c r="I24" s="286" t="s">
        <v>204</v>
      </c>
      <c r="K24" s="9"/>
      <c r="L24" s="9"/>
      <c r="O24" s="9"/>
      <c r="P24" s="9"/>
      <c r="Q24" s="11"/>
      <c r="R24" s="11"/>
      <c r="S24" s="11"/>
      <c r="T24" s="11"/>
      <c r="U24" s="11"/>
      <c r="V24" s="11"/>
      <c r="W24" s="9"/>
      <c r="X24" s="11"/>
      <c r="Y24" s="11"/>
      <c r="Z24" s="11"/>
      <c r="AA24" s="11"/>
      <c r="AB24" s="11"/>
      <c r="AC24" s="11"/>
      <c r="AD24" s="9"/>
      <c r="AE24" s="11"/>
    </row>
    <row r="25" spans="2:31">
      <c r="B25" s="9"/>
      <c r="C25" s="10" t="str">
        <f>IF(comparador7=0,"Do not fill this line",comparador7)</f>
        <v>Do not fill this line</v>
      </c>
      <c r="D25" s="212"/>
      <c r="E25" s="212"/>
      <c r="F25" s="212"/>
      <c r="G25" s="212"/>
      <c r="H25" s="212"/>
      <c r="I25" s="286" t="s">
        <v>204</v>
      </c>
      <c r="K25" s="9"/>
      <c r="L25" s="9"/>
      <c r="O25" s="9"/>
      <c r="P25" s="9"/>
      <c r="Q25" s="11"/>
      <c r="R25" s="11"/>
      <c r="S25" s="11"/>
      <c r="T25" s="11"/>
      <c r="U25" s="11"/>
      <c r="V25" s="11"/>
      <c r="W25" s="9"/>
      <c r="X25" s="11"/>
      <c r="Y25" s="11"/>
      <c r="Z25" s="11"/>
      <c r="AA25" s="11"/>
      <c r="AB25" s="11"/>
      <c r="AC25" s="11"/>
      <c r="AD25" s="9"/>
      <c r="AE25" s="11"/>
    </row>
    <row r="26" spans="2:31">
      <c r="B26" s="9"/>
      <c r="C26" s="10" t="str">
        <f>IF(comparador8=0,"Do not fill this line",comparador8)</f>
        <v>Do not fill this line</v>
      </c>
      <c r="D26" s="212"/>
      <c r="E26" s="212"/>
      <c r="F26" s="212"/>
      <c r="G26" s="212"/>
      <c r="H26" s="212"/>
      <c r="I26" s="286" t="s">
        <v>204</v>
      </c>
      <c r="K26" s="9"/>
      <c r="L26" s="9"/>
      <c r="O26" s="9"/>
      <c r="P26" s="9"/>
      <c r="Q26" s="11"/>
      <c r="R26" s="11"/>
      <c r="S26" s="11"/>
      <c r="T26" s="11"/>
      <c r="U26" s="11"/>
      <c r="V26" s="11"/>
      <c r="W26" s="9"/>
      <c r="X26" s="11"/>
      <c r="Y26" s="11"/>
      <c r="Z26" s="11"/>
      <c r="AA26" s="11"/>
      <c r="AB26" s="11"/>
      <c r="AC26" s="11"/>
      <c r="AD26" s="9"/>
      <c r="AE26" s="11"/>
    </row>
    <row r="27" spans="2:31">
      <c r="B27" s="9"/>
      <c r="C27" s="10" t="str">
        <f>IF(comparador9=0,"Do not fill this line",comparador9)</f>
        <v>Do not fill this line</v>
      </c>
      <c r="D27" s="212"/>
      <c r="E27" s="212"/>
      <c r="F27" s="212"/>
      <c r="G27" s="212"/>
      <c r="H27" s="212"/>
      <c r="I27" s="286" t="s">
        <v>204</v>
      </c>
      <c r="K27" s="9"/>
      <c r="L27" s="9"/>
      <c r="O27" s="9"/>
      <c r="P27" s="9"/>
      <c r="Q27" s="11"/>
      <c r="R27" s="11"/>
      <c r="S27" s="11"/>
      <c r="T27" s="11"/>
      <c r="U27" s="11"/>
      <c r="V27" s="11"/>
      <c r="W27" s="9"/>
      <c r="X27" s="11"/>
      <c r="Y27" s="11"/>
      <c r="Z27" s="11"/>
      <c r="AA27" s="11"/>
      <c r="AB27" s="11"/>
      <c r="AC27" s="11"/>
      <c r="AD27" s="9"/>
      <c r="AE27" s="11"/>
    </row>
    <row r="28" spans="2:31">
      <c r="B28" s="9"/>
      <c r="C28" s="10" t="str">
        <f>IF(comparador10=0,"Do not fill this line",comparador10)</f>
        <v>Do not fill this line</v>
      </c>
      <c r="D28" s="212"/>
      <c r="E28" s="212"/>
      <c r="F28" s="212"/>
      <c r="G28" s="212"/>
      <c r="H28" s="212"/>
      <c r="I28" s="286" t="s">
        <v>204</v>
      </c>
      <c r="K28" s="9"/>
      <c r="L28" s="9"/>
      <c r="O28" s="9"/>
      <c r="P28" s="9"/>
      <c r="Q28" s="11"/>
      <c r="R28" s="11"/>
      <c r="S28" s="11"/>
      <c r="T28" s="11"/>
      <c r="U28" s="11"/>
      <c r="V28" s="11"/>
      <c r="W28" s="9"/>
      <c r="X28" s="11"/>
      <c r="Y28" s="11"/>
      <c r="Z28" s="11"/>
      <c r="AA28" s="11"/>
      <c r="AB28" s="11"/>
      <c r="AC28" s="11"/>
      <c r="AD28" s="9"/>
      <c r="AE28" s="11"/>
    </row>
    <row r="29" spans="2:31">
      <c r="B29" s="9"/>
      <c r="C29" s="9"/>
      <c r="D29" s="9"/>
      <c r="E29" s="9"/>
      <c r="F29" s="9"/>
      <c r="G29" s="9"/>
      <c r="H29" s="9"/>
      <c r="I29" s="9"/>
      <c r="K29" s="9"/>
      <c r="L29" s="9"/>
      <c r="O29" s="9"/>
      <c r="P29" s="9"/>
      <c r="Q29" s="11"/>
      <c r="R29" s="11"/>
      <c r="S29" s="11"/>
      <c r="T29" s="11"/>
      <c r="U29" s="11"/>
      <c r="V29" s="11"/>
      <c r="W29" s="9"/>
      <c r="X29" s="11"/>
      <c r="Y29" s="11"/>
      <c r="Z29" s="11"/>
      <c r="AA29" s="11"/>
      <c r="AB29" s="11"/>
      <c r="AC29" s="11"/>
      <c r="AD29" s="9"/>
      <c r="AE29" s="11"/>
    </row>
    <row r="30" spans="2:31">
      <c r="B30" s="9"/>
      <c r="C30" s="9"/>
      <c r="D30" s="9"/>
      <c r="E30" s="9"/>
      <c r="F30" s="9"/>
      <c r="G30" s="9"/>
      <c r="H30" s="9"/>
      <c r="I30" s="9"/>
      <c r="K30" s="9"/>
      <c r="L30" s="9"/>
      <c r="O30" s="9"/>
      <c r="P30" s="9"/>
      <c r="Q30" s="11"/>
      <c r="R30" s="11"/>
      <c r="S30" s="11"/>
      <c r="T30" s="11"/>
      <c r="U30" s="11"/>
      <c r="V30" s="11"/>
      <c r="W30" s="9"/>
      <c r="X30" s="11"/>
      <c r="Y30" s="11"/>
      <c r="Z30" s="11"/>
      <c r="AA30" s="11"/>
      <c r="AB30" s="11"/>
      <c r="AC30" s="11"/>
      <c r="AD30" s="9"/>
      <c r="AE30" s="11"/>
    </row>
    <row r="31" spans="2:31" customFormat="1">
      <c r="C31" s="63"/>
      <c r="D31" s="7"/>
      <c r="E31" s="7"/>
      <c r="F31" s="7"/>
      <c r="G31" s="7"/>
      <c r="H31" s="7"/>
      <c r="I31" s="7"/>
      <c r="J31" s="7"/>
      <c r="K31" s="7"/>
      <c r="L31" s="7"/>
      <c r="M31" s="7"/>
      <c r="N31" s="7"/>
      <c r="O31" s="7"/>
      <c r="P31" s="7"/>
      <c r="Q31" s="287"/>
      <c r="R31" s="287"/>
      <c r="S31" s="287"/>
      <c r="T31" s="284"/>
      <c r="U31" s="284"/>
      <c r="V31" s="284"/>
      <c r="W31" s="7"/>
      <c r="X31" s="284"/>
      <c r="Y31" s="284"/>
      <c r="Z31" s="284"/>
      <c r="AA31" s="284"/>
      <c r="AB31" s="284"/>
      <c r="AC31" s="284"/>
      <c r="AE31" s="284"/>
    </row>
    <row r="32" spans="2:31" customFormat="1">
      <c r="C32" s="64"/>
      <c r="D32" s="65"/>
      <c r="E32" s="65"/>
      <c r="F32" s="65"/>
      <c r="G32" s="65"/>
      <c r="H32" s="65"/>
      <c r="I32" s="65"/>
      <c r="J32" s="65"/>
      <c r="K32" s="65"/>
      <c r="L32" s="65"/>
      <c r="M32" s="65"/>
      <c r="N32" s="65"/>
      <c r="O32" s="7"/>
      <c r="P32" s="7"/>
      <c r="Q32" s="287"/>
      <c r="R32" s="287"/>
      <c r="S32" s="287"/>
      <c r="T32" s="284"/>
      <c r="U32" s="284"/>
      <c r="V32" s="284"/>
      <c r="W32" s="7"/>
      <c r="X32" s="284"/>
      <c r="Y32" s="284"/>
      <c r="Z32" s="284"/>
      <c r="AA32" s="284"/>
      <c r="AB32" s="284"/>
      <c r="AC32" s="284"/>
      <c r="AE32" s="284"/>
    </row>
    <row r="33" spans="3:39" customFormat="1">
      <c r="C33" s="63"/>
      <c r="D33" s="7"/>
      <c r="E33" s="7"/>
      <c r="F33" s="7"/>
      <c r="G33" s="7"/>
      <c r="H33" s="7"/>
      <c r="I33" s="7"/>
      <c r="J33" s="7"/>
      <c r="K33" s="7"/>
      <c r="L33" s="7"/>
      <c r="M33" s="7"/>
      <c r="N33" s="7"/>
      <c r="O33" s="7"/>
      <c r="P33" s="7"/>
      <c r="Q33" s="287"/>
      <c r="R33" s="287"/>
      <c r="S33" s="287"/>
      <c r="T33" s="284"/>
      <c r="U33" s="284"/>
      <c r="V33" s="284"/>
      <c r="W33" s="7"/>
      <c r="X33" s="284"/>
      <c r="Y33" s="284"/>
      <c r="Z33" s="284"/>
      <c r="AA33" s="284"/>
      <c r="AB33" s="284"/>
      <c r="AC33" s="284"/>
      <c r="AE33" s="284"/>
    </row>
    <row r="34" spans="3:39">
      <c r="C34" s="9"/>
      <c r="D34" s="9"/>
      <c r="E34" s="9"/>
      <c r="F34" s="9"/>
      <c r="G34" s="9"/>
      <c r="H34" s="9"/>
      <c r="I34" s="9"/>
      <c r="K34" s="9"/>
      <c r="L34" s="9"/>
      <c r="O34" s="9"/>
      <c r="P34" s="9"/>
      <c r="Q34" s="11"/>
      <c r="R34" s="11"/>
      <c r="S34" s="11"/>
      <c r="T34" s="11"/>
      <c r="U34" s="11"/>
      <c r="V34" s="11"/>
      <c r="W34" s="9"/>
      <c r="X34" s="11"/>
      <c r="Y34" s="11"/>
      <c r="Z34" s="11"/>
      <c r="AA34" s="11"/>
      <c r="AB34" s="11"/>
      <c r="AC34" s="11"/>
      <c r="AD34" s="9"/>
      <c r="AE34" s="11"/>
      <c r="AF34" s="9"/>
      <c r="AG34" s="9"/>
      <c r="AH34" s="9"/>
      <c r="AI34" s="9"/>
      <c r="AJ34" s="9"/>
      <c r="AK34" s="9"/>
      <c r="AL34" s="9"/>
      <c r="AM34" s="9"/>
    </row>
    <row r="35" spans="3:39" customFormat="1" ht="18">
      <c r="C35" s="140" t="s">
        <v>258</v>
      </c>
      <c r="M35" s="283"/>
      <c r="N35" s="283"/>
      <c r="Q35" s="284"/>
      <c r="R35" s="284"/>
      <c r="S35" s="284"/>
      <c r="T35" s="284"/>
      <c r="U35" s="284"/>
      <c r="V35" s="284"/>
      <c r="X35" s="284"/>
      <c r="Y35" s="284"/>
      <c r="Z35" s="284"/>
      <c r="AA35" s="284"/>
      <c r="AB35" s="284"/>
      <c r="AC35" s="284"/>
      <c r="AE35" s="284"/>
    </row>
    <row r="36" spans="3:39">
      <c r="C36" t="s">
        <v>259</v>
      </c>
      <c r="D36" s="9"/>
      <c r="E36" s="9"/>
      <c r="F36" s="9"/>
      <c r="G36" s="9"/>
      <c r="H36" s="9"/>
      <c r="I36" s="9"/>
      <c r="K36" s="9"/>
      <c r="L36" s="9"/>
      <c r="O36" s="9"/>
      <c r="P36" s="9"/>
      <c r="Q36" s="11"/>
      <c r="R36" s="11"/>
      <c r="S36" s="11"/>
      <c r="T36" s="11"/>
      <c r="U36" s="11"/>
      <c r="V36" s="11"/>
      <c r="W36" s="9"/>
      <c r="X36" s="11"/>
      <c r="Y36" s="11"/>
      <c r="Z36" s="11"/>
      <c r="AA36" s="11"/>
      <c r="AB36" s="11"/>
      <c r="AC36" s="11"/>
      <c r="AD36" s="9"/>
      <c r="AE36" s="11"/>
      <c r="AF36" s="9"/>
      <c r="AG36" s="9"/>
      <c r="AH36" s="9"/>
      <c r="AI36" s="9"/>
      <c r="AJ36" s="9"/>
      <c r="AK36" s="9"/>
      <c r="AL36" s="9"/>
      <c r="AM36" s="9"/>
    </row>
    <row r="37" spans="3:39" customFormat="1">
      <c r="C37" t="s">
        <v>260</v>
      </c>
      <c r="M37" s="283"/>
      <c r="N37" s="283"/>
      <c r="Q37" s="284"/>
      <c r="R37" s="284"/>
      <c r="S37" s="284"/>
      <c r="T37" s="284"/>
      <c r="U37" s="284"/>
      <c r="V37" s="284"/>
      <c r="X37" s="284"/>
      <c r="Y37" s="284"/>
      <c r="Z37" s="284"/>
      <c r="AA37" s="284"/>
      <c r="AB37" s="284"/>
      <c r="AC37" s="284"/>
      <c r="AE37" s="284"/>
    </row>
    <row r="38" spans="3:39" customFormat="1">
      <c r="C38" s="136"/>
      <c r="M38" s="283"/>
      <c r="N38" s="283"/>
      <c r="Q38" s="284"/>
      <c r="R38" s="284"/>
      <c r="S38" s="284"/>
      <c r="T38" s="284"/>
      <c r="U38" s="284"/>
      <c r="V38" s="284"/>
      <c r="X38" s="284"/>
      <c r="Y38" s="284"/>
      <c r="Z38" s="284"/>
      <c r="AA38" s="284"/>
      <c r="AB38" s="284"/>
      <c r="AC38" s="284"/>
      <c r="AE38" s="284"/>
    </row>
    <row r="39" spans="3:39" customFormat="1">
      <c r="C39" s="187"/>
      <c r="M39" s="283"/>
      <c r="N39" s="283"/>
      <c r="Q39" s="284"/>
      <c r="R39" s="284"/>
      <c r="S39" s="284"/>
      <c r="T39" s="284"/>
      <c r="U39" s="284"/>
      <c r="V39" s="284"/>
      <c r="X39" s="284"/>
      <c r="Y39" s="284"/>
      <c r="Z39" s="284"/>
      <c r="AA39" s="284"/>
      <c r="AB39" s="284"/>
      <c r="AC39" s="284"/>
      <c r="AE39" s="284"/>
    </row>
    <row r="40" spans="3:39">
      <c r="C40" s="465" t="s">
        <v>261</v>
      </c>
      <c r="D40" s="7"/>
      <c r="E40" s="436" t="s">
        <v>256</v>
      </c>
      <c r="F40" s="466"/>
      <c r="G40" s="437"/>
      <c r="H40" s="288">
        <f>IF(E40="No",2,1)</f>
        <v>2</v>
      </c>
      <c r="I40" s="9"/>
      <c r="J40" s="7"/>
      <c r="K40" s="7"/>
      <c r="L40" s="7"/>
      <c r="M40" s="289"/>
      <c r="N40" s="289"/>
      <c r="O40" s="9"/>
      <c r="P40" s="9"/>
      <c r="Q40" s="11"/>
      <c r="R40" s="11"/>
      <c r="S40" s="11"/>
      <c r="T40" s="11"/>
      <c r="U40" s="11"/>
      <c r="V40" s="11"/>
      <c r="W40" s="9"/>
      <c r="X40" s="11"/>
      <c r="Y40" s="11"/>
      <c r="Z40" s="11"/>
      <c r="AA40" s="11"/>
      <c r="AB40" s="11"/>
      <c r="AC40" s="11"/>
      <c r="AD40" s="9"/>
      <c r="AE40" s="11"/>
      <c r="AF40" s="9"/>
      <c r="AG40" s="9"/>
      <c r="AH40" s="9"/>
      <c r="AI40" s="9"/>
      <c r="AJ40" s="9"/>
      <c r="AK40" s="9"/>
      <c r="AL40" s="9"/>
      <c r="AM40" s="9"/>
    </row>
    <row r="41" spans="3:39">
      <c r="C41" s="465"/>
      <c r="D41" s="7"/>
      <c r="E41" s="290" t="s">
        <v>314</v>
      </c>
      <c r="F41" s="7"/>
      <c r="G41" s="7"/>
      <c r="H41" s="7"/>
      <c r="I41" s="7"/>
      <c r="J41" s="7"/>
      <c r="K41" s="7"/>
      <c r="L41" s="7"/>
      <c r="M41" s="289"/>
      <c r="N41" s="289"/>
      <c r="O41" s="9"/>
      <c r="P41" s="9"/>
      <c r="Q41" s="11"/>
      <c r="R41" s="11"/>
      <c r="S41" s="11"/>
      <c r="T41" s="11"/>
      <c r="U41" s="11"/>
      <c r="V41" s="11"/>
      <c r="W41" s="9"/>
      <c r="X41" s="11"/>
      <c r="Y41" s="11"/>
      <c r="Z41" s="11"/>
      <c r="AA41" s="11"/>
      <c r="AB41" s="11"/>
      <c r="AC41" s="11"/>
      <c r="AD41" s="9"/>
      <c r="AE41" s="11"/>
      <c r="AF41" s="9"/>
      <c r="AG41" s="9"/>
      <c r="AH41" s="9"/>
      <c r="AI41" s="9"/>
      <c r="AJ41" s="9"/>
      <c r="AK41" s="9"/>
      <c r="AL41" s="9"/>
      <c r="AM41" s="9"/>
    </row>
    <row r="42" spans="3:39">
      <c r="C42" s="9"/>
      <c r="D42" s="7"/>
      <c r="E42" s="7"/>
      <c r="F42" s="7"/>
      <c r="G42" s="7"/>
      <c r="H42" s="7"/>
      <c r="I42" s="7"/>
      <c r="J42" s="7"/>
      <c r="K42" s="7"/>
      <c r="L42" s="7"/>
      <c r="M42" s="289"/>
      <c r="N42" s="289"/>
      <c r="O42" s="9"/>
      <c r="P42" s="9"/>
      <c r="Q42" s="11"/>
      <c r="R42" s="11"/>
      <c r="S42" s="11"/>
      <c r="T42" s="11"/>
      <c r="U42" s="11"/>
      <c r="V42" s="11"/>
      <c r="W42" s="9"/>
      <c r="X42" s="11"/>
      <c r="Y42" s="11"/>
      <c r="Z42" s="11"/>
      <c r="AA42" s="11"/>
      <c r="AB42" s="11"/>
      <c r="AC42" s="11"/>
      <c r="AD42" s="9"/>
      <c r="AE42" s="11"/>
      <c r="AF42" s="9"/>
      <c r="AG42" s="9"/>
      <c r="AH42" s="9"/>
      <c r="AI42" s="9"/>
      <c r="AJ42" s="9"/>
      <c r="AK42" s="9"/>
      <c r="AL42" s="9"/>
      <c r="AM42" s="9"/>
    </row>
    <row r="43" spans="3:39">
      <c r="C43" s="42"/>
      <c r="D43" s="7"/>
      <c r="E43" s="7"/>
      <c r="F43" s="7"/>
      <c r="G43" s="7"/>
      <c r="H43" s="7"/>
      <c r="I43" s="7"/>
      <c r="J43" s="7"/>
      <c r="K43" s="7"/>
      <c r="L43" s="7"/>
      <c r="M43" s="289"/>
      <c r="N43" s="289"/>
      <c r="O43" s="9"/>
      <c r="P43" s="9"/>
      <c r="Q43" s="11"/>
      <c r="R43" s="11"/>
      <c r="S43" s="11"/>
      <c r="T43" s="11"/>
      <c r="U43" s="11"/>
      <c r="V43" s="11"/>
      <c r="W43" s="9"/>
      <c r="X43" s="11"/>
      <c r="Y43" s="11"/>
      <c r="Z43" s="11"/>
      <c r="AA43" s="11"/>
      <c r="AB43" s="11"/>
      <c r="AC43" s="11"/>
      <c r="AD43" s="9"/>
      <c r="AE43" s="11"/>
      <c r="AF43" s="9"/>
      <c r="AG43" s="9"/>
      <c r="AH43" s="9"/>
      <c r="AI43" s="9"/>
      <c r="AJ43" s="9"/>
      <c r="AK43" s="9"/>
      <c r="AL43" s="9"/>
      <c r="AM43" s="9"/>
    </row>
    <row r="44" spans="3:39">
      <c r="C44" s="42"/>
      <c r="D44" s="7"/>
      <c r="E44" s="7"/>
      <c r="F44" s="7"/>
      <c r="G44" s="7"/>
      <c r="H44" s="7"/>
      <c r="I44" s="7"/>
      <c r="J44" s="7"/>
      <c r="K44" s="7"/>
      <c r="L44" s="7"/>
      <c r="M44" s="289"/>
      <c r="N44" s="289"/>
      <c r="O44" s="9"/>
      <c r="P44" s="9"/>
      <c r="Q44" s="11"/>
      <c r="R44" s="11"/>
      <c r="S44" s="11"/>
      <c r="T44" s="11"/>
      <c r="U44" s="11"/>
      <c r="V44" s="11"/>
      <c r="W44" s="9"/>
      <c r="X44" s="11"/>
      <c r="Y44" s="11"/>
      <c r="Z44" s="11"/>
      <c r="AA44" s="11"/>
      <c r="AB44" s="11"/>
      <c r="AC44" s="11"/>
      <c r="AD44" s="9"/>
      <c r="AE44" s="11"/>
      <c r="AF44" s="9"/>
      <c r="AG44" s="9"/>
      <c r="AH44" s="9"/>
      <c r="AI44" s="9"/>
      <c r="AJ44" s="9"/>
      <c r="AK44" s="9"/>
      <c r="AL44" s="9"/>
      <c r="AM44" s="9"/>
    </row>
    <row r="45" spans="3:39">
      <c r="C45" s="239"/>
      <c r="D45" s="289"/>
      <c r="E45" s="7"/>
      <c r="F45" s="7"/>
      <c r="G45" s="7"/>
      <c r="H45" s="7"/>
      <c r="I45" s="7"/>
      <c r="J45" s="7"/>
      <c r="K45" s="7"/>
      <c r="L45" s="7"/>
      <c r="M45" s="289"/>
      <c r="N45" s="289"/>
      <c r="O45" s="9"/>
      <c r="P45" s="9"/>
      <c r="Q45" s="11"/>
      <c r="R45" s="11"/>
      <c r="S45" s="11"/>
      <c r="T45" s="11"/>
      <c r="U45" s="11"/>
      <c r="V45" s="11"/>
      <c r="W45" s="9"/>
      <c r="X45" s="11"/>
      <c r="Y45" s="11"/>
      <c r="Z45" s="11"/>
      <c r="AA45" s="11"/>
      <c r="AB45" s="11"/>
      <c r="AC45" s="11"/>
      <c r="AD45" s="9"/>
      <c r="AE45" s="11"/>
      <c r="AF45" s="9"/>
      <c r="AG45" s="9"/>
      <c r="AH45" s="9"/>
      <c r="AI45" s="9"/>
      <c r="AJ45" s="9"/>
      <c r="AK45" s="9"/>
      <c r="AL45" s="9"/>
      <c r="AM45" s="9"/>
    </row>
    <row r="46" spans="3:39">
      <c r="C46" s="239"/>
      <c r="D46" s="7"/>
      <c r="E46" s="7"/>
      <c r="F46" s="7"/>
      <c r="G46" s="7"/>
      <c r="H46" s="7"/>
      <c r="I46" s="7"/>
      <c r="J46" s="7"/>
      <c r="K46" s="7"/>
      <c r="L46" s="7"/>
      <c r="M46" s="289"/>
      <c r="N46" s="289"/>
      <c r="O46" s="9"/>
      <c r="P46" s="9"/>
      <c r="Q46" s="11"/>
      <c r="R46" s="11"/>
      <c r="S46" s="11"/>
      <c r="T46" s="11"/>
      <c r="U46" s="11"/>
      <c r="V46" s="11"/>
      <c r="W46" s="9"/>
      <c r="X46" s="11"/>
      <c r="Y46" s="11"/>
      <c r="Z46" s="11"/>
      <c r="AA46" s="11"/>
      <c r="AB46" s="11"/>
      <c r="AC46" s="11"/>
      <c r="AD46" s="9"/>
      <c r="AE46" s="11"/>
      <c r="AF46" s="9"/>
      <c r="AG46" s="9"/>
      <c r="AH46" s="9"/>
      <c r="AI46" s="9"/>
      <c r="AJ46" s="9"/>
      <c r="AK46" s="9"/>
      <c r="AL46" s="9"/>
      <c r="AM46" s="9"/>
    </row>
    <row r="47" spans="3:39">
      <c r="C47" s="239"/>
      <c r="D47" s="7"/>
      <c r="E47" s="7"/>
      <c r="F47" s="7"/>
      <c r="G47" s="7"/>
      <c r="H47" s="7"/>
      <c r="I47" s="7"/>
      <c r="J47" s="7"/>
      <c r="K47" s="7"/>
      <c r="L47" s="7"/>
      <c r="M47" s="289"/>
      <c r="N47" s="289"/>
      <c r="O47" s="9"/>
      <c r="P47" s="9"/>
      <c r="Q47" s="11"/>
      <c r="R47" s="11"/>
      <c r="S47" s="11"/>
      <c r="T47" s="11"/>
      <c r="U47" s="11"/>
      <c r="V47" s="11"/>
      <c r="W47" s="9"/>
      <c r="X47" s="11"/>
      <c r="Y47" s="11"/>
      <c r="Z47" s="11"/>
      <c r="AA47" s="11"/>
      <c r="AB47" s="11"/>
      <c r="AC47" s="11"/>
      <c r="AD47" s="9"/>
      <c r="AE47" s="11"/>
      <c r="AF47" s="9"/>
      <c r="AG47" s="9"/>
      <c r="AH47" s="9"/>
      <c r="AI47" s="9"/>
      <c r="AJ47" s="9"/>
      <c r="AK47" s="9"/>
      <c r="AL47" s="9"/>
      <c r="AM47" s="9"/>
    </row>
    <row r="48" spans="3:39">
      <c r="C48" s="239"/>
      <c r="D48" s="7"/>
      <c r="E48" s="7"/>
      <c r="F48" s="7"/>
      <c r="G48" s="7"/>
      <c r="H48" s="7"/>
      <c r="I48" s="7"/>
      <c r="J48" s="7"/>
      <c r="K48" s="7"/>
      <c r="L48" s="7"/>
      <c r="M48" s="289"/>
      <c r="N48" s="289"/>
      <c r="O48" s="9"/>
      <c r="P48" s="9"/>
      <c r="Q48" s="11"/>
      <c r="R48" s="11"/>
      <c r="S48" s="11"/>
      <c r="T48" s="11"/>
      <c r="U48" s="11"/>
      <c r="V48" s="11"/>
      <c r="W48" s="9"/>
      <c r="X48" s="11"/>
      <c r="Y48" s="11"/>
      <c r="Z48" s="11"/>
      <c r="AA48" s="11"/>
      <c r="AB48" s="11"/>
      <c r="AC48" s="11"/>
      <c r="AD48" s="9"/>
      <c r="AE48" s="11"/>
      <c r="AF48" s="9"/>
      <c r="AG48" s="9"/>
      <c r="AH48" s="9"/>
      <c r="AI48" s="9"/>
      <c r="AJ48" s="9"/>
      <c r="AK48" s="9"/>
      <c r="AL48" s="9"/>
      <c r="AM48" s="9"/>
    </row>
    <row r="49" spans="3:42">
      <c r="C49" s="239"/>
      <c r="D49" s="7"/>
      <c r="E49" s="7"/>
      <c r="F49" s="7"/>
      <c r="G49" s="7"/>
      <c r="H49" s="7"/>
      <c r="I49" s="7"/>
      <c r="J49" s="7"/>
      <c r="K49" s="7"/>
      <c r="L49" s="7"/>
      <c r="M49" s="289"/>
      <c r="N49" s="289"/>
      <c r="O49" s="9"/>
      <c r="P49" s="9"/>
      <c r="Q49" s="11"/>
      <c r="R49" s="11"/>
      <c r="S49" s="11"/>
      <c r="T49" s="11"/>
      <c r="U49" s="11"/>
      <c r="V49" s="11"/>
      <c r="W49" s="9"/>
      <c r="X49" s="11"/>
      <c r="Y49" s="11"/>
      <c r="Z49" s="11"/>
      <c r="AA49" s="11"/>
      <c r="AB49" s="11"/>
      <c r="AC49" s="11"/>
      <c r="AD49" s="9"/>
      <c r="AE49" s="11"/>
      <c r="AF49" s="9"/>
      <c r="AG49" s="9"/>
      <c r="AH49" s="9"/>
      <c r="AI49" s="9"/>
      <c r="AJ49" s="9"/>
      <c r="AK49" s="9"/>
      <c r="AL49" s="9"/>
      <c r="AM49" s="9"/>
      <c r="AN49" s="9"/>
      <c r="AO49" s="9"/>
      <c r="AP49" s="9"/>
    </row>
    <row r="50" spans="3:42">
      <c r="C50" s="239"/>
      <c r="D50" s="7"/>
      <c r="E50" s="7"/>
      <c r="F50" s="7"/>
      <c r="G50" s="7"/>
      <c r="H50" s="7"/>
      <c r="I50" s="7"/>
      <c r="J50" s="7"/>
      <c r="K50" s="7"/>
      <c r="L50" s="7"/>
      <c r="M50" s="289"/>
      <c r="N50" s="289"/>
      <c r="O50" s="9"/>
      <c r="P50" s="9"/>
      <c r="Q50" s="11"/>
      <c r="R50" s="11"/>
      <c r="S50" s="11"/>
      <c r="T50" s="11"/>
      <c r="U50" s="11"/>
      <c r="V50" s="11"/>
      <c r="W50" s="9"/>
      <c r="X50" s="11"/>
      <c r="Y50" s="11"/>
      <c r="Z50" s="11"/>
      <c r="AA50" s="11"/>
      <c r="AB50" s="11"/>
      <c r="AC50" s="11"/>
      <c r="AD50" s="9"/>
      <c r="AE50" s="11"/>
      <c r="AF50" s="9"/>
      <c r="AG50" s="9"/>
      <c r="AH50" s="9"/>
      <c r="AI50" s="9"/>
      <c r="AJ50" s="9"/>
      <c r="AK50" s="9"/>
      <c r="AL50" s="9"/>
      <c r="AM50" s="9"/>
      <c r="AN50" s="9"/>
      <c r="AO50" s="9"/>
      <c r="AP50" s="9"/>
    </row>
    <row r="51" spans="3:42">
      <c r="C51" s="239"/>
      <c r="D51" s="7"/>
      <c r="E51" s="7"/>
      <c r="F51" s="7"/>
      <c r="G51" s="7"/>
      <c r="H51" s="7"/>
      <c r="I51" s="7"/>
      <c r="J51" s="7"/>
      <c r="K51" s="7"/>
      <c r="L51" s="7"/>
      <c r="M51" s="289"/>
      <c r="N51" s="289"/>
      <c r="O51" s="9"/>
      <c r="P51" s="9"/>
      <c r="Q51" s="11"/>
      <c r="R51" s="11"/>
      <c r="S51" s="11"/>
      <c r="T51" s="11"/>
      <c r="U51" s="11"/>
      <c r="V51" s="11"/>
      <c r="W51" s="9"/>
      <c r="X51" s="11"/>
      <c r="Y51" s="11"/>
      <c r="Z51" s="11"/>
      <c r="AA51" s="11"/>
      <c r="AB51" s="11"/>
      <c r="AC51" s="11"/>
      <c r="AD51" s="9"/>
      <c r="AE51" s="11"/>
      <c r="AF51" s="9"/>
      <c r="AG51" s="9"/>
      <c r="AH51" s="9"/>
      <c r="AI51" s="9"/>
      <c r="AJ51" s="9"/>
      <c r="AK51" s="9"/>
      <c r="AL51" s="9"/>
      <c r="AM51" s="9"/>
      <c r="AN51" s="9"/>
      <c r="AO51" s="9"/>
      <c r="AP51" s="9"/>
    </row>
    <row r="52" spans="3:42">
      <c r="C52" s="239"/>
      <c r="D52" s="7"/>
      <c r="E52" s="7"/>
      <c r="F52" s="7"/>
      <c r="G52" s="7"/>
      <c r="H52" s="7"/>
      <c r="I52" s="7"/>
      <c r="J52" s="7"/>
      <c r="K52" s="312" t="str">
        <f>IF(AND(desc_por_ob="Yes",SUM(V64:V78)&gt;0),"Attention! Invalid data. When using both discontinuation and death rates, they must be related events.","")</f>
        <v/>
      </c>
      <c r="L52" s="7"/>
      <c r="M52" s="289"/>
      <c r="N52" s="289"/>
      <c r="O52" s="9"/>
      <c r="P52" s="9"/>
      <c r="Q52" s="11"/>
      <c r="R52" s="11"/>
      <c r="S52" s="11"/>
      <c r="T52" s="11"/>
      <c r="U52" s="11"/>
      <c r="V52" s="11"/>
      <c r="W52" s="9"/>
      <c r="X52" s="11"/>
      <c r="Y52" s="11"/>
      <c r="Z52" s="11"/>
      <c r="AA52" s="11"/>
      <c r="AB52" s="11"/>
      <c r="AC52" s="11"/>
      <c r="AD52" s="9"/>
      <c r="AE52" s="11"/>
      <c r="AF52" s="11"/>
      <c r="AG52" s="11"/>
      <c r="AH52" s="11"/>
      <c r="AI52" s="11"/>
      <c r="AJ52" s="11"/>
      <c r="AK52" s="11"/>
      <c r="AL52" s="11"/>
      <c r="AM52" s="11"/>
      <c r="AN52" s="9"/>
      <c r="AO52" s="9"/>
      <c r="AP52" s="9"/>
    </row>
    <row r="53" spans="3:42">
      <c r="C53" s="7"/>
      <c r="D53" s="7"/>
      <c r="E53" s="7"/>
      <c r="F53" s="7"/>
      <c r="G53" s="7"/>
      <c r="H53" s="7"/>
      <c r="I53" s="7"/>
      <c r="J53" s="7"/>
      <c r="K53" s="312" t="str">
        <f>IF(AND(desc_por_ob="Yes",SUM(V65:V79)&gt;0),"The annual death rate cannot exceed the discontinuation rate, because death is a subset of total treatment discontinuation.","")</f>
        <v/>
      </c>
      <c r="L53" s="7"/>
      <c r="M53" s="289"/>
      <c r="N53" s="289"/>
      <c r="O53" s="9"/>
      <c r="P53" s="9"/>
      <c r="Q53" s="11"/>
      <c r="R53" s="11"/>
      <c r="S53" s="11"/>
      <c r="T53" s="11"/>
      <c r="U53" s="11"/>
      <c r="V53" s="11"/>
      <c r="W53" s="9"/>
      <c r="X53" s="11"/>
      <c r="Y53" s="11"/>
      <c r="Z53" s="11"/>
      <c r="AA53" s="11"/>
      <c r="AB53" s="11"/>
      <c r="AC53" s="11"/>
      <c r="AD53" s="9"/>
      <c r="AE53" s="11"/>
      <c r="AF53" s="9"/>
      <c r="AG53" s="9"/>
      <c r="AH53" s="9"/>
      <c r="AI53" s="9"/>
      <c r="AJ53" s="9"/>
      <c r="AK53" s="9"/>
      <c r="AL53" s="9"/>
      <c r="AM53" s="9"/>
      <c r="AN53" s="9"/>
      <c r="AO53" s="9"/>
      <c r="AP53" s="9"/>
    </row>
    <row r="54" spans="3:42">
      <c r="C54" s="465" t="s">
        <v>262</v>
      </c>
      <c r="D54" s="7"/>
      <c r="E54" s="436" t="s">
        <v>338</v>
      </c>
      <c r="F54" s="466"/>
      <c r="G54" s="437"/>
      <c r="H54" s="288">
        <f>IF(E54="Median usage time",1,IF(E54="Discontinuation rate",2,IF(E54="Progression-free survival",3,4)))</f>
        <v>1</v>
      </c>
      <c r="I54" s="465" t="s">
        <v>317</v>
      </c>
      <c r="J54" s="380" t="s">
        <v>299</v>
      </c>
      <c r="K54" s="481"/>
      <c r="L54" s="482"/>
      <c r="M54" s="482"/>
      <c r="N54" s="316"/>
      <c r="O54" s="316"/>
      <c r="P54" s="316"/>
      <c r="Q54" s="11"/>
      <c r="R54" s="11"/>
      <c r="S54" s="11"/>
      <c r="T54" s="11"/>
      <c r="U54" s="11"/>
      <c r="V54" s="11"/>
      <c r="W54" s="9"/>
      <c r="X54" s="11"/>
      <c r="Y54" s="11"/>
      <c r="Z54" s="11"/>
      <c r="AA54" s="11"/>
      <c r="AB54" s="11"/>
      <c r="AC54" s="11"/>
      <c r="AD54" s="9"/>
      <c r="AE54" s="11"/>
      <c r="AF54" s="9"/>
      <c r="AG54" s="9"/>
      <c r="AH54" s="9"/>
      <c r="AI54" s="9"/>
      <c r="AJ54" s="9"/>
      <c r="AK54" s="9"/>
      <c r="AL54" s="9"/>
      <c r="AM54" s="9"/>
      <c r="AN54" s="9"/>
      <c r="AO54" s="9"/>
      <c r="AP54" s="9"/>
    </row>
    <row r="55" spans="3:42">
      <c r="C55" s="465"/>
      <c r="D55" s="7"/>
      <c r="E55" s="291"/>
      <c r="F55" s="7"/>
      <c r="G55" s="7"/>
      <c r="H55" s="288"/>
      <c r="I55" s="465"/>
      <c r="J55" s="7"/>
      <c r="K55" s="290"/>
      <c r="L55" s="7"/>
      <c r="M55" s="289"/>
      <c r="N55" s="289"/>
      <c r="O55" s="9"/>
      <c r="P55" s="9"/>
      <c r="Q55" s="11"/>
      <c r="R55" s="11"/>
      <c r="S55" s="11"/>
      <c r="T55" s="11"/>
      <c r="U55" s="11"/>
      <c r="V55" s="11"/>
      <c r="W55" s="9"/>
      <c r="X55" s="11"/>
      <c r="Y55" s="11"/>
      <c r="Z55" s="11"/>
      <c r="AA55" s="11"/>
      <c r="AB55" s="11"/>
      <c r="AC55" s="11"/>
      <c r="AD55" s="9"/>
      <c r="AE55" s="11"/>
      <c r="AF55" s="9"/>
      <c r="AG55" s="9"/>
      <c r="AH55" s="9"/>
      <c r="AI55" s="9"/>
      <c r="AJ55" s="9"/>
      <c r="AK55" s="9"/>
      <c r="AL55" s="9"/>
      <c r="AM55" s="9"/>
      <c r="AN55" s="9"/>
      <c r="AO55" s="9"/>
      <c r="AP55" s="9"/>
    </row>
    <row r="56" spans="3:42">
      <c r="C56" s="48"/>
      <c r="D56" s="7"/>
      <c r="E56" s="290"/>
      <c r="F56" s="7"/>
      <c r="G56" s="7"/>
      <c r="H56" s="288"/>
      <c r="I56" s="7"/>
      <c r="J56" s="7"/>
      <c r="K56" s="290"/>
      <c r="L56" s="7"/>
      <c r="M56" s="289"/>
      <c r="N56" s="289"/>
      <c r="O56" s="9"/>
      <c r="P56" s="9"/>
      <c r="Q56" s="11"/>
      <c r="R56" s="11"/>
      <c r="S56" s="11"/>
      <c r="T56" s="11"/>
      <c r="U56" s="11"/>
      <c r="V56" s="11"/>
      <c r="W56" s="9"/>
      <c r="X56" s="11"/>
      <c r="Y56" s="11"/>
      <c r="Z56" s="11"/>
      <c r="AA56" s="11"/>
      <c r="AB56" s="11"/>
      <c r="AC56" s="11"/>
      <c r="AD56" s="9"/>
      <c r="AE56" s="11"/>
      <c r="AF56" s="9"/>
      <c r="AG56" s="9"/>
      <c r="AH56" s="9"/>
      <c r="AI56" s="9"/>
      <c r="AJ56" s="9"/>
      <c r="AK56" s="9"/>
      <c r="AL56" s="9"/>
      <c r="AM56" s="9"/>
      <c r="AN56" s="9"/>
      <c r="AO56" s="9"/>
      <c r="AP56" s="9"/>
    </row>
    <row r="57" spans="3:42">
      <c r="C57" s="7"/>
      <c r="D57" s="7"/>
      <c r="E57" s="7"/>
      <c r="F57" s="7"/>
      <c r="G57" s="7"/>
      <c r="H57" s="288"/>
      <c r="I57" s="7"/>
      <c r="J57" s="7"/>
      <c r="K57" s="290"/>
      <c r="L57" s="7"/>
      <c r="M57" s="289"/>
      <c r="N57" s="289"/>
      <c r="O57" s="9"/>
      <c r="P57" s="9"/>
      <c r="Q57" s="11"/>
      <c r="R57" s="11"/>
      <c r="S57" s="11"/>
      <c r="T57" s="11"/>
      <c r="U57" s="11"/>
      <c r="V57" s="11"/>
      <c r="W57" s="9"/>
      <c r="X57" s="11"/>
      <c r="Y57" s="11"/>
      <c r="Z57" s="11"/>
      <c r="AA57" s="11"/>
      <c r="AB57" s="11"/>
      <c r="AC57" s="11"/>
      <c r="AD57" s="9"/>
      <c r="AE57" s="11"/>
      <c r="AF57" s="9"/>
      <c r="AG57" s="9"/>
      <c r="AH57" s="9"/>
      <c r="AI57" s="9"/>
      <c r="AJ57" s="9"/>
      <c r="AK57" s="9"/>
      <c r="AL57" s="9"/>
      <c r="AM57" s="9"/>
      <c r="AN57" s="9"/>
      <c r="AO57" s="9"/>
      <c r="AP57" s="9"/>
    </row>
    <row r="58" spans="3:42">
      <c r="C58" s="465" t="s">
        <v>263</v>
      </c>
      <c r="D58" s="7"/>
      <c r="E58" s="436" t="s">
        <v>315</v>
      </c>
      <c r="F58" s="466"/>
      <c r="G58" s="437"/>
      <c r="H58" s="288">
        <f>IF(E58="Annual data",1,2)</f>
        <v>1</v>
      </c>
      <c r="I58" s="7"/>
      <c r="J58" s="7"/>
      <c r="K58" s="7"/>
      <c r="L58" s="7"/>
      <c r="M58" s="289"/>
      <c r="N58" s="289"/>
      <c r="O58" s="9"/>
      <c r="P58" s="9"/>
      <c r="Q58" s="11"/>
      <c r="R58" s="11"/>
      <c r="S58" s="11"/>
      <c r="T58" s="11"/>
      <c r="U58" s="11"/>
      <c r="V58" s="11"/>
      <c r="W58" s="9"/>
      <c r="X58" s="11"/>
      <c r="Y58" s="11"/>
      <c r="Z58" s="11"/>
      <c r="AA58" s="11"/>
      <c r="AB58" s="11"/>
      <c r="AC58" s="11"/>
      <c r="AD58" s="9"/>
      <c r="AE58" s="11"/>
      <c r="AF58" s="9"/>
      <c r="AG58" s="9"/>
      <c r="AH58" s="9"/>
      <c r="AI58" s="9"/>
      <c r="AJ58" s="9"/>
      <c r="AK58" s="9"/>
      <c r="AL58" s="9"/>
      <c r="AM58" s="9"/>
      <c r="AN58" s="9"/>
      <c r="AO58" s="9"/>
      <c r="AP58" s="9"/>
    </row>
    <row r="59" spans="3:42">
      <c r="C59" s="465"/>
      <c r="D59" s="7"/>
      <c r="E59" s="292" t="s">
        <v>265</v>
      </c>
      <c r="F59" s="7"/>
      <c r="G59" s="7"/>
      <c r="H59" s="7"/>
      <c r="I59" s="7"/>
      <c r="J59" s="7"/>
      <c r="K59" s="7"/>
      <c r="L59" s="7"/>
      <c r="M59" s="289"/>
      <c r="N59" s="289"/>
      <c r="O59" s="9"/>
      <c r="P59" s="9"/>
      <c r="Q59" s="11"/>
      <c r="R59" s="11"/>
      <c r="S59" s="11"/>
      <c r="T59" s="11"/>
      <c r="U59" s="11"/>
      <c r="V59" s="11"/>
      <c r="W59" s="9"/>
      <c r="X59" s="11"/>
      <c r="Y59" s="11"/>
      <c r="Z59" s="11"/>
      <c r="AA59" s="11"/>
      <c r="AB59" s="11"/>
      <c r="AC59" s="11"/>
      <c r="AD59" s="9"/>
      <c r="AE59" s="11"/>
      <c r="AF59" s="9"/>
      <c r="AG59" s="9"/>
      <c r="AH59" s="9"/>
      <c r="AI59" s="9"/>
      <c r="AJ59" s="9"/>
      <c r="AK59" s="9"/>
      <c r="AL59" s="11"/>
      <c r="AM59" s="9"/>
      <c r="AN59" s="9"/>
      <c r="AO59" s="9"/>
      <c r="AP59" s="9"/>
    </row>
    <row r="60" spans="3:42">
      <c r="C60" s="48"/>
      <c r="D60" s="7"/>
      <c r="E60" s="290" t="s">
        <v>264</v>
      </c>
      <c r="F60" s="7"/>
      <c r="G60" s="7"/>
      <c r="H60" s="7"/>
      <c r="I60" s="7"/>
      <c r="J60" s="7"/>
      <c r="K60" s="7"/>
      <c r="L60" s="7"/>
      <c r="M60" s="289"/>
      <c r="N60" s="289"/>
      <c r="O60" s="9"/>
      <c r="P60" s="9"/>
      <c r="Q60" s="11"/>
      <c r="R60" s="11"/>
      <c r="S60" s="11"/>
      <c r="T60" s="11"/>
      <c r="U60" s="11"/>
      <c r="V60" s="11"/>
      <c r="W60" s="9"/>
      <c r="X60" s="11"/>
      <c r="Y60" s="11"/>
      <c r="Z60" s="11"/>
      <c r="AA60" s="11"/>
      <c r="AB60" s="11"/>
      <c r="AC60" s="11"/>
      <c r="AD60" s="9"/>
      <c r="AE60" s="11"/>
      <c r="AF60" s="9"/>
      <c r="AG60" s="9"/>
      <c r="AH60" s="9"/>
      <c r="AI60" s="9"/>
      <c r="AJ60" s="9"/>
      <c r="AK60" s="9"/>
      <c r="AL60" s="11"/>
      <c r="AM60" s="9"/>
      <c r="AN60" s="9"/>
      <c r="AO60" s="9"/>
      <c r="AP60" s="9"/>
    </row>
    <row r="61" spans="3:42" ht="15" customHeight="1">
      <c r="C61" s="48"/>
      <c r="D61" s="7"/>
      <c r="E61" s="290"/>
      <c r="F61" s="7"/>
      <c r="G61" s="7"/>
      <c r="H61" s="7"/>
      <c r="I61" s="7"/>
      <c r="J61" s="7"/>
      <c r="K61" s="7"/>
      <c r="L61" s="7"/>
      <c r="M61" s="289"/>
      <c r="N61" s="289"/>
      <c r="O61" s="9"/>
      <c r="P61" s="9"/>
      <c r="Q61" s="453" t="s">
        <v>281</v>
      </c>
      <c r="R61" s="454"/>
      <c r="S61" s="454"/>
      <c r="T61" s="454"/>
      <c r="U61" s="455"/>
      <c r="V61" s="11"/>
      <c r="W61" s="9"/>
      <c r="X61" s="453" t="s">
        <v>282</v>
      </c>
      <c r="Y61" s="454"/>
      <c r="Z61" s="454"/>
      <c r="AA61" s="454"/>
      <c r="AB61" s="455"/>
      <c r="AC61" s="11"/>
      <c r="AD61" s="9"/>
      <c r="AE61" s="453" t="s">
        <v>283</v>
      </c>
      <c r="AF61" s="454"/>
      <c r="AG61" s="454"/>
      <c r="AH61" s="454"/>
      <c r="AI61" s="454"/>
      <c r="AJ61" s="9"/>
      <c r="AK61" s="9"/>
      <c r="AL61" s="453" t="s">
        <v>284</v>
      </c>
      <c r="AM61" s="454"/>
      <c r="AN61" s="454"/>
      <c r="AO61" s="454"/>
      <c r="AP61" s="454"/>
    </row>
    <row r="62" spans="3:42">
      <c r="C62" s="293" t="s">
        <v>277</v>
      </c>
      <c r="D62" s="7"/>
      <c r="E62" s="290"/>
      <c r="F62" s="7"/>
      <c r="G62" s="7"/>
      <c r="H62" s="293" t="str">
        <f>"7.2.2. Table for discontinuaiton rate and PFS"</f>
        <v>7.2.2. Table for discontinuaiton rate and PFS</v>
      </c>
      <c r="I62" s="7"/>
      <c r="J62" s="7"/>
      <c r="K62" s="7"/>
      <c r="L62" s="7"/>
      <c r="M62" s="7"/>
      <c r="N62" s="7"/>
      <c r="O62" s="7"/>
      <c r="P62" s="7"/>
      <c r="Q62" s="456"/>
      <c r="R62" s="457"/>
      <c r="S62" s="457"/>
      <c r="T62" s="457"/>
      <c r="U62" s="458"/>
      <c r="V62" s="11"/>
      <c r="W62" s="7"/>
      <c r="X62" s="456"/>
      <c r="Y62" s="457"/>
      <c r="Z62" s="457"/>
      <c r="AA62" s="457"/>
      <c r="AB62" s="458"/>
      <c r="AC62" s="11"/>
      <c r="AD62" s="9"/>
      <c r="AE62" s="456"/>
      <c r="AF62" s="457"/>
      <c r="AG62" s="457"/>
      <c r="AH62" s="457"/>
      <c r="AI62" s="457"/>
      <c r="AJ62" s="9"/>
      <c r="AK62" s="9"/>
      <c r="AL62" s="456"/>
      <c r="AM62" s="457"/>
      <c r="AN62" s="457"/>
      <c r="AO62" s="457"/>
      <c r="AP62" s="457"/>
    </row>
    <row r="63" spans="3:42">
      <c r="C63" s="430" t="str">
        <f>IF(uso=1,"Enter the average time of use",IF(uso=4,"Enter "&amp;E54,"Do not fill in this table"))</f>
        <v>Enter the average time of use</v>
      </c>
      <c r="D63" s="474" t="s">
        <v>278</v>
      </c>
      <c r="E63" s="474"/>
      <c r="F63" s="7"/>
      <c r="G63" s="7"/>
      <c r="H63" s="467" t="str">
        <f>IF(uso=1,"Do not fill in this table",IF(uso=2,"Enter the discontinuation rate","Enter the progression-free survival"))</f>
        <v>Do not fill in this table</v>
      </c>
      <c r="I63" s="449"/>
      <c r="J63" s="311" t="s">
        <v>285</v>
      </c>
      <c r="K63" s="311" t="s">
        <v>286</v>
      </c>
      <c r="L63" s="311" t="s">
        <v>287</v>
      </c>
      <c r="M63" s="311" t="s">
        <v>288</v>
      </c>
      <c r="N63" s="7"/>
      <c r="O63" s="7"/>
      <c r="P63" s="7"/>
      <c r="Q63" s="449" t="s">
        <v>276</v>
      </c>
      <c r="R63" s="295" t="s">
        <v>285</v>
      </c>
      <c r="S63" s="295" t="s">
        <v>286</v>
      </c>
      <c r="T63" s="295" t="s">
        <v>287</v>
      </c>
      <c r="U63" s="295" t="s">
        <v>288</v>
      </c>
      <c r="V63" s="11"/>
      <c r="W63" s="7"/>
      <c r="X63" s="449" t="s">
        <v>276</v>
      </c>
      <c r="Y63" s="295" t="s">
        <v>285</v>
      </c>
      <c r="Z63" s="295" t="s">
        <v>286</v>
      </c>
      <c r="AA63" s="295" t="s">
        <v>287</v>
      </c>
      <c r="AB63" s="295" t="s">
        <v>288</v>
      </c>
      <c r="AC63" s="11"/>
      <c r="AD63" s="9"/>
      <c r="AE63" s="449" t="s">
        <v>276</v>
      </c>
      <c r="AF63" s="295" t="s">
        <v>285</v>
      </c>
      <c r="AG63" s="295" t="s">
        <v>286</v>
      </c>
      <c r="AH63" s="295" t="s">
        <v>287</v>
      </c>
      <c r="AI63" s="295" t="s">
        <v>288</v>
      </c>
      <c r="AJ63" s="9"/>
      <c r="AK63" s="9"/>
      <c r="AL63" s="296" t="s">
        <v>276</v>
      </c>
      <c r="AM63" s="295" t="s">
        <v>285</v>
      </c>
      <c r="AN63" s="295" t="s">
        <v>286</v>
      </c>
      <c r="AO63" s="295" t="s">
        <v>287</v>
      </c>
      <c r="AP63" s="295" t="s">
        <v>288</v>
      </c>
    </row>
    <row r="64" spans="3:42">
      <c r="C64" s="473"/>
      <c r="D64" s="473"/>
      <c r="E64" s="473"/>
      <c r="F64" s="7"/>
      <c r="G64" s="7"/>
      <c r="H64" s="467"/>
      <c r="I64" s="467"/>
      <c r="J64" s="486" t="s">
        <v>280</v>
      </c>
      <c r="K64" s="487"/>
      <c r="L64" s="487"/>
      <c r="M64" s="488"/>
      <c r="N64" s="7"/>
      <c r="O64" s="7"/>
      <c r="P64" s="7"/>
      <c r="Q64" s="450"/>
      <c r="R64" s="297"/>
      <c r="S64" s="298"/>
      <c r="T64" s="298"/>
      <c r="U64" s="298"/>
      <c r="V64" s="11"/>
      <c r="W64" s="7"/>
      <c r="X64" s="450"/>
      <c r="Y64" s="297"/>
      <c r="Z64" s="298"/>
      <c r="AA64" s="298"/>
      <c r="AB64" s="298"/>
      <c r="AC64" s="11"/>
      <c r="AD64" s="9"/>
      <c r="AE64" s="450"/>
      <c r="AF64" s="297"/>
      <c r="AG64" s="298"/>
      <c r="AH64" s="298"/>
      <c r="AI64" s="298"/>
      <c r="AJ64" s="9"/>
      <c r="AK64" s="9"/>
      <c r="AL64" s="299"/>
      <c r="AM64" s="297"/>
      <c r="AN64" s="298"/>
      <c r="AO64" s="298"/>
      <c r="AP64" s="298"/>
    </row>
    <row r="65" spans="3:43">
      <c r="C65" s="300" t="str">
        <f>IF(intervencao1=0,"Do not fill this line",intervencao1)</f>
        <v>PET-CT</v>
      </c>
      <c r="D65" s="461"/>
      <c r="E65" s="462"/>
      <c r="F65" s="7"/>
      <c r="G65" s="7"/>
      <c r="H65" s="470" t="str">
        <f>IF(intervencao1=0,"Do not fill this line",intervencao1)</f>
        <v>PET-CT</v>
      </c>
      <c r="I65" s="470"/>
      <c r="J65" s="310"/>
      <c r="K65" s="310"/>
      <c r="L65" s="310"/>
      <c r="M65" s="310"/>
      <c r="N65" s="7"/>
      <c r="O65" s="7"/>
      <c r="P65" s="7"/>
      <c r="Q65" s="227" t="str">
        <f>IF(intervencao1=0,"Do not fill this line",intervencao1)</f>
        <v>PET-CT</v>
      </c>
      <c r="R65" s="227">
        <f t="shared" ref="R65:U68" si="0">IFERROR(IF(AND(descontinua=1,OR(uso=1,uso=4)),Y65,IF(AND(descontinua=1,uso=2),AM65,IF(AND(descontinua=1,uso=3),AF65,0))),0)</f>
        <v>0</v>
      </c>
      <c r="S65" s="227">
        <f t="shared" si="0"/>
        <v>0</v>
      </c>
      <c r="T65" s="227">
        <f t="shared" si="0"/>
        <v>0</v>
      </c>
      <c r="U65" s="227">
        <f t="shared" si="0"/>
        <v>0</v>
      </c>
      <c r="V65" s="11">
        <f>IF(OR(R65&lt;R113,S65&lt;S113,T65&lt;T113,U65&lt;U113),1,0)</f>
        <v>0</v>
      </c>
      <c r="W65" s="7"/>
      <c r="X65" s="223" t="str">
        <f>IF(intervencao1=0,"Do not fill this line",intervencao1)</f>
        <v>PET-CT</v>
      </c>
      <c r="Y65" s="227" t="e">
        <f>1-AVERAGEIF(Data!AK$10:AK$21,"&gt;0",Data!AK$10:AK$21)</f>
        <v>#DIV/0!</v>
      </c>
      <c r="Z65" s="227" t="e">
        <f>1-AVERAGEIF(Data!AK$22:AK$33,"&gt;0",Data!AK$22:AK$33)</f>
        <v>#DIV/0!</v>
      </c>
      <c r="AA65" s="227" t="e">
        <f>1-AVERAGEIF(Data!AK$34:AK$45,"&gt;0",Data!AK$34:AK$45)</f>
        <v>#DIV/0!</v>
      </c>
      <c r="AB65" s="227" t="e">
        <f>1-AVERAGEIF(Data!AK$46:AK$57,"&gt;0",Data!AK$46:AK$57)</f>
        <v>#DIV/0!</v>
      </c>
      <c r="AC65" s="11"/>
      <c r="AD65" s="9"/>
      <c r="AE65" s="223" t="str">
        <f>IF(intervencao1=0,"Do not fill this line",intervencao1)</f>
        <v>PET-CT</v>
      </c>
      <c r="AF65" s="227">
        <f>1-(IFERROR(IF(AND($H$58=1,J65=""),1,IF(AND($H$58=1,J65=0),0,IF(AND($H$58=1,J65&gt;0),J65,AVERAGE(Data!S$10:S$21)))),1))</f>
        <v>0</v>
      </c>
      <c r="AG65" s="227">
        <f>1-IFERROR(IF(AND($H$58=1,K65=""),1,IF(AND($H$58=1,K65=0),0,IF(AND($H$58=1,K65&gt;0),K65,AVERAGE(Data!S$22:S$33)))),1)</f>
        <v>0</v>
      </c>
      <c r="AH65" s="227">
        <f>1-IFERROR(IF(AND($H$58=1,L65=""),1,IF(AND($H$58=1,L65=0),0,IF(AND($H$58=1,L65&gt;0),L65,AVERAGE(Data!S$34:S$45)))),1)</f>
        <v>0</v>
      </c>
      <c r="AI65" s="227">
        <f>1-IFERROR(IF(AND($H$58=1,M65=""),1,IF(AND($H$58=1,M65=0),0,IF(AND($H$58=1,M65&gt;0),M65,AVERAGE(Data!S$46:S$57)))),1)</f>
        <v>0</v>
      </c>
      <c r="AJ65" s="9"/>
      <c r="AK65" s="9"/>
      <c r="AL65" s="223" t="str">
        <f>IF(intervencao1=0,"Do not fill this line",intervencao1)</f>
        <v>PET-CT</v>
      </c>
      <c r="AM65" s="227">
        <f>IFERROR(IF($H$58=1,J65,AVERAGE(Data!C$10:C$21)),0)</f>
        <v>0</v>
      </c>
      <c r="AN65" s="227">
        <f>IFERROR(IF($H$58=1,K65,AVERAGE(Data!C$22:C$33)),0)</f>
        <v>0</v>
      </c>
      <c r="AO65" s="227">
        <f>IFERROR(IF($H$58=1,L65,AVERAGE(Data!C$34:C$45)),0)</f>
        <v>0</v>
      </c>
      <c r="AP65" s="227">
        <f>IFERROR(IF($H$58=1,M65,AVERAGE(Data!C$46:C$57)),0)</f>
        <v>0</v>
      </c>
      <c r="AQ65" s="9"/>
    </row>
    <row r="66" spans="3:43">
      <c r="C66" s="300" t="str">
        <f>IF(intervencao2=0,"Do not fill this line",intervencao2)</f>
        <v>Do not fill this line</v>
      </c>
      <c r="D66" s="461"/>
      <c r="E66" s="462"/>
      <c r="F66" s="7"/>
      <c r="G66" s="7"/>
      <c r="H66" s="470" t="str">
        <f>IF(intervencao2=0,"Do not fill this line",intervencao2)</f>
        <v>Do not fill this line</v>
      </c>
      <c r="I66" s="470"/>
      <c r="J66" s="230"/>
      <c r="K66" s="230"/>
      <c r="L66" s="230"/>
      <c r="M66" s="230"/>
      <c r="N66" s="7"/>
      <c r="O66" s="7"/>
      <c r="P66" s="7"/>
      <c r="Q66" s="223" t="str">
        <f>IF(intervencao2=0,"Do not fill this line",intervencao2)</f>
        <v>Do not fill this line</v>
      </c>
      <c r="R66" s="227">
        <f t="shared" si="0"/>
        <v>0</v>
      </c>
      <c r="S66" s="227">
        <f t="shared" si="0"/>
        <v>0</v>
      </c>
      <c r="T66" s="227">
        <f t="shared" si="0"/>
        <v>0</v>
      </c>
      <c r="U66" s="227">
        <f t="shared" si="0"/>
        <v>0</v>
      </c>
      <c r="V66" s="11">
        <f t="shared" ref="V66:V79" si="1">IF(OR(R66&lt;R114,S66&lt;S114,T66&lt;T114,U66&lt;U114),1,0)</f>
        <v>0</v>
      </c>
      <c r="W66" s="7"/>
      <c r="X66" s="223" t="str">
        <f>IF(intervencao2=0,"Do not fill this line",intervencao2)</f>
        <v>Do not fill this line</v>
      </c>
      <c r="Y66" s="227" t="e">
        <f>1-AVERAGEIF(Data!AL$10:AL$21,"&gt;0",Data!AL$10:AL$21)</f>
        <v>#DIV/0!</v>
      </c>
      <c r="Z66" s="227" t="e">
        <f>1-AVERAGEIF(Data!AL$22:AL$33,"&gt;0",Data!AL$22:AL$33)</f>
        <v>#DIV/0!</v>
      </c>
      <c r="AA66" s="227" t="e">
        <f>1-AVERAGEIF(Data!AL$34:AL$45,"&gt;0",Data!AL$34:AL$45)</f>
        <v>#DIV/0!</v>
      </c>
      <c r="AB66" s="227" t="e">
        <f>1-AVERAGEIF(Data!AL$46:AL$57,"&gt;0",Data!AL$46:AL$57)</f>
        <v>#DIV/0!</v>
      </c>
      <c r="AC66" s="11"/>
      <c r="AD66" s="9"/>
      <c r="AE66" s="223" t="str">
        <f>IF(intervencao2=0,"Do not fill this line",intervencao2)</f>
        <v>Do not fill this line</v>
      </c>
      <c r="AF66" s="227">
        <f>1-IFERROR(IF(AND($H$58=1,J66=""),1,IF(AND($H$58=1,J66=0),0,IF(AND($H$58=1,J66&gt;0),J66,AVERAGEIF(Data!T$10:T$21,"&gt;0",Data!T$10:T$21)))),1)</f>
        <v>0</v>
      </c>
      <c r="AG66" s="227">
        <f>1-IFERROR(IF(AND($H$58=1,K66=""),1,IF(AND($H$58=1,K66=0),0,IF(AND($H$58=1,K66&gt;0),K66,AVERAGEIF(Data!T$22:T$33,"&gt;0",Data!T$22:T$33)))),1)</f>
        <v>0</v>
      </c>
      <c r="AH66" s="227">
        <f>1-IFERROR(IF(AND($H$58=1,L66=""),1,IF(AND($H$58=1,L66=0),0,IF(AND($H$58=1,L66&gt;0),L66,AVERAGEIF(Data!T$34:T$45,"&gt;0",Data!T$34:T$45)))),1)</f>
        <v>0</v>
      </c>
      <c r="AI66" s="227">
        <f>1-IFERROR(IF(AND($H$58=1,M66=""),1,IF(AND($H$58=1,M66=0),0,IF(AND($H$58=1,M66&gt;0),M66,AVERAGEIF(Data!T$46:T$57,"&lt;&gt;",Data!T$46:T$57)))),1)</f>
        <v>0</v>
      </c>
      <c r="AJ66" s="9"/>
      <c r="AK66" s="9"/>
      <c r="AL66" s="223" t="str">
        <f>IF(intervencao2=0,"Do not fill this line",intervencao2)</f>
        <v>Do not fill this line</v>
      </c>
      <c r="AM66" s="227">
        <f>IFERROR(IF($H$58=1,J66,AVERAGEIF(Data!D$10:D$21,"&gt;0",Data!D$10:D$21)),0)</f>
        <v>0</v>
      </c>
      <c r="AN66" s="227">
        <f>IFERROR(IF($H$58=1,K66,AVERAGEIF(Data!D$22:D$33,"&gt;0",Data!D$22:D$33)),0)</f>
        <v>0</v>
      </c>
      <c r="AO66" s="227">
        <f>IFERROR(IF($H$58=1,L66,AVERAGEIF(Data!D$34:D$45,"&gt;0",Data!D$34:D$45)),0)</f>
        <v>0</v>
      </c>
      <c r="AP66" s="227">
        <f>IFERROR(IF($H$58=1,M66,AVERAGEIF(Data!D$46:D$57,"&gt;0",Data!D$46:D$57)),0)</f>
        <v>0</v>
      </c>
      <c r="AQ66" s="9"/>
    </row>
    <row r="67" spans="3:43">
      <c r="C67" s="300" t="str">
        <f>IF(intervencao3=0,"Do not fill this line",intervencao3)</f>
        <v>Do not fill this line</v>
      </c>
      <c r="D67" s="461"/>
      <c r="E67" s="462"/>
      <c r="F67" s="7"/>
      <c r="G67" s="7"/>
      <c r="H67" s="470" t="str">
        <f>IF(intervencao3=0,"Do not fill this line",intervencao3)</f>
        <v>Do not fill this line</v>
      </c>
      <c r="I67" s="470"/>
      <c r="J67" s="230"/>
      <c r="K67" s="230"/>
      <c r="L67" s="230"/>
      <c r="M67" s="230"/>
      <c r="N67" s="7"/>
      <c r="O67" s="7"/>
      <c r="P67" s="7"/>
      <c r="Q67" s="223" t="str">
        <f>IF(intervencao3=0,"Do not fill this line",intervencao3)</f>
        <v>Do not fill this line</v>
      </c>
      <c r="R67" s="227">
        <f t="shared" si="0"/>
        <v>0</v>
      </c>
      <c r="S67" s="227">
        <f t="shared" si="0"/>
        <v>0</v>
      </c>
      <c r="T67" s="227">
        <f t="shared" si="0"/>
        <v>0</v>
      </c>
      <c r="U67" s="227">
        <f t="shared" si="0"/>
        <v>0</v>
      </c>
      <c r="V67" s="11">
        <f t="shared" si="1"/>
        <v>0</v>
      </c>
      <c r="W67" s="7"/>
      <c r="X67" s="223" t="str">
        <f>IF(intervencao3=0,"Do not fill this line",intervencao3)</f>
        <v>Do not fill this line</v>
      </c>
      <c r="Y67" s="301" t="e">
        <f>1-AVERAGEIF(Data!AM$10:AM$21,"&gt;0",Data!AM$10:AM$21)</f>
        <v>#DIV/0!</v>
      </c>
      <c r="Z67" s="227" t="e">
        <f>1-AVERAGEIF(Data!AM$22:AM$33,"&gt;0",Data!AM$22:AM$33)</f>
        <v>#DIV/0!</v>
      </c>
      <c r="AA67" s="227" t="e">
        <f>1-AVERAGEIF(Data!AM$34:AM$45,"&gt;0",Data!AM$34:AM$45)</f>
        <v>#DIV/0!</v>
      </c>
      <c r="AB67" s="227" t="e">
        <f>1-AVERAGEIF(Data!AM$46:AM$57,"&gt;0",Data!AM$46:AM$57)</f>
        <v>#DIV/0!</v>
      </c>
      <c r="AC67" s="11"/>
      <c r="AD67" s="9"/>
      <c r="AE67" s="223" t="str">
        <f>IF(intervencao3=0,"Do not fill this line",intervencao3)</f>
        <v>Do not fill this line</v>
      </c>
      <c r="AF67" s="227">
        <f>1-IFERROR(IF(AND($H$58=1,J67=""),1,IF(AND($H$58=1,J67=0),0,IF(AND($H$58=1,J67&gt;0),J67,AVERAGEIF(Data!U$10:U$21,"&gt;0",Data!U$10:U$21)))),1)</f>
        <v>0</v>
      </c>
      <c r="AG67" s="227">
        <f>1-IFERROR(IF(AND($H$58=1,K67=""),1,IF(AND($H$58=1,K67=0),0,IF(AND($H$58=1,K67&gt;0),K67,AVERAGEIF(Data!U$22:U$33,"&gt;0",Data!U$22:U$33)))),1)</f>
        <v>0</v>
      </c>
      <c r="AH67" s="227">
        <f>1-IFERROR(IF(AND($H$58=1,L67=""),1,IF(AND($H$58=1,L67=0),0,IF(AND($H$58=1,L67&gt;0),L67,AVERAGEIF(Data!U$34:U$45,"&gt;0",Data!U$34:U$45)))),1)</f>
        <v>0</v>
      </c>
      <c r="AI67" s="227">
        <f>1-IFERROR(IF(AND($H$58=1,M67=""),1,IF(AND($H$58=1,M67=0),0,IF(AND($H$58=1,M67&gt;0),M67,AVERAGEIF(Data!U$46:U$57,"&gt;0",Data!U$46:U$57)))),1)</f>
        <v>0</v>
      </c>
      <c r="AJ67" s="9"/>
      <c r="AK67" s="9"/>
      <c r="AL67" s="223" t="str">
        <f>IF(intervencao3=0,"Do not fill this line",intervencao3)</f>
        <v>Do not fill this line</v>
      </c>
      <c r="AM67" s="227">
        <f>IFERROR(IF($H$58=1,J67,AVERAGEIF(Data!E$10:E$21,"&gt;0",Data!E$10:E$21)),0)</f>
        <v>0</v>
      </c>
      <c r="AN67" s="227">
        <f>IFERROR(IF($H$58=1,K67,AVERAGEIF(Data!E$22:E$33,"&gt;0",Data!E$22:E$33)),0)</f>
        <v>0</v>
      </c>
      <c r="AO67" s="227">
        <f>IFERROR(IF($H$58=1,L67,AVERAGEIF(Data!E$34:E$45,"&gt;0",Data!E$34:E$45)),0)</f>
        <v>0</v>
      </c>
      <c r="AP67" s="227">
        <f>IFERROR(IF($H$58=1,M67,AVERAGEIF(Data!E$46:E$57,"&gt;0",Data!E$46:E$57)),0)</f>
        <v>0</v>
      </c>
      <c r="AQ67" s="9"/>
    </row>
    <row r="68" spans="3:43">
      <c r="C68" s="300" t="str">
        <f>IF(intervencao4=0,"Do not fill this line",intervencao4)</f>
        <v>Do not fill this line</v>
      </c>
      <c r="D68" s="461"/>
      <c r="E68" s="462"/>
      <c r="F68" s="7"/>
      <c r="G68" s="7"/>
      <c r="H68" s="470" t="str">
        <f>IF(intervencao4=0,"Do not fill this line",intervencao4)</f>
        <v>Do not fill this line</v>
      </c>
      <c r="I68" s="470"/>
      <c r="J68" s="309"/>
      <c r="K68" s="309"/>
      <c r="L68" s="309"/>
      <c r="M68" s="309"/>
      <c r="N68" s="7"/>
      <c r="O68" s="7"/>
      <c r="P68" s="7"/>
      <c r="Q68" s="223" t="str">
        <f>IF(intervencao4=0,"Do not fill this line",intervencao4)</f>
        <v>Do not fill this line</v>
      </c>
      <c r="R68" s="227">
        <f t="shared" si="0"/>
        <v>0</v>
      </c>
      <c r="S68" s="227">
        <f t="shared" si="0"/>
        <v>0</v>
      </c>
      <c r="T68" s="227">
        <f t="shared" si="0"/>
        <v>0</v>
      </c>
      <c r="U68" s="227">
        <f t="shared" si="0"/>
        <v>0</v>
      </c>
      <c r="V68" s="11">
        <f t="shared" si="1"/>
        <v>0</v>
      </c>
      <c r="W68" s="7"/>
      <c r="X68" s="223" t="str">
        <f>IF(intervencao4=0,"Do not fill this line",intervencao4)</f>
        <v>Do not fill this line</v>
      </c>
      <c r="Y68" s="301" t="e">
        <f>1-AVERAGEIF(Data!AN$10:AN$21,"&gt;0",Data!AN$10:AN$21)</f>
        <v>#DIV/0!</v>
      </c>
      <c r="Z68" s="227" t="e">
        <f>1-AVERAGEIF(Data!AN$22:AN$33,"&gt;0",Data!AN$22:AN$33)</f>
        <v>#DIV/0!</v>
      </c>
      <c r="AA68" s="227" t="e">
        <f>1-AVERAGEIF(Data!AN$34:AN$45,"&gt;0",Data!AN$34:AN$45)</f>
        <v>#DIV/0!</v>
      </c>
      <c r="AB68" s="227" t="e">
        <f>1-AVERAGEIF(Data!AN$46:AN$57,"&gt;0",Data!AN$46:AN$57)</f>
        <v>#DIV/0!</v>
      </c>
      <c r="AC68" s="11"/>
      <c r="AD68" s="9"/>
      <c r="AE68" s="223" t="str">
        <f>IF(intervencao4=0,"Do not fill this line",intervencao4)</f>
        <v>Do not fill this line</v>
      </c>
      <c r="AF68" s="227">
        <f>1-IFERROR(IF(AND($H$58=1,J68=""),1,IF(AND($H$58=1,J68=0),0,IF(AND($H$58=1,J68&gt;0),J68,AVERAGEIF(Data!V$10:V$21,"&gt;0",Data!V$10:V$21)))),1)</f>
        <v>0</v>
      </c>
      <c r="AG68" s="227">
        <f>1-IFERROR(IF(AND($H$58=1,K68=""),1,IF(AND($H$58=1,K68=0),0,IF(AND($H$58=1,K68&gt;0),K68,AVERAGEIF(Data!V$22:V$33,"&gt;0",Data!V$22:V$33)))),1)</f>
        <v>0</v>
      </c>
      <c r="AH68" s="227">
        <f>1-IFERROR(IF(AND($H$58=1,L68=""),1,IF(AND($H$58=1,L68=0),0,IF(AND($H$58=1,L68&gt;0),L68,AVERAGEIF(Data!V$34:V$45,"&gt;0",Data!V$34:V$45)))),1)</f>
        <v>0</v>
      </c>
      <c r="AI68" s="227">
        <f>1-IFERROR(IF(AND($H$58=1,M68=""),1,IF(AND($H$58=1,M68=0),0,IF(AND($H$58=1,M68&gt;0),M68,AVERAGEIF(Data!V$46:V$57,"&gt;0",Data!V$46:V$57)))),1)</f>
        <v>0</v>
      </c>
      <c r="AJ68" s="9"/>
      <c r="AK68" s="9"/>
      <c r="AL68" s="223" t="str">
        <f>IF(intervencao4=0,"Do not fill this line",intervencao4)</f>
        <v>Do not fill this line</v>
      </c>
      <c r="AM68" s="227">
        <f>IFERROR(IF($H$58=1,J68,AVERAGEIF(Data!F$10:F$21,"&gt;0",Data!F$10:F$21)),0)</f>
        <v>0</v>
      </c>
      <c r="AN68" s="227">
        <f>IFERROR(IF($H$58=1,K68,AVERAGEIF(Data!F$22:F$33,"&gt;0",Data!F$22:F$33)),0)</f>
        <v>0</v>
      </c>
      <c r="AO68" s="227">
        <f>IFERROR(IF($H$58=1,L68,AVERAGEIF(Data!F$34:F$45,"&gt;0",Data!F$34:F$45)),0)</f>
        <v>0</v>
      </c>
      <c r="AP68" s="227">
        <f>IFERROR(IF($H$58=1,M68,AVERAGEIF(Data!F$46:F$57,"&gt;0",Data!F$46:F$57)),0)</f>
        <v>0</v>
      </c>
      <c r="AQ68" s="9"/>
    </row>
    <row r="69" spans="3:43">
      <c r="C69" s="294" t="str">
        <f>IF(uso=1,"Enter the average time of use",IF(uso=4,"Enter "&amp;E54,"Do not fill in this table"))</f>
        <v>Enter the average time of use</v>
      </c>
      <c r="D69" s="471" t="s">
        <v>278</v>
      </c>
      <c r="E69" s="472"/>
      <c r="F69" s="7"/>
      <c r="G69" s="7"/>
      <c r="H69" s="459" t="str">
        <f>H63</f>
        <v>Do not fill in this table</v>
      </c>
      <c r="I69" s="467"/>
      <c r="J69" s="483" t="s">
        <v>279</v>
      </c>
      <c r="K69" s="484"/>
      <c r="L69" s="484"/>
      <c r="M69" s="485"/>
      <c r="N69" s="7"/>
      <c r="O69" s="7"/>
      <c r="P69" s="7"/>
      <c r="Q69" s="302" t="str">
        <f>Q63</f>
        <v>Do not fill in this table</v>
      </c>
      <c r="R69" s="303"/>
      <c r="S69" s="304"/>
      <c r="T69" s="304"/>
      <c r="U69" s="304"/>
      <c r="V69" s="11"/>
      <c r="W69" s="7"/>
      <c r="X69" s="302" t="str">
        <f>X63</f>
        <v>Do not fill in this table</v>
      </c>
      <c r="Y69" s="303"/>
      <c r="Z69" s="304"/>
      <c r="AA69" s="304"/>
      <c r="AB69" s="304"/>
      <c r="AC69" s="11"/>
      <c r="AD69" s="9"/>
      <c r="AE69" s="302" t="str">
        <f>AE63</f>
        <v>Do not fill in this table</v>
      </c>
      <c r="AF69" s="303"/>
      <c r="AG69" s="304"/>
      <c r="AH69" s="304"/>
      <c r="AI69" s="304"/>
      <c r="AJ69" s="9"/>
      <c r="AK69" s="9"/>
      <c r="AL69" s="302" t="s">
        <v>276</v>
      </c>
      <c r="AM69" s="303"/>
      <c r="AN69" s="304"/>
      <c r="AO69" s="304"/>
      <c r="AP69" s="304"/>
      <c r="AQ69" s="9"/>
    </row>
    <row r="70" spans="3:43">
      <c r="C70" s="300" t="str">
        <f>IF(comparador1=0,"Do not fill this line",comparador1)</f>
        <v>CT scan + scintigraphy</v>
      </c>
      <c r="D70" s="461"/>
      <c r="E70" s="462"/>
      <c r="F70" s="7"/>
      <c r="G70" s="7"/>
      <c r="H70" s="470" t="str">
        <f>IF(comparador1=0,"Do not fill this line",comparador1)</f>
        <v>CT scan + scintigraphy</v>
      </c>
      <c r="I70" s="470"/>
      <c r="J70" s="310"/>
      <c r="K70" s="310"/>
      <c r="L70" s="310"/>
      <c r="M70" s="310"/>
      <c r="N70" s="7"/>
      <c r="O70" s="7"/>
      <c r="P70" s="7"/>
      <c r="Q70" s="227" t="str">
        <f>IF(comparador1=0,"Do not fill this line",comparador1)</f>
        <v>CT scan + scintigraphy</v>
      </c>
      <c r="R70" s="227">
        <f t="shared" ref="R70:R79" si="2">IFERROR(IF(AND(descontinua=1,OR(uso=1,uso=4)),Y70,IF(AND(descontinua=1,uso=2),AM70,IF(AND(descontinua=1,uso=3),AF70,0))),0)</f>
        <v>0</v>
      </c>
      <c r="S70" s="227">
        <f t="shared" ref="S70:S79" si="3">IFERROR(IF(AND(descontinua=1,OR(uso=1,uso=4)),Z70,IF(AND(descontinua=1,uso=2),AN70,IF(AND(descontinua=1,uso=3),AG70,0))),0)</f>
        <v>0</v>
      </c>
      <c r="T70" s="227">
        <f t="shared" ref="T70:T79" si="4">IFERROR(IF(AND(descontinua=1,OR(uso=1,uso=4)),AA70,IF(AND(descontinua=1,uso=2),AO70,IF(AND(descontinua=1,uso=3),AH70,0))),0)</f>
        <v>0</v>
      </c>
      <c r="U70" s="227">
        <f t="shared" ref="U70:U79" si="5">IFERROR(IF(AND(descontinua=1,OR(uso=1,uso=4)),AB70,IF(AND(descontinua=1,uso=2),AP70,IF(AND(descontinua=1,uso=3),AI70,0))),0)</f>
        <v>0</v>
      </c>
      <c r="V70" s="11">
        <f t="shared" si="1"/>
        <v>0</v>
      </c>
      <c r="W70" s="7"/>
      <c r="X70" s="223" t="str">
        <f>IF(comparador1=0,"Do not fill this line",comparador1)</f>
        <v>CT scan + scintigraphy</v>
      </c>
      <c r="Y70" s="227" t="e">
        <f>1-AVERAGEIF(Data!AO$10:AO$21,"&gt;0",Data!AO$10:AO$21)</f>
        <v>#DIV/0!</v>
      </c>
      <c r="Z70" s="227" t="e">
        <f>1-AVERAGEIF(Data!AO$22:AO$33,"&gt;0",Data!AO$22:AO$33)</f>
        <v>#DIV/0!</v>
      </c>
      <c r="AA70" s="227" t="e">
        <f>1-AVERAGEIF(Data!AO$34:AO$45,"&gt;0",Data!AO$34:AO$45)</f>
        <v>#DIV/0!</v>
      </c>
      <c r="AB70" s="227" t="e">
        <f>1-AVERAGEIF(Data!AO$46:AO$57,"&gt;0",Data!AO$46:AO$57)</f>
        <v>#DIV/0!</v>
      </c>
      <c r="AC70" s="11"/>
      <c r="AD70" s="9"/>
      <c r="AE70" s="223" t="str">
        <f>IF(comparador1=0,"Do not fill this line",comparador1)</f>
        <v>CT scan + scintigraphy</v>
      </c>
      <c r="AF70" s="227">
        <f>1-IFERROR(IF(AND($H$58=1,J70=""),1,IF(AND($H$58=1,J70=0),0,IF(AND($H$58=1,J70&gt;0),J70,AVERAGEIF(Data!W$10:W$21,"&gt;0",Data!W$10:W$21)))),1)</f>
        <v>0</v>
      </c>
      <c r="AG70" s="227">
        <f>1-IFERROR(IF(AND($H$58=1,K70=""),1,IF(AND($H$58=1,K70=0),0,IF(AND($H$58=1,K70&gt;0),K70,AVERAGEIF(Data!W$22:W$33,"&gt;0",Data!W$22:W$33)))),1)</f>
        <v>0</v>
      </c>
      <c r="AH70" s="227">
        <f>1-IFERROR(IF(AND($H$58=1,L70=""),1,IF(AND($H$58=1,L70=0),0,IF(AND($H$58=1,L70&gt;0),L70,AVERAGEIF(Data!W$34:W$45,"&gt;0",Data!W$34:W$45)))),1)</f>
        <v>0</v>
      </c>
      <c r="AI70" s="227">
        <f>1-IFERROR(IF(AND($H$58=1,M70=""),1,IF(AND($H$58=1,M70=0),0,IF(AND($H$58=1,M70&gt;0),M70,AVERAGEIF(Data!W$46:W$57,"&gt;0",Data!W$46:W$57)))),1)</f>
        <v>0</v>
      </c>
      <c r="AJ70" s="9"/>
      <c r="AK70" s="9"/>
      <c r="AL70" s="223" t="str">
        <f>IF(comparador1=0,"Do not fill this line",comparador1)</f>
        <v>CT scan + scintigraphy</v>
      </c>
      <c r="AM70" s="227">
        <f>IFERROR(IF($H$58=1,J70,AVERAGEIF(Data!G$10:G$21,"&gt;0",Data!G$10:G$21)),0)</f>
        <v>0</v>
      </c>
      <c r="AN70" s="227">
        <f>IFERROR(IF($H$58=1,K70,AVERAGEIF(Data!G$22:G$33,"&gt;0",Data!G$22:G$33)),0)</f>
        <v>0</v>
      </c>
      <c r="AO70" s="227">
        <f>IFERROR(IF($H$58=1,L70,AVERAGEIF(Data!G$34:G$45,"&gt;0",Data!G$34:G$45)),0)</f>
        <v>0</v>
      </c>
      <c r="AP70" s="227">
        <f>IFERROR(IF($H$58=1,M70,AVERAGEIF(Data!G$46:G$57,"&gt;0",Data!G$46:G$57)),0)</f>
        <v>0</v>
      </c>
      <c r="AQ70" s="9"/>
    </row>
    <row r="71" spans="3:43">
      <c r="C71" s="300" t="str">
        <f>IF(comparador2=0,"Do not fill this line",comparador2)</f>
        <v>Do not fill this line</v>
      </c>
      <c r="D71" s="461"/>
      <c r="E71" s="462"/>
      <c r="F71" s="7"/>
      <c r="G71" s="7"/>
      <c r="H71" s="470" t="str">
        <f>IF(comparador2=0,"Do not fill this line",comparador2)</f>
        <v>Do not fill this line</v>
      </c>
      <c r="I71" s="470"/>
      <c r="J71" s="230"/>
      <c r="K71" s="230"/>
      <c r="L71" s="230"/>
      <c r="M71" s="230"/>
      <c r="N71" s="7"/>
      <c r="O71" s="7"/>
      <c r="P71" s="7"/>
      <c r="Q71" s="227" t="str">
        <f>IF(comparador2=0,"Do not fill this line",comparador2)</f>
        <v>Do not fill this line</v>
      </c>
      <c r="R71" s="227">
        <f t="shared" si="2"/>
        <v>0</v>
      </c>
      <c r="S71" s="227">
        <f t="shared" si="3"/>
        <v>0</v>
      </c>
      <c r="T71" s="227">
        <f t="shared" si="4"/>
        <v>0</v>
      </c>
      <c r="U71" s="227">
        <f t="shared" si="5"/>
        <v>0</v>
      </c>
      <c r="V71" s="11">
        <f t="shared" si="1"/>
        <v>0</v>
      </c>
      <c r="W71" s="7"/>
      <c r="X71" s="223" t="str">
        <f>IF(comparador2=0,"Do not fill this line",comparador2)</f>
        <v>Do not fill this line</v>
      </c>
      <c r="Y71" s="227" t="e">
        <f>1-AVERAGEIF(Data!AP$10:AP$21,"&gt;0",Data!AP$10:AP$21)</f>
        <v>#DIV/0!</v>
      </c>
      <c r="Z71" s="227" t="e">
        <f>1-AVERAGEIF(Data!AP$22:AP$33,"&gt;0",Data!AP$22:AP$33)</f>
        <v>#DIV/0!</v>
      </c>
      <c r="AA71" s="227" t="e">
        <f>1-AVERAGEIF(Data!AP$34:AP$45,"&gt;0",Data!AP$34:AP$45)</f>
        <v>#DIV/0!</v>
      </c>
      <c r="AB71" s="227" t="e">
        <f>1-AVERAGEIF(Data!AP$46:AP$57,"&gt;0",Data!AP$46:AP$57)</f>
        <v>#DIV/0!</v>
      </c>
      <c r="AC71" s="11"/>
      <c r="AD71" s="9"/>
      <c r="AE71" s="223" t="str">
        <f>IF(comparador2=0,"Do not fill this line",comparador2)</f>
        <v>Do not fill this line</v>
      </c>
      <c r="AF71" s="227">
        <f>1-IFERROR(IF(AND($H$58=1,J71=""),1,IF(AND($H$58=1,J71=0),0,IF(AND($H$58=1,J71&gt;0),J71,AVERAGEIF(Data!X$10:X$21,"&gt;0",Data!X$10:X$21)))),1)</f>
        <v>0</v>
      </c>
      <c r="AG71" s="227">
        <f>1-IFERROR(IF(AND($H$58=1,K71=""),1,IF(AND($H$58=1,K71=0),0,IF(AND($H$58=1,K71&gt;0),K71,AVERAGEIF(Data!X$22:X$33,"&gt;0",Data!X$22:X$33)))),1)</f>
        <v>0</v>
      </c>
      <c r="AH71" s="227">
        <f>1-IFERROR(IF(AND($H$58=1,L71=""),1,IF(AND($H$58=1,L71=0),0,IF(AND($H$58=1,L71&gt;0),L71,AVERAGEIF(Data!X$34:X$45,"&gt;0",Data!X$34:X$45)))),1)</f>
        <v>0</v>
      </c>
      <c r="AI71" s="227">
        <f>1-IFERROR(IF(AND($H$58=1,M71=""),1,IF(AND($H$58=1,M71=0),0,IF(AND($H$58=1,M71&gt;0),M71,AVERAGEIF(Data!X$46:X$57,"&gt;0",Data!X$46:X$57)))),1)</f>
        <v>0</v>
      </c>
      <c r="AJ71" s="9"/>
      <c r="AK71" s="9"/>
      <c r="AL71" s="223" t="str">
        <f>IF(comparador2=0,"Do not fill this line",comparador2)</f>
        <v>Do not fill this line</v>
      </c>
      <c r="AM71" s="227">
        <f>IFERROR(IF($H$58=1,J71,AVERAGEIF(Data!H$10:H$21,"&gt;0",Data!H$10:H$21)),0)</f>
        <v>0</v>
      </c>
      <c r="AN71" s="227">
        <f>IFERROR(IF($H$58=1,K71,AVERAGEIF(Data!H$22:H$33,"&gt;0",Data!H$22:H$33)),0)</f>
        <v>0</v>
      </c>
      <c r="AO71" s="227">
        <f>IFERROR(IF($H$58=1,L71,AVERAGEIF(Data!H$34:H$45,"&gt;0",Data!H$34:H$45)),0)</f>
        <v>0</v>
      </c>
      <c r="AP71" s="227">
        <f>IFERROR(IF($H$58=1,M71,AVERAGEIF(Data!H$46:H$57,"&gt;0",Data!H$46:H$57)),0)</f>
        <v>0</v>
      </c>
      <c r="AQ71" s="9"/>
    </row>
    <row r="72" spans="3:43">
      <c r="C72" s="300" t="str">
        <f>IF(comparador3=0,"Do not fill this line",comparador3)</f>
        <v>Do not fill this line</v>
      </c>
      <c r="D72" s="461"/>
      <c r="E72" s="462"/>
      <c r="F72" s="7"/>
      <c r="G72" s="7"/>
      <c r="H72" s="470" t="str">
        <f>IF(comparador3=0,"Do not fill this line",comparador3)</f>
        <v>Do not fill this line</v>
      </c>
      <c r="I72" s="470"/>
      <c r="J72" s="230"/>
      <c r="K72" s="230"/>
      <c r="L72" s="230"/>
      <c r="M72" s="230"/>
      <c r="N72" s="7"/>
      <c r="O72" s="7"/>
      <c r="P72" s="7"/>
      <c r="Q72" s="227" t="str">
        <f>IF(comparador3=0,"Do not fill this line",comparador3)</f>
        <v>Do not fill this line</v>
      </c>
      <c r="R72" s="227">
        <f t="shared" si="2"/>
        <v>0</v>
      </c>
      <c r="S72" s="227">
        <f t="shared" si="3"/>
        <v>0</v>
      </c>
      <c r="T72" s="227">
        <f t="shared" si="4"/>
        <v>0</v>
      </c>
      <c r="U72" s="227">
        <f t="shared" si="5"/>
        <v>0</v>
      </c>
      <c r="V72" s="11">
        <f t="shared" si="1"/>
        <v>0</v>
      </c>
      <c r="W72" s="7"/>
      <c r="X72" s="223" t="str">
        <f>IF(comparador3=0,"Do not fill this line",comparador3)</f>
        <v>Do not fill this line</v>
      </c>
      <c r="Y72" s="227" t="e">
        <f>1-AVERAGEIF(Data!AQ$10:AQ$21,"&gt;0",Data!AQ$10:AQ$21)</f>
        <v>#DIV/0!</v>
      </c>
      <c r="Z72" s="227" t="e">
        <f>1-AVERAGEIF(Data!AQ$22:AQ$33,"&gt;0",Data!AQ$22:AQ$33)</f>
        <v>#DIV/0!</v>
      </c>
      <c r="AA72" s="227" t="e">
        <f>1-AVERAGEIF(Data!AQ$34:AQ$45,"&gt;0",Data!AQ$34:AQ$45)</f>
        <v>#DIV/0!</v>
      </c>
      <c r="AB72" s="227" t="e">
        <f>1-AVERAGEIF(Data!AQ$46:AQ$57,"&gt;0",Data!AQ$46:AQ$57)</f>
        <v>#DIV/0!</v>
      </c>
      <c r="AC72" s="11"/>
      <c r="AD72" s="9"/>
      <c r="AE72" s="223" t="str">
        <f>IF(comparador3=0,"Do not fill this line",comparador3)</f>
        <v>Do not fill this line</v>
      </c>
      <c r="AF72" s="227">
        <f>1-IFERROR(IF(AND($H$58=1,J72=""),1,IF(AND($H$58=1,J72=0),0,IF(AND($H$58=1,J72&gt;0),J72,AVERAGEIF(Data!Y$10:Y$21,"&gt;0",Data!Y$10:Y$21)))),1)</f>
        <v>0</v>
      </c>
      <c r="AG72" s="227">
        <f>1-IFERROR(IF(AND($H$58=1,K72=""),1,IF(AND($H$58=1,K72=0),0,IF(AND($H$58=1,K72&gt;0),K72,AVERAGEIF(Data!Y$22:Y$33,"&gt;0",Data!Y$22:Y$33)))),1)</f>
        <v>0</v>
      </c>
      <c r="AH72" s="227">
        <f>1-IFERROR(IF(AND($H$58=1,L72=""),1,IF(AND($H$58=1,L72=0),0,IF(AND($H$58=1,L72&gt;0),L72,AVERAGEIF(Data!Y$34:Y$45,"&gt;0",Data!Y$34:Y$45)))),1)</f>
        <v>0</v>
      </c>
      <c r="AI72" s="227">
        <f>1-IFERROR(IF(AND($H$58=1,M72=""),1,IF(AND($H$58=1,M72=0),0,IF(AND($H$58=1,M72&gt;0),M72,AVERAGEIF(Data!Y$46:Y$57,"&gt;0",Data!Y$46:Y$57)))),1)</f>
        <v>0</v>
      </c>
      <c r="AJ72" s="9"/>
      <c r="AK72" s="9"/>
      <c r="AL72" s="223" t="str">
        <f>IF(comparador3=0,"Do not fill this line",comparador3)</f>
        <v>Do not fill this line</v>
      </c>
      <c r="AM72" s="227">
        <f>IFERROR(IF($H$58=1,J72,AVERAGEIF(Data!I$10:I$21,"&gt;0",Data!I$10:I$21)),0)</f>
        <v>0</v>
      </c>
      <c r="AN72" s="227">
        <f>IFERROR(IF($H$58=1,K72,AVERAGEIF(Data!I$22:I$33,"&gt;0",Data!I$22:I$33)),0)</f>
        <v>0</v>
      </c>
      <c r="AO72" s="227">
        <f>IFERROR(IF($H$58=1,L72,AVERAGEIF(Data!I$34:I$45,"&gt;0",Data!I$34:I$45)),0)</f>
        <v>0</v>
      </c>
      <c r="AP72" s="227">
        <f>IFERROR(IF($H$58=1,M72,AVERAGEIF(Data!I$46:I$57,"&gt;0",Data!I$46:I$57)),0)</f>
        <v>0</v>
      </c>
      <c r="AQ72" s="9"/>
    </row>
    <row r="73" spans="3:43">
      <c r="C73" s="300" t="str">
        <f>IF(comparador4=0,"Do not fill this line",comparador4)</f>
        <v>Do not fill this line</v>
      </c>
      <c r="D73" s="461"/>
      <c r="E73" s="462"/>
      <c r="F73" s="7"/>
      <c r="G73" s="7"/>
      <c r="H73" s="470" t="str">
        <f>IF(comparador4=0,"Do not fill this line",comparador4)</f>
        <v>Do not fill this line</v>
      </c>
      <c r="I73" s="470"/>
      <c r="J73" s="230"/>
      <c r="K73" s="230"/>
      <c r="L73" s="230"/>
      <c r="M73" s="230"/>
      <c r="N73" s="7"/>
      <c r="O73" s="7"/>
      <c r="P73" s="7"/>
      <c r="Q73" s="227" t="str">
        <f>IF(comparador4=0,"Do not fill this line",comparador4)</f>
        <v>Do not fill this line</v>
      </c>
      <c r="R73" s="227">
        <f t="shared" si="2"/>
        <v>0</v>
      </c>
      <c r="S73" s="227">
        <f t="shared" si="3"/>
        <v>0</v>
      </c>
      <c r="T73" s="227">
        <f t="shared" si="4"/>
        <v>0</v>
      </c>
      <c r="U73" s="227">
        <f t="shared" si="5"/>
        <v>0</v>
      </c>
      <c r="V73" s="11">
        <f t="shared" si="1"/>
        <v>0</v>
      </c>
      <c r="W73" s="7"/>
      <c r="X73" s="223" t="str">
        <f>IF(comparador4=0,"Do not fill this line",comparador4)</f>
        <v>Do not fill this line</v>
      </c>
      <c r="Y73" s="227" t="e">
        <f>1-AVERAGEIF(Data!AR$10:AR$21,"&gt;0",Data!AR$10:AR$21)</f>
        <v>#DIV/0!</v>
      </c>
      <c r="Z73" s="227" t="e">
        <f>1-AVERAGEIF(Data!AR$22:AR$33,"&gt;0",Data!AR$22:AR$33)</f>
        <v>#DIV/0!</v>
      </c>
      <c r="AA73" s="227" t="e">
        <f>1-AVERAGEIF(Data!AR$34:AR$45,"&gt;0",Data!AR$34:AR$45)</f>
        <v>#DIV/0!</v>
      </c>
      <c r="AB73" s="227" t="e">
        <f>1-AVERAGEIF(Data!AR$46:AR$57,"&gt;0",Data!AR$46:AR$57)</f>
        <v>#DIV/0!</v>
      </c>
      <c r="AC73" s="11"/>
      <c r="AD73" s="9"/>
      <c r="AE73" s="223" t="str">
        <f>IF(comparador4=0,"Do not fill this line",comparador4)</f>
        <v>Do not fill this line</v>
      </c>
      <c r="AF73" s="227">
        <f>1-IFERROR(IF(AND($H$58=1,J73=""),1,IF(AND($H$58=1,J73=0),0,IF(AND($H$58=1,J73&gt;0),J73,AVERAGEIF(Data!Z$10:Z$21,"&gt;0",Data!Z$10:Z$21)))),1)</f>
        <v>0</v>
      </c>
      <c r="AG73" s="227">
        <f>1-IFERROR(IF(AND($H$58=1,K73=""),1,IF(AND($H$58=1,K73=0),0,IF(AND($H$58=1,K73&gt;0),K73,AVERAGEIF(Data!Z$22:Z$33,"&gt;0",Data!Z$22:Z$33)))),1)</f>
        <v>0</v>
      </c>
      <c r="AH73" s="227">
        <f>1-IFERROR(IF(AND($H$58=1,L73=""),1,IF(AND($H$58=1,L73=0),0,IF(AND($H$58=1,L73&gt;0),L73,AVERAGEIF(Data!Z$34:Z$45,"&gt;0",Data!Z$34:Z$45)))),1)</f>
        <v>0</v>
      </c>
      <c r="AI73" s="227">
        <f>1-IFERROR(IF(AND($H$58=1,M73=""),1,IF(AND($H$58=1,M73=0),0,IF(AND($H$58=1,M73&gt;0),M73,AVERAGEIF(Data!Z$46:Z$57,"&gt;0",Data!Z$46:Z$57)))),1)</f>
        <v>0</v>
      </c>
      <c r="AJ73" s="9"/>
      <c r="AK73" s="9"/>
      <c r="AL73" s="223" t="str">
        <f>IF(comparador4=0,"Do not fill this line",comparador4)</f>
        <v>Do not fill this line</v>
      </c>
      <c r="AM73" s="227">
        <f>IFERROR(IF($H$58=1,J73,AVERAGEIF(Data!J$10:J$21,"&gt;0",Data!J$10:J$21)),0)</f>
        <v>0</v>
      </c>
      <c r="AN73" s="227">
        <f>IFERROR(IF($H$58=1,K73,AVERAGEIF(Data!J$22:J$33,"&gt;0",Data!J$22:J$33)),0)</f>
        <v>0</v>
      </c>
      <c r="AO73" s="227">
        <f>IFERROR(IF($H$58=1,L73,AVERAGEIF(Data!J$34:J$45,"&gt;0",Data!J$34:J$45)),0)</f>
        <v>0</v>
      </c>
      <c r="AP73" s="227">
        <f>IFERROR(IF($H$58=1,M73,AVERAGEIF(Data!J$46:J$57,"&gt;0",Data!J$46:J$57)),0)</f>
        <v>0</v>
      </c>
      <c r="AQ73" s="9"/>
    </row>
    <row r="74" spans="3:43">
      <c r="C74" s="300" t="str">
        <f>IF(comparador5=0,"Do not fill this line",comparador5)</f>
        <v>Do not fill this line</v>
      </c>
      <c r="D74" s="461"/>
      <c r="E74" s="462"/>
      <c r="F74" s="7"/>
      <c r="G74" s="7"/>
      <c r="H74" s="470" t="str">
        <f>IF(comparador5=0,"Do not fill this line",comparador5)</f>
        <v>Do not fill this line</v>
      </c>
      <c r="I74" s="470"/>
      <c r="J74" s="230"/>
      <c r="K74" s="230"/>
      <c r="L74" s="230"/>
      <c r="M74" s="230"/>
      <c r="N74" s="7"/>
      <c r="O74" s="7"/>
      <c r="P74" s="7"/>
      <c r="Q74" s="227" t="str">
        <f>IF(comparador5=0,"Do not fill this line",comparador5)</f>
        <v>Do not fill this line</v>
      </c>
      <c r="R74" s="227">
        <f t="shared" si="2"/>
        <v>0</v>
      </c>
      <c r="S74" s="227">
        <f t="shared" si="3"/>
        <v>0</v>
      </c>
      <c r="T74" s="227">
        <f t="shared" si="4"/>
        <v>0</v>
      </c>
      <c r="U74" s="227">
        <f t="shared" si="5"/>
        <v>0</v>
      </c>
      <c r="V74" s="11">
        <f t="shared" si="1"/>
        <v>0</v>
      </c>
      <c r="W74" s="7"/>
      <c r="X74" s="223" t="str">
        <f>IF(comparador5=0,"Do not fill this line",comparador5)</f>
        <v>Do not fill this line</v>
      </c>
      <c r="Y74" s="227" t="e">
        <f>1-AVERAGEIF(Data!AS$10:AS$21,"&gt;0",Data!AS$10:AS$21)</f>
        <v>#DIV/0!</v>
      </c>
      <c r="Z74" s="227" t="e">
        <f>1-AVERAGEIF(Data!AS$22:AS$33,"&gt;0",Data!AS$22:AS$33)</f>
        <v>#DIV/0!</v>
      </c>
      <c r="AA74" s="227" t="e">
        <f>1-AVERAGEIF(Data!AS$34:AS$45,"&gt;0",Data!AS$34:AS$45)</f>
        <v>#DIV/0!</v>
      </c>
      <c r="AB74" s="227" t="e">
        <f>1-AVERAGEIF(Data!AS$46:AS$57,"&gt;0",Data!AS$46:AS$57)</f>
        <v>#DIV/0!</v>
      </c>
      <c r="AC74" s="11"/>
      <c r="AD74" s="9"/>
      <c r="AE74" s="223" t="str">
        <f>IF(comparador5=0,"Do not fill this line",comparador5)</f>
        <v>Do not fill this line</v>
      </c>
      <c r="AF74" s="227">
        <f>1-IFERROR(IF(AND($H$58=1,J74=""),1,IF(AND($H$58=1,J74=0),0,IF(AND($H$58=1,J74&gt;0),J74,AVERAGEIF(Data!AA$10:AA$21,"&gt;0",Data!AA$10:AA$21)))),1)</f>
        <v>0</v>
      </c>
      <c r="AG74" s="227">
        <f>1-IFERROR(IF(AND($H$58=1,K74=""),1,IF(AND($H$58=1,K74=0),0,IF(AND($H$58=1,K74&gt;0),K74,AVERAGEIF(Data!AA$22:AA$33,"&gt;0",Data!AA$22:AA$33)))),1)</f>
        <v>0</v>
      </c>
      <c r="AH74" s="227">
        <f>1-IFERROR(IF(AND($H$58=1,L74=""),1,IF(AND($H$58=1,L74=0),0,IF(AND($H$58=1,L74&gt;0),L74,AVERAGEIF(Data!AA$34:AA$45,"&gt;0",Data!AA$34:AA$45)))),1)</f>
        <v>0</v>
      </c>
      <c r="AI74" s="227">
        <f>1-IFERROR(IF(AND($H$58=1,M74=""),1,IF(AND($H$58=1,M74=0),0,IF(AND($H$58=1,M74&gt;0),M74,AVERAGEIF(Data!AA$46:AA$57,"&gt;0",Data!AA$46:AA$57)))),1)</f>
        <v>0</v>
      </c>
      <c r="AJ74" s="9"/>
      <c r="AK74" s="9"/>
      <c r="AL74" s="223" t="str">
        <f>IF(comparador5=0,"Do not fill this line",comparador5)</f>
        <v>Do not fill this line</v>
      </c>
      <c r="AM74" s="227">
        <f>IFERROR(IF($H$58=1,J74,AVERAGEIF(Data!K$10:K$21,"&gt;0",Data!K$10:K$21)),0)</f>
        <v>0</v>
      </c>
      <c r="AN74" s="227">
        <f>IFERROR(IF($H$58=1,K74,AVERAGEIF(Data!K$22:K$33,"&gt;0",Data!K$22:K$33)),0)</f>
        <v>0</v>
      </c>
      <c r="AO74" s="227">
        <f>IFERROR(IF($H$58=1,L74,AVERAGEIF(Data!K$34:K$45,"&gt;0",Data!K$34:K$45)),0)</f>
        <v>0</v>
      </c>
      <c r="AP74" s="227">
        <f>IFERROR(IF($H$58=1,M74,AVERAGEIF(Data!K$46:K$57,"&gt;0",Data!K$46:K$57)),0)</f>
        <v>0</v>
      </c>
      <c r="AQ74" s="9"/>
    </row>
    <row r="75" spans="3:43">
      <c r="C75" s="300" t="str">
        <f>IF(comparador6=0,"Do not fill this line",comparador6)</f>
        <v>Do not fill this line</v>
      </c>
      <c r="D75" s="461"/>
      <c r="E75" s="462"/>
      <c r="F75" s="7"/>
      <c r="G75" s="7"/>
      <c r="H75" s="470" t="str">
        <f>IF(comparador6=0,"Do not fill this line",comparador6)</f>
        <v>Do not fill this line</v>
      </c>
      <c r="I75" s="470"/>
      <c r="J75" s="230"/>
      <c r="K75" s="230"/>
      <c r="L75" s="230"/>
      <c r="M75" s="230"/>
      <c r="N75" s="7"/>
      <c r="O75" s="7"/>
      <c r="P75" s="7"/>
      <c r="Q75" s="227" t="str">
        <f>IF(comparador6=0,"Do not fill this line",comparador6)</f>
        <v>Do not fill this line</v>
      </c>
      <c r="R75" s="227">
        <f t="shared" si="2"/>
        <v>0</v>
      </c>
      <c r="S75" s="227">
        <f t="shared" si="3"/>
        <v>0</v>
      </c>
      <c r="T75" s="227">
        <f t="shared" si="4"/>
        <v>0</v>
      </c>
      <c r="U75" s="227">
        <f t="shared" si="5"/>
        <v>0</v>
      </c>
      <c r="V75" s="11">
        <f t="shared" si="1"/>
        <v>0</v>
      </c>
      <c r="W75" s="7"/>
      <c r="X75" s="223" t="str">
        <f>IF(comparador6=0,"Do not fill this line",comparador6)</f>
        <v>Do not fill this line</v>
      </c>
      <c r="Y75" s="227" t="e">
        <f>1-AVERAGEIF(Data!AT$10:AT$21,"&gt;0",Data!AT$10:AT$21)</f>
        <v>#DIV/0!</v>
      </c>
      <c r="Z75" s="227" t="e">
        <f>1-AVERAGEIF(Data!AT$22:AT$33,"&gt;0",Data!AT$22:AT$33)</f>
        <v>#DIV/0!</v>
      </c>
      <c r="AA75" s="227" t="e">
        <f>1-AVERAGEIF(Data!AT$34:AT$45,"&gt;0",Data!AT$34:AT$45)</f>
        <v>#DIV/0!</v>
      </c>
      <c r="AB75" s="227" t="e">
        <f>1-AVERAGEIF(Data!AT$46:AT$57,"&gt;0",Data!AT$46:AT$57)</f>
        <v>#DIV/0!</v>
      </c>
      <c r="AC75" s="11"/>
      <c r="AD75" s="9"/>
      <c r="AE75" s="223" t="str">
        <f>IF(comparador6=0,"Do not fill this line",comparador6)</f>
        <v>Do not fill this line</v>
      </c>
      <c r="AF75" s="227">
        <f>1-IFERROR(IF(AND($H$58=1,J75=""),1,IF(AND($H$58=1,J75=0),0,IF(AND($H$58=1,J75&gt;0),J75,AVERAGEIF(Data!AB$10:AB$21,"&gt;0",Data!AB$10:AB$21)))),1)</f>
        <v>0</v>
      </c>
      <c r="AG75" s="227">
        <f>1-IFERROR(IF(AND($H$58=1,K75=""),1,IF(AND($H$58=1,K75=0),0,IF(AND($H$58=1,K75&gt;0),K75,AVERAGEIF(Data!AB$22:AB$33,"&gt;0",Data!AB$22:AB$33)))),1)</f>
        <v>0</v>
      </c>
      <c r="AH75" s="227">
        <f>1-IFERROR(IF(AND($H$58=1,L75=""),1,IF(AND($H$58=1,L75=0),0,IF(AND($H$58=1,L75&gt;0),L75,AVERAGEIF(Data!AB$34:AB$45,"&gt;0",Data!AB$34:AB$45)))),1)</f>
        <v>0</v>
      </c>
      <c r="AI75" s="227">
        <f>1-IFERROR(IF(AND($H$58=1,M75=""),1,IF(AND($H$58=1,M75=0),0,IF(AND($H$58=1,M75&gt;0),M75,AVERAGEIF(Data!AB$46:AB$57,"&gt;0",Data!AB$46:AB$57)))),1)</f>
        <v>0</v>
      </c>
      <c r="AJ75" s="9"/>
      <c r="AK75" s="9"/>
      <c r="AL75" s="223" t="str">
        <f>IF(comparador6=0,"Do not fill this line",comparador6)</f>
        <v>Do not fill this line</v>
      </c>
      <c r="AM75" s="227">
        <f>IFERROR(IF($H$58=1,J75,AVERAGEIF(Data!L$10:L$21,"&gt;0",Data!L$10:L$21)),0)</f>
        <v>0</v>
      </c>
      <c r="AN75" s="227">
        <f>IFERROR(IF($H$58=1,K75,AVERAGEIF(Data!L$22:L$33,"&gt;0",Data!L$22:L$33)),0)</f>
        <v>0</v>
      </c>
      <c r="AO75" s="227">
        <f>IFERROR(IF($H$58=1,L75,AVERAGEIF(Data!L$34:L$45,"&gt;0",Data!L$34:L$45)),0)</f>
        <v>0</v>
      </c>
      <c r="AP75" s="227">
        <f>IFERROR(IF($H$58=1,M75,AVERAGEIF(Data!L$46:L$57,"&gt;0",Data!L$46:L$57)),0)</f>
        <v>0</v>
      </c>
      <c r="AQ75" s="9"/>
    </row>
    <row r="76" spans="3:43">
      <c r="C76" s="300" t="str">
        <f>IF(comparador7=0,"Do not fill this line",comparador7)</f>
        <v>Do not fill this line</v>
      </c>
      <c r="D76" s="461"/>
      <c r="E76" s="462"/>
      <c r="F76" s="7"/>
      <c r="G76" s="7"/>
      <c r="H76" s="470" t="str">
        <f>IF(comparador7=0,"Do not fill this line",comparador7)</f>
        <v>Do not fill this line</v>
      </c>
      <c r="I76" s="470"/>
      <c r="J76" s="230"/>
      <c r="K76" s="230"/>
      <c r="L76" s="230"/>
      <c r="M76" s="230"/>
      <c r="N76" s="7"/>
      <c r="O76" s="7"/>
      <c r="P76" s="7"/>
      <c r="Q76" s="227" t="str">
        <f>IF(comparador7=0,"Do not fill this line",comparador7)</f>
        <v>Do not fill this line</v>
      </c>
      <c r="R76" s="227">
        <f t="shared" si="2"/>
        <v>0</v>
      </c>
      <c r="S76" s="227">
        <f t="shared" si="3"/>
        <v>0</v>
      </c>
      <c r="T76" s="227">
        <f t="shared" si="4"/>
        <v>0</v>
      </c>
      <c r="U76" s="227">
        <f t="shared" si="5"/>
        <v>0</v>
      </c>
      <c r="V76" s="11">
        <f t="shared" si="1"/>
        <v>0</v>
      </c>
      <c r="W76" s="7"/>
      <c r="X76" s="223" t="str">
        <f>IF(comparador7=0,"Do not fill this line",comparador7)</f>
        <v>Do not fill this line</v>
      </c>
      <c r="Y76" s="227" t="e">
        <f>1-AVERAGEIF(Data!AU$10:AU$21,"&gt;0",Data!AU$10:AU$21)</f>
        <v>#DIV/0!</v>
      </c>
      <c r="Z76" s="227" t="e">
        <f>1-AVERAGEIF(Data!AU$22:AU$33,"&gt;0",Data!AU$22:AU$33)</f>
        <v>#DIV/0!</v>
      </c>
      <c r="AA76" s="227" t="e">
        <f>1-AVERAGEIF(Data!AU$34:AU$45,"&gt;0",Data!AU$34:AU$45)</f>
        <v>#DIV/0!</v>
      </c>
      <c r="AB76" s="227" t="e">
        <f>1-AVERAGEIF(Data!AU$46:AU$57,"&gt;0",Data!AU$46:AU$57)</f>
        <v>#DIV/0!</v>
      </c>
      <c r="AC76" s="11"/>
      <c r="AD76" s="9"/>
      <c r="AE76" s="223" t="str">
        <f>IF(comparador7=0,"Do not fill this line",comparador7)</f>
        <v>Do not fill this line</v>
      </c>
      <c r="AF76" s="227">
        <f>1-IFERROR(IF(AND($H$58=1,J76=""),1,IF(AND($H$58=1,J76=0),0,IF(AND($H$58=1,J76&gt;0),J76,AVERAGEIF(Data!AC$10:AC$21,"&gt;0",Data!AC$10:AC$21)))),1)</f>
        <v>0</v>
      </c>
      <c r="AG76" s="227">
        <f>1-IFERROR(IF(AND($H$58=1,K76=""),1,IF(AND($H$58=1,K76=0),0,IF(AND($H$58=1,K76&gt;0),K76,AVERAGEIF(Data!AC$22:AC$33,"&gt;0",Data!AC$22:AC$33)))),1)</f>
        <v>0</v>
      </c>
      <c r="AH76" s="227">
        <f>1-IFERROR(IF(AND($H$58=1,L76=""),1,IF(AND($H$58=1,L76=0),0,IF(AND($H$58=1,L76&gt;0),L76,AVERAGEIF(Data!AC$34:AC$45,"&gt;0",Data!AC$34:AC$45)))),1)</f>
        <v>0</v>
      </c>
      <c r="AI76" s="227">
        <f>1-IFERROR(IF(AND($H$58=1,M76=""),1,IF(AND($H$58=1,M76=0),0,IF(AND($H$58=1,M76&gt;0),M76,AVERAGEIF(Data!AC$46:AC$57,"&gt;0",Data!AC$46:AC$57)))),1)</f>
        <v>0</v>
      </c>
      <c r="AJ76" s="9"/>
      <c r="AK76" s="9"/>
      <c r="AL76" s="223" t="str">
        <f>IF(comparador7=0,"Do not fill this line",comparador7)</f>
        <v>Do not fill this line</v>
      </c>
      <c r="AM76" s="227">
        <f>IFERROR(IF($H$58=1,J76,AVERAGEIF(Data!M$10:M$21,"&gt;0",Data!M$10:M$21)),0)</f>
        <v>0</v>
      </c>
      <c r="AN76" s="227">
        <f>IFERROR(IF($H$58=1,K76,AVERAGEIF(Data!M$22:M$33,"&gt;0",Data!M$22:M$33)),0)</f>
        <v>0</v>
      </c>
      <c r="AO76" s="227">
        <f>IFERROR(IF($H$58=1,L76,AVERAGEIF(Data!M$34:M$45,"&gt;0",Data!M$34:M$45)),0)</f>
        <v>0</v>
      </c>
      <c r="AP76" s="227">
        <f>IFERROR(IF($H$58=1,M76,AVERAGEIF(Data!M$46:M$57,"&gt;0",Data!M$46:M$57)),0)</f>
        <v>0</v>
      </c>
      <c r="AQ76" s="9"/>
    </row>
    <row r="77" spans="3:43">
      <c r="C77" s="300" t="str">
        <f>IF(comparador8=0,"Do not fill this line",comparador8)</f>
        <v>Do not fill this line</v>
      </c>
      <c r="D77" s="461"/>
      <c r="E77" s="462"/>
      <c r="F77" s="7"/>
      <c r="G77" s="7"/>
      <c r="H77" s="470" t="str">
        <f>IF(comparador8=0,"Do not fill this line",comparador8)</f>
        <v>Do not fill this line</v>
      </c>
      <c r="I77" s="470"/>
      <c r="J77" s="230"/>
      <c r="K77" s="230"/>
      <c r="L77" s="230"/>
      <c r="M77" s="230"/>
      <c r="N77" s="7"/>
      <c r="O77" s="7"/>
      <c r="P77" s="7"/>
      <c r="Q77" s="227" t="str">
        <f>IF(comparador8=0,"Do not fill this line",comparador8)</f>
        <v>Do not fill this line</v>
      </c>
      <c r="R77" s="227">
        <f t="shared" si="2"/>
        <v>0</v>
      </c>
      <c r="S77" s="227">
        <f t="shared" si="3"/>
        <v>0</v>
      </c>
      <c r="T77" s="227">
        <f t="shared" si="4"/>
        <v>0</v>
      </c>
      <c r="U77" s="227">
        <f t="shared" si="5"/>
        <v>0</v>
      </c>
      <c r="V77" s="11">
        <f t="shared" si="1"/>
        <v>0</v>
      </c>
      <c r="W77" s="7"/>
      <c r="X77" s="223" t="str">
        <f>IF(comparador8=0,"Do not fill this line",comparador8)</f>
        <v>Do not fill this line</v>
      </c>
      <c r="Y77" s="227" t="e">
        <f>1-AVERAGEIF(Data!AV$10:AV$21,"&gt;0",Data!AV$10:AV$21)</f>
        <v>#DIV/0!</v>
      </c>
      <c r="Z77" s="227" t="e">
        <f>1-AVERAGEIF(Data!AV$22:AV$33,"&gt;0",Data!AV$22:AV$33)</f>
        <v>#DIV/0!</v>
      </c>
      <c r="AA77" s="227" t="e">
        <f>1-AVERAGEIF(Data!AV$34:AV$45,"&gt;0",Data!AV$34:AV$45)</f>
        <v>#DIV/0!</v>
      </c>
      <c r="AB77" s="227" t="e">
        <f>1-AVERAGEIF(Data!AV$46:AV$57,"&gt;0",Data!AV$46:AV$57)</f>
        <v>#DIV/0!</v>
      </c>
      <c r="AC77" s="11"/>
      <c r="AD77" s="9"/>
      <c r="AE77" s="223" t="str">
        <f>IF(comparador8=0,"Do not fill this line",comparador8)</f>
        <v>Do not fill this line</v>
      </c>
      <c r="AF77" s="227">
        <f>1-IFERROR(IF(AND($H$58=1,J77=""),1,IF(AND($H$58=1,J77=0),0,IF(AND($H$58=1,J77&gt;0),J77,AVERAGEIF(Data!AD$10:AD$21,"&gt;0",Data!AD$10:AD$21)))),1)</f>
        <v>0</v>
      </c>
      <c r="AG77" s="227">
        <f>1-IFERROR(IF(AND($H$58=1,K77=""),1,IF(AND($H$58=1,K77=0),0,IF(AND($H$58=1,K77&gt;0),K77,AVERAGEIF(Data!AD$22:AD$33,"&gt;0",Data!AD$22:AD$33)))),1)</f>
        <v>0</v>
      </c>
      <c r="AH77" s="227">
        <f>1-IFERROR(IF(AND($H$58=1,L77=""),1,IF(AND($H$58=1,L77=0),0,IF(AND($H$58=1,L77&gt;0),L77,AVERAGEIF(Data!AD$34:AD$45,"&gt;0",Data!AD$34:AD$45)))),1)</f>
        <v>0</v>
      </c>
      <c r="AI77" s="227">
        <f>1-IFERROR(IF(AND($H$58=1,M77=""),1,IF(AND($H$58=1,M77=0),0,IF(AND($H$58=1,M77&gt;0),M77,AVERAGEIF(Data!AD$46:AD$57,"&gt;0",Data!AD$46:AD$57)))),1)</f>
        <v>0</v>
      </c>
      <c r="AJ77" s="9"/>
      <c r="AK77" s="9"/>
      <c r="AL77" s="223" t="str">
        <f>IF(comparador8=0,"Do not fill this line",comparador8)</f>
        <v>Do not fill this line</v>
      </c>
      <c r="AM77" s="227">
        <f>IFERROR(IF($H$58=1,J77,AVERAGEIF(Data!N$10:N$21,"&gt;0",Data!N$10:N$21)),0)</f>
        <v>0</v>
      </c>
      <c r="AN77" s="227">
        <f>IFERROR(IF($H$58=1,K77,AVERAGEIF(Data!N$22:N$33,"&gt;0",Data!N$22:N$33)),0)</f>
        <v>0</v>
      </c>
      <c r="AO77" s="227">
        <f>IFERROR(IF($H$58=1,L77,AVERAGEIF(Data!N$34:N$45,"&gt;0",Data!N$34:N$45)),0)</f>
        <v>0</v>
      </c>
      <c r="AP77" s="227">
        <f>IFERROR(IF($H$58=1,M77,AVERAGEIF(Data!N$46:N$57,"&gt;0",Data!N$46:N$57)),0)</f>
        <v>0</v>
      </c>
      <c r="AQ77" s="9"/>
    </row>
    <row r="78" spans="3:43">
      <c r="C78" s="300" t="str">
        <f>IF(comparador9=0,"Do not fill this line",comparador9)</f>
        <v>Do not fill this line</v>
      </c>
      <c r="D78" s="461"/>
      <c r="E78" s="462"/>
      <c r="F78" s="7"/>
      <c r="G78" s="7"/>
      <c r="H78" s="470" t="str">
        <f>IF(comparador9=0,"Do not fill this line",comparador9)</f>
        <v>Do not fill this line</v>
      </c>
      <c r="I78" s="470"/>
      <c r="J78" s="230"/>
      <c r="K78" s="230"/>
      <c r="L78" s="230"/>
      <c r="M78" s="230"/>
      <c r="N78" s="7"/>
      <c r="O78" s="7"/>
      <c r="P78" s="7"/>
      <c r="Q78" s="227" t="str">
        <f>IF(comparador9=0,"Do not fill this line",comparador9)</f>
        <v>Do not fill this line</v>
      </c>
      <c r="R78" s="227">
        <f t="shared" si="2"/>
        <v>0</v>
      </c>
      <c r="S78" s="227">
        <f t="shared" si="3"/>
        <v>0</v>
      </c>
      <c r="T78" s="227">
        <f t="shared" si="4"/>
        <v>0</v>
      </c>
      <c r="U78" s="227">
        <f t="shared" si="5"/>
        <v>0</v>
      </c>
      <c r="V78" s="11">
        <f t="shared" si="1"/>
        <v>0</v>
      </c>
      <c r="W78" s="7"/>
      <c r="X78" s="223" t="str">
        <f>IF(comparador9=0,"Do not fill this line",comparador9)</f>
        <v>Do not fill this line</v>
      </c>
      <c r="Y78" s="227" t="e">
        <f>1-AVERAGEIF(Data!AW$10:AW$21,"&gt;0",Data!AW$10:AW$21)</f>
        <v>#DIV/0!</v>
      </c>
      <c r="Z78" s="227" t="e">
        <f>1-AVERAGEIF(Data!AW$22:AW$33,"&gt;0",Data!AW$22:AW$33)</f>
        <v>#DIV/0!</v>
      </c>
      <c r="AA78" s="227" t="e">
        <f>1-AVERAGEIF(Data!AW$34:AW$45,"&gt;0",Data!AW$34:AW$45)</f>
        <v>#DIV/0!</v>
      </c>
      <c r="AB78" s="227" t="e">
        <f>1-AVERAGEIF(Data!AW$46:AW$57,"&gt;0",Data!AW$46:AW$57)</f>
        <v>#DIV/0!</v>
      </c>
      <c r="AC78" s="11"/>
      <c r="AD78" s="9"/>
      <c r="AE78" s="223" t="str">
        <f>IF(comparador9=0,"Do not fill this line",comparador9)</f>
        <v>Do not fill this line</v>
      </c>
      <c r="AF78" s="227">
        <f>1-IFERROR(IF(AND($H$58=1,J78=""),1,IF(AND($H$58=1,J78=0),0,IF(AND($H$58=1,J78&gt;0),J78,AVERAGEIF(Data!AE$10:AE$21,"&gt;0",Data!AE$10:AE$21)))),1)</f>
        <v>0</v>
      </c>
      <c r="AG78" s="227">
        <f>1-IFERROR(IF(AND($H$58=1,K78=""),1,IF(AND($H$58=1,K78=0),0,IF(AND($H$58=1,K78&gt;0),K78,AVERAGEIF(Data!AE$22:AE$33,"&gt;0",Data!AE$22:AE$33)))),1)</f>
        <v>0</v>
      </c>
      <c r="AH78" s="227">
        <f>1-IFERROR(IF(AND($H$58=1,L78=""),1,IF(AND($H$58=1,L78=0),0,IF(AND($H$58=1,L78&gt;0),L78,AVERAGEIF(Data!AE$34:AE$45,"&gt;0",Data!AE$34:AE$45)))),1)</f>
        <v>0</v>
      </c>
      <c r="AI78" s="227">
        <f>1-IFERROR(IF(AND($H$58=1,M78=""),1,IF(AND($H$58=1,M78=0),0,IF(AND($H$58=1,M78&gt;0),M78,AVERAGEIF(Data!AE$46:AE$57,"&gt;0",Data!AE$46:AE$57)))),1)</f>
        <v>0</v>
      </c>
      <c r="AJ78" s="9"/>
      <c r="AK78" s="9"/>
      <c r="AL78" s="223" t="str">
        <f>IF(comparador9=0,"Do not fill this line",comparador9)</f>
        <v>Do not fill this line</v>
      </c>
      <c r="AM78" s="227">
        <f>IFERROR(IF($H$58=1,J78,AVERAGEIF(Data!O$10:O$21,"&gt;0",Data!O$10:O$21)),0)</f>
        <v>0</v>
      </c>
      <c r="AN78" s="227">
        <f>IFERROR(IF($H$58=1,K78,AVERAGEIF(Data!O$22:O$33,"&gt;0",Data!O$22:O$33)),0)</f>
        <v>0</v>
      </c>
      <c r="AO78" s="227">
        <f>IFERROR(IF($H$58=1,L78,AVERAGEIF(Data!O$34:O$45,"&gt;0",Data!O$34:O$45)),0)</f>
        <v>0</v>
      </c>
      <c r="AP78" s="227">
        <f>IFERROR(IF($H$58=1,M78,AVERAGEIF(Data!O$46:O$57,"&gt;0",Data!O$46:O$57)),0)</f>
        <v>0</v>
      </c>
      <c r="AQ78" s="9"/>
    </row>
    <row r="79" spans="3:43">
      <c r="C79" s="300" t="str">
        <f>IF(comparador10=0,"Do not fill this line",comparador10)</f>
        <v>Do not fill this line</v>
      </c>
      <c r="D79" s="461"/>
      <c r="E79" s="462"/>
      <c r="F79" s="7"/>
      <c r="G79" s="7"/>
      <c r="H79" s="470" t="str">
        <f>IF(comparador10=0,"Do not fill this line",comparador10)</f>
        <v>Do not fill this line</v>
      </c>
      <c r="I79" s="470"/>
      <c r="J79" s="230"/>
      <c r="K79" s="230"/>
      <c r="L79" s="230"/>
      <c r="M79" s="230"/>
      <c r="N79" s="7"/>
      <c r="O79" s="7"/>
      <c r="P79" s="7"/>
      <c r="Q79" s="227" t="str">
        <f>IF(comparador10=0,"Do not fill this line",comparador10)</f>
        <v>Do not fill this line</v>
      </c>
      <c r="R79" s="227">
        <f t="shared" si="2"/>
        <v>0</v>
      </c>
      <c r="S79" s="227">
        <f t="shared" si="3"/>
        <v>0</v>
      </c>
      <c r="T79" s="227">
        <f t="shared" si="4"/>
        <v>0</v>
      </c>
      <c r="U79" s="227">
        <f t="shared" si="5"/>
        <v>0</v>
      </c>
      <c r="V79" s="11">
        <f t="shared" si="1"/>
        <v>0</v>
      </c>
      <c r="W79" s="7"/>
      <c r="X79" s="223" t="str">
        <f>IF(comparador10=0,"Do not fill this line",comparador10)</f>
        <v>Do not fill this line</v>
      </c>
      <c r="Y79" s="227" t="e">
        <f>1-AVERAGEIF(Data!AX$10:AX$21,"&gt;0",Data!AX$10:AX$21)</f>
        <v>#DIV/0!</v>
      </c>
      <c r="Z79" s="227" t="e">
        <f>1-AVERAGEIF(Data!AX$22:AX$33,"&gt;0",Data!AX$22:AX$33)</f>
        <v>#DIV/0!</v>
      </c>
      <c r="AA79" s="227" t="e">
        <f>1-AVERAGEIF(Data!AX$34:AX$45,"&gt;0",Data!AX$34:AX$45)</f>
        <v>#DIV/0!</v>
      </c>
      <c r="AB79" s="227" t="e">
        <f>1-AVERAGEIF(Data!AX$46:AX$57,"&gt;0",Data!AX$46:AX$57)</f>
        <v>#DIV/0!</v>
      </c>
      <c r="AC79" s="11"/>
      <c r="AD79" s="9"/>
      <c r="AE79" s="223" t="str">
        <f>IF(comparador10=0,"Do not fill this line",comparador10)</f>
        <v>Do not fill this line</v>
      </c>
      <c r="AF79" s="227">
        <f>1-IFERROR(IF(AND($H$58=1,J79=""),1,IF(AND($H$58=1,J79=0),0,IF(AND($H$58=1,J79&gt;0),J79,AVERAGEIF(Data!AF$10:AF$21,"&gt;0",Data!AF$10:AF$21)))),1)</f>
        <v>0</v>
      </c>
      <c r="AG79" s="227">
        <f>1-IFERROR(IF(AND($H$58=1,K79=""),1,IF(AND($H$58=1,K79=0),0,IF(AND($H$58=1,K79&gt;0),K79,AVERAGEIF(Data!AF$22:AF$33,"&gt;0",Data!AF$22:AF$33)))),1)</f>
        <v>0</v>
      </c>
      <c r="AH79" s="227">
        <f>1-IFERROR(IF(AND($H$58=1,L79=""),1,IF(AND($H$58=1,L79=0),0,IF(AND($H$58=1,L79&gt;0),L79,AVERAGEIF(Data!AF$34:AF$45,"&gt;0",Data!AF$34:AF$45)))),1)</f>
        <v>0</v>
      </c>
      <c r="AI79" s="227">
        <f>1-IFERROR(IF(AND($H$58=1,M79=""),1,IF(AND($H$58=1,M79=0),0,IF(AND($H$58=1,M79&gt;0),M79,AVERAGEIF(Data!AF$46:AF$57,"&gt;0",Data!AF$46:AF$57)))),1)</f>
        <v>0</v>
      </c>
      <c r="AJ79" s="9"/>
      <c r="AK79" s="9"/>
      <c r="AL79" s="223" t="str">
        <f>IF(comparador10=0,"Do not fill this line",comparador10)</f>
        <v>Do not fill this line</v>
      </c>
      <c r="AM79" s="227">
        <f>IFERROR(IF($H$58=1,J79,AVERAGEIF(Data!P$10:P$21,"&gt;0",Data!P$10:P$21)),0)</f>
        <v>0</v>
      </c>
      <c r="AN79" s="227">
        <f>IFERROR(IF($H$58=1,K79,AVERAGEIF(Data!P$22:P$33,"&gt;0",Data!P$22:P$33)),0)</f>
        <v>0</v>
      </c>
      <c r="AO79" s="227">
        <f>IFERROR(IF($H$58=1,L79,AVERAGEIF(Data!P$34:P$45,"&gt;0",Data!P$34:P$45)),0)</f>
        <v>0</v>
      </c>
      <c r="AP79" s="227">
        <f>IFERROR(IF($H$58=1,M79,AVERAGEIF(Data!P$46:P$57,"&gt;0",Data!P$46:P$57)),0)</f>
        <v>0</v>
      </c>
      <c r="AQ79" s="9"/>
    </row>
    <row r="80" spans="3:43">
      <c r="C80" s="379" t="str">
        <f>IF(uso=4,"Atention!",IF(uso=1,"Atention!",""))</f>
        <v>Atention!</v>
      </c>
      <c r="D80" s="6"/>
      <c r="E80" s="6"/>
      <c r="F80" s="7"/>
      <c r="G80" s="7"/>
      <c r="H80" s="2"/>
      <c r="I80" s="7"/>
      <c r="J80" s="7"/>
      <c r="K80" s="7"/>
      <c r="L80" s="7"/>
      <c r="M80" s="7"/>
      <c r="N80" s="7"/>
      <c r="O80" s="7"/>
      <c r="P80" s="7"/>
      <c r="Q80" s="191"/>
      <c r="R80" s="191"/>
      <c r="S80" s="11"/>
      <c r="T80" s="11"/>
      <c r="U80" s="11"/>
      <c r="V80" s="11"/>
      <c r="W80" s="7"/>
      <c r="X80" s="11"/>
      <c r="Y80" s="11"/>
      <c r="Z80" s="11"/>
      <c r="AA80" s="11"/>
      <c r="AB80" s="11"/>
      <c r="AC80" s="11"/>
      <c r="AD80" s="9"/>
      <c r="AE80" s="11"/>
      <c r="AF80" s="9"/>
      <c r="AG80" s="9"/>
      <c r="AH80" s="9"/>
      <c r="AI80" s="9"/>
      <c r="AJ80" s="9"/>
      <c r="AK80" s="9"/>
      <c r="AL80" s="9"/>
      <c r="AM80" s="9"/>
      <c r="AN80" s="9"/>
      <c r="AO80" s="9"/>
      <c r="AP80" s="9"/>
      <c r="AQ80" s="9"/>
    </row>
    <row r="81" spans="3:43" ht="15" customHeight="1">
      <c r="C81" s="479" t="str">
        <f>IF(uso=4,_xlfn._LONGTEXT("Median survival should be used only as a last resort - when no other data are available - since it has a significant limitation: the inability to identify the best curve fit. By assuming a constant rate, it may underestimate or overestimate the duration o","f the patient's treatment over time."),IF(uso=1,_xlfn._LONGTEXT("Median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f>
        <v>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v>
      </c>
      <c r="D81" s="479"/>
      <c r="E81" s="479"/>
      <c r="F81" s="479"/>
      <c r="G81" s="479"/>
      <c r="H81" s="479"/>
      <c r="I81" s="7"/>
      <c r="J81" s="7"/>
      <c r="K81" s="7"/>
      <c r="L81" s="7"/>
      <c r="M81" s="7"/>
      <c r="N81" s="7"/>
      <c r="O81" s="7"/>
      <c r="P81" s="7"/>
      <c r="Q81" s="191"/>
      <c r="R81" s="191"/>
      <c r="S81" s="11"/>
      <c r="T81" s="11"/>
      <c r="U81" s="11"/>
      <c r="V81" s="11"/>
      <c r="W81" s="7"/>
      <c r="X81" s="11"/>
      <c r="Y81" s="11"/>
      <c r="Z81" s="11"/>
      <c r="AA81" s="11"/>
      <c r="AB81" s="11"/>
      <c r="AC81" s="11"/>
      <c r="AD81" s="9"/>
      <c r="AE81" s="11"/>
      <c r="AF81" s="9"/>
      <c r="AG81" s="9"/>
      <c r="AH81" s="9"/>
      <c r="AI81" s="9"/>
      <c r="AJ81" s="9"/>
      <c r="AK81" s="9"/>
      <c r="AL81" s="9"/>
      <c r="AM81" s="9"/>
      <c r="AN81" s="9"/>
      <c r="AO81" s="9"/>
      <c r="AP81" s="9"/>
      <c r="AQ81" s="9"/>
    </row>
    <row r="82" spans="3:43">
      <c r="C82" s="479"/>
      <c r="D82" s="479"/>
      <c r="E82" s="479"/>
      <c r="F82" s="479"/>
      <c r="G82" s="479"/>
      <c r="H82" s="479"/>
      <c r="I82" s="9"/>
      <c r="K82" s="9"/>
      <c r="L82" s="9"/>
      <c r="O82" s="9"/>
      <c r="P82" s="9"/>
      <c r="Q82" s="11"/>
      <c r="R82" s="11"/>
      <c r="S82" s="11"/>
      <c r="T82" s="11"/>
      <c r="U82" s="11"/>
      <c r="V82" s="11"/>
      <c r="W82" s="9"/>
      <c r="X82" s="11"/>
      <c r="Y82" s="11"/>
      <c r="Z82" s="11"/>
      <c r="AA82" s="11"/>
      <c r="AB82" s="11"/>
      <c r="AC82" s="11"/>
      <c r="AD82" s="9"/>
      <c r="AE82" s="11"/>
      <c r="AF82" s="9"/>
      <c r="AG82" s="9"/>
      <c r="AH82" s="9"/>
      <c r="AI82" s="9"/>
      <c r="AJ82" s="9"/>
      <c r="AK82" s="9"/>
      <c r="AL82" s="9"/>
      <c r="AM82" s="9"/>
      <c r="AN82" s="9"/>
      <c r="AO82" s="9"/>
      <c r="AP82" s="9"/>
      <c r="AQ82" s="9"/>
    </row>
    <row r="83" spans="3:43" customFormat="1">
      <c r="C83" s="480"/>
      <c r="D83" s="480"/>
      <c r="E83" s="480"/>
      <c r="F83" s="480"/>
      <c r="G83" s="480"/>
      <c r="H83" s="480"/>
      <c r="I83" s="7"/>
      <c r="J83" s="7"/>
      <c r="K83" s="7"/>
      <c r="L83" s="7"/>
      <c r="M83" s="7"/>
      <c r="N83" s="7"/>
      <c r="O83" s="7"/>
      <c r="P83" s="7"/>
      <c r="Q83" s="287"/>
      <c r="R83" s="287"/>
      <c r="S83" s="287"/>
      <c r="T83" s="284"/>
      <c r="U83" s="284"/>
      <c r="V83" s="284"/>
      <c r="W83" s="7"/>
      <c r="X83" s="284"/>
      <c r="Y83" s="284"/>
      <c r="Z83" s="284"/>
      <c r="AA83" s="284"/>
      <c r="AB83" s="284"/>
      <c r="AC83" s="284"/>
      <c r="AE83" s="284"/>
      <c r="AJ83" s="9"/>
      <c r="AQ83" s="9"/>
    </row>
    <row r="84" spans="3:43" customFormat="1">
      <c r="C84" s="64"/>
      <c r="D84" s="65"/>
      <c r="E84" s="65"/>
      <c r="F84" s="65"/>
      <c r="G84" s="65"/>
      <c r="H84" s="65"/>
      <c r="I84" s="65"/>
      <c r="J84" s="65"/>
      <c r="K84" s="65"/>
      <c r="L84" s="65"/>
      <c r="M84" s="65"/>
      <c r="N84" s="65"/>
      <c r="O84" s="7"/>
      <c r="P84" s="7"/>
      <c r="Q84" s="287"/>
      <c r="R84" s="287"/>
      <c r="S84" s="287"/>
      <c r="T84" s="284"/>
      <c r="U84" s="284"/>
      <c r="V84" s="284"/>
      <c r="W84" s="7"/>
      <c r="X84" s="284"/>
      <c r="Y84" s="284"/>
      <c r="Z84" s="284"/>
      <c r="AA84" s="284"/>
      <c r="AB84" s="284"/>
      <c r="AC84" s="284"/>
      <c r="AE84" s="284"/>
      <c r="AJ84" s="9"/>
      <c r="AQ84" s="9"/>
    </row>
    <row r="85" spans="3:43" customFormat="1">
      <c r="C85" s="63"/>
      <c r="D85" s="7"/>
      <c r="E85" s="7"/>
      <c r="F85" s="7"/>
      <c r="G85" s="7"/>
      <c r="H85" s="7"/>
      <c r="I85" s="7"/>
      <c r="J85" s="7"/>
      <c r="K85" s="7"/>
      <c r="L85" s="7"/>
      <c r="M85" s="7"/>
      <c r="N85" s="7"/>
      <c r="O85" s="7"/>
      <c r="P85" s="7"/>
      <c r="Q85" s="287"/>
      <c r="R85" s="287"/>
      <c r="S85" s="287"/>
      <c r="T85" s="284"/>
      <c r="U85" s="284"/>
      <c r="V85" s="284"/>
      <c r="W85" s="7"/>
      <c r="X85" s="284"/>
      <c r="Y85" s="284"/>
      <c r="Z85" s="284"/>
      <c r="AA85" s="284"/>
      <c r="AB85" s="284"/>
      <c r="AC85" s="284"/>
      <c r="AE85" s="284"/>
    </row>
    <row r="86" spans="3:43" customFormat="1">
      <c r="C86" s="63"/>
      <c r="D86" s="7"/>
      <c r="E86" s="7"/>
      <c r="F86" s="7"/>
      <c r="G86" s="7"/>
      <c r="H86" s="7"/>
      <c r="I86" s="7"/>
      <c r="J86" s="7"/>
      <c r="K86" s="7"/>
      <c r="L86" s="7"/>
      <c r="M86" s="7"/>
      <c r="N86" s="7"/>
      <c r="O86" s="7"/>
      <c r="P86" s="7"/>
      <c r="Q86" s="287"/>
      <c r="R86" s="287"/>
      <c r="S86" s="287"/>
      <c r="T86" s="284"/>
      <c r="U86" s="284"/>
      <c r="V86" s="284"/>
      <c r="W86" s="7"/>
      <c r="X86" s="284"/>
      <c r="Y86" s="284"/>
      <c r="Z86" s="284"/>
      <c r="AA86" s="284"/>
      <c r="AB86" s="284"/>
      <c r="AC86" s="284"/>
      <c r="AE86" s="284"/>
    </row>
    <row r="87" spans="3:43" customFormat="1" ht="18">
      <c r="C87" s="140" t="s">
        <v>289</v>
      </c>
      <c r="M87" s="283"/>
      <c r="N87" s="283"/>
      <c r="Q87" s="284"/>
      <c r="R87" s="284"/>
      <c r="S87" s="284"/>
      <c r="T87" s="284"/>
      <c r="U87" s="284"/>
      <c r="V87" s="284"/>
      <c r="X87" s="284"/>
      <c r="Y87" s="284"/>
      <c r="Z87" s="284"/>
      <c r="AA87" s="284"/>
      <c r="AB87" s="284"/>
      <c r="AC87" s="284"/>
      <c r="AE87" s="284"/>
    </row>
    <row r="88" spans="3:43" customFormat="1">
      <c r="C88" t="s">
        <v>290</v>
      </c>
      <c r="M88" s="283"/>
      <c r="N88" s="283"/>
      <c r="Q88" s="284"/>
      <c r="R88" s="284"/>
      <c r="S88" s="284"/>
      <c r="T88" s="284"/>
      <c r="U88" s="284"/>
      <c r="V88" s="284"/>
      <c r="X88" s="284"/>
      <c r="Y88" s="284"/>
      <c r="Z88" s="284"/>
      <c r="AA88" s="284"/>
      <c r="AB88" s="284"/>
      <c r="AC88" s="284"/>
      <c r="AE88" s="284"/>
    </row>
    <row r="89" spans="3:43">
      <c r="C89" s="136"/>
      <c r="D89" s="9"/>
      <c r="E89" s="9"/>
      <c r="F89" s="9"/>
      <c r="G89" s="9"/>
      <c r="H89" s="9"/>
      <c r="I89" s="9"/>
      <c r="K89" s="9"/>
      <c r="L89" s="9"/>
      <c r="O89" s="9"/>
      <c r="P89" s="9"/>
      <c r="Q89" s="11"/>
      <c r="R89" s="11"/>
      <c r="S89" s="11"/>
      <c r="T89" s="11"/>
      <c r="U89" s="11"/>
      <c r="V89" s="11"/>
      <c r="W89" s="9"/>
      <c r="X89" s="11"/>
      <c r="Y89" s="11"/>
      <c r="Z89" s="11"/>
      <c r="AA89" s="11"/>
      <c r="AB89" s="11"/>
      <c r="AC89" s="11"/>
      <c r="AD89" s="9"/>
      <c r="AE89" s="11"/>
      <c r="AF89" s="9"/>
      <c r="AG89" s="9"/>
      <c r="AH89" s="9"/>
      <c r="AI89" s="9"/>
      <c r="AJ89" s="9"/>
      <c r="AK89" s="9"/>
      <c r="AL89" s="9"/>
      <c r="AM89" s="9"/>
      <c r="AN89" s="9"/>
      <c r="AO89" s="9"/>
      <c r="AP89" s="9"/>
      <c r="AQ89" s="9"/>
    </row>
    <row r="90" spans="3:43">
      <c r="C90" s="136"/>
      <c r="D90" s="9"/>
      <c r="E90" s="9"/>
      <c r="F90" s="9"/>
      <c r="G90" s="9"/>
      <c r="H90" s="288"/>
      <c r="I90" s="9"/>
      <c r="K90" s="9"/>
      <c r="L90" s="9"/>
      <c r="O90" s="9"/>
      <c r="P90" s="9"/>
      <c r="Q90" s="11"/>
      <c r="R90" s="11"/>
      <c r="S90" s="11"/>
      <c r="T90" s="11"/>
      <c r="U90" s="11"/>
      <c r="V90" s="11"/>
      <c r="W90" s="9"/>
      <c r="X90" s="11"/>
      <c r="Y90" s="11"/>
      <c r="Z90" s="11"/>
      <c r="AA90" s="11"/>
      <c r="AB90" s="11"/>
      <c r="AC90" s="11"/>
      <c r="AD90" s="9"/>
      <c r="AE90" s="11"/>
      <c r="AF90" s="9"/>
      <c r="AG90" s="9"/>
      <c r="AH90" s="9"/>
      <c r="AI90" s="9"/>
      <c r="AJ90" s="9"/>
      <c r="AK90" s="9"/>
      <c r="AL90" s="9"/>
      <c r="AM90" s="9"/>
      <c r="AN90" s="9"/>
      <c r="AO90" s="9"/>
      <c r="AP90" s="9"/>
      <c r="AQ90" s="9"/>
    </row>
    <row r="91" spans="3:43">
      <c r="C91" s="465" t="s">
        <v>291</v>
      </c>
      <c r="D91" s="7"/>
      <c r="E91" s="436" t="s">
        <v>256</v>
      </c>
      <c r="F91" s="466"/>
      <c r="G91" s="437"/>
      <c r="H91" s="288">
        <f>IF(E91="No",2,1)</f>
        <v>2</v>
      </c>
      <c r="I91" s="9"/>
      <c r="J91" s="7"/>
      <c r="K91" s="7"/>
      <c r="L91" s="7"/>
      <c r="M91" s="289"/>
      <c r="N91" s="289"/>
      <c r="O91" s="9"/>
      <c r="P91" s="9"/>
      <c r="Q91" s="11"/>
      <c r="R91" s="11"/>
      <c r="S91" s="11"/>
      <c r="T91" s="11"/>
      <c r="U91" s="11"/>
      <c r="V91" s="11"/>
      <c r="W91" s="9"/>
      <c r="X91" s="11"/>
      <c r="Y91" s="11"/>
      <c r="Z91" s="11"/>
      <c r="AA91" s="11"/>
      <c r="AB91" s="11"/>
      <c r="AC91" s="11"/>
      <c r="AD91" s="9"/>
      <c r="AE91" s="11"/>
      <c r="AF91" s="9"/>
      <c r="AG91" s="9"/>
      <c r="AH91" s="9"/>
      <c r="AI91" s="9"/>
      <c r="AJ91" s="9"/>
      <c r="AK91" s="9"/>
      <c r="AL91" s="9"/>
      <c r="AM91" s="9"/>
      <c r="AN91" s="9"/>
      <c r="AO91" s="9"/>
      <c r="AP91" s="9"/>
      <c r="AQ91" s="9"/>
    </row>
    <row r="92" spans="3:43">
      <c r="C92" s="465"/>
      <c r="D92" s="7"/>
      <c r="E92" s="290" t="s">
        <v>292</v>
      </c>
      <c r="F92" s="7"/>
      <c r="G92" s="7"/>
      <c r="H92" s="288"/>
      <c r="I92" s="7"/>
      <c r="J92" s="7"/>
      <c r="K92" s="7"/>
      <c r="L92" s="7"/>
      <c r="M92" s="289"/>
      <c r="N92" s="289"/>
      <c r="O92" s="9"/>
      <c r="P92" s="9"/>
      <c r="Q92" s="11"/>
      <c r="R92" s="11"/>
      <c r="S92" s="11"/>
      <c r="T92" s="11"/>
      <c r="U92" s="11"/>
      <c r="V92" s="11"/>
      <c r="W92" s="9"/>
      <c r="X92" s="11"/>
      <c r="Y92" s="11"/>
      <c r="Z92" s="11"/>
      <c r="AA92" s="11"/>
      <c r="AB92" s="11"/>
      <c r="AC92" s="11"/>
      <c r="AD92" s="9"/>
      <c r="AE92" s="11"/>
      <c r="AF92" s="9"/>
      <c r="AG92" s="9"/>
      <c r="AH92" s="9"/>
      <c r="AI92" s="9"/>
      <c r="AJ92" s="9"/>
      <c r="AK92" s="9"/>
      <c r="AL92" s="9"/>
      <c r="AM92" s="9"/>
      <c r="AN92" s="9"/>
      <c r="AO92" s="9"/>
      <c r="AP92" s="9"/>
      <c r="AQ92" s="9"/>
    </row>
    <row r="93" spans="3:43">
      <c r="C93" s="9"/>
      <c r="D93" s="7"/>
      <c r="E93" s="7"/>
      <c r="F93" s="7"/>
      <c r="G93" s="7"/>
      <c r="H93" s="288"/>
      <c r="I93" s="7"/>
      <c r="J93" s="7"/>
      <c r="K93" s="7"/>
      <c r="L93" s="7"/>
      <c r="M93" s="289"/>
      <c r="N93" s="289"/>
      <c r="O93" s="9"/>
      <c r="P93" s="9"/>
      <c r="Q93" s="11"/>
      <c r="R93" s="11"/>
      <c r="S93" s="11"/>
      <c r="T93" s="11"/>
      <c r="U93" s="11"/>
      <c r="V93" s="11"/>
      <c r="W93" s="9"/>
      <c r="X93" s="11"/>
      <c r="Y93" s="11"/>
      <c r="Z93" s="11"/>
      <c r="AA93" s="11"/>
      <c r="AB93" s="11"/>
      <c r="AC93" s="11"/>
      <c r="AD93" s="9"/>
      <c r="AE93" s="11"/>
      <c r="AF93" s="9"/>
      <c r="AG93" s="9"/>
      <c r="AH93" s="9"/>
      <c r="AI93" s="9"/>
      <c r="AJ93" s="9"/>
      <c r="AK93" s="9"/>
      <c r="AL93" s="9"/>
      <c r="AM93" s="9"/>
      <c r="AN93" s="9"/>
      <c r="AO93" s="9"/>
      <c r="AP93" s="9"/>
      <c r="AQ93" s="9"/>
    </row>
    <row r="94" spans="3:43">
      <c r="C94" s="9"/>
      <c r="D94" s="7"/>
      <c r="E94" s="7"/>
      <c r="F94" s="7"/>
      <c r="G94" s="7"/>
      <c r="H94" s="288"/>
      <c r="I94" s="7"/>
      <c r="J94" s="7"/>
      <c r="K94" s="7"/>
      <c r="L94" s="7"/>
      <c r="M94" s="289"/>
      <c r="N94" s="289"/>
      <c r="O94" s="9"/>
      <c r="P94" s="9"/>
      <c r="Q94" s="11"/>
      <c r="R94" s="11"/>
      <c r="S94" s="11"/>
      <c r="T94" s="11"/>
      <c r="U94" s="11"/>
      <c r="V94" s="11"/>
      <c r="W94" s="9"/>
      <c r="X94" s="11"/>
      <c r="Y94" s="11"/>
      <c r="Z94" s="11"/>
      <c r="AA94" s="11"/>
      <c r="AB94" s="11"/>
      <c r="AC94" s="11"/>
      <c r="AD94" s="9"/>
      <c r="AE94" s="11"/>
      <c r="AF94" s="9"/>
      <c r="AG94" s="9"/>
      <c r="AH94" s="9"/>
      <c r="AI94" s="9"/>
      <c r="AJ94" s="9"/>
      <c r="AK94" s="9"/>
      <c r="AL94" s="9"/>
      <c r="AM94" s="9"/>
      <c r="AN94" s="9"/>
      <c r="AO94" s="9"/>
      <c r="AP94" s="9"/>
      <c r="AQ94" s="9"/>
    </row>
    <row r="95" spans="3:43">
      <c r="C95" s="42"/>
      <c r="D95" s="7"/>
      <c r="E95" s="7"/>
      <c r="F95" s="7"/>
      <c r="G95" s="7"/>
      <c r="H95" s="288"/>
      <c r="I95" s="7"/>
      <c r="J95" s="289"/>
      <c r="K95" s="7"/>
      <c r="L95" s="7"/>
      <c r="M95" s="289"/>
      <c r="N95" s="289"/>
      <c r="O95" s="9"/>
      <c r="P95" s="9"/>
      <c r="Q95" s="11"/>
      <c r="R95" s="11"/>
      <c r="S95" s="11"/>
      <c r="T95" s="11"/>
      <c r="U95" s="11"/>
      <c r="V95" s="11"/>
      <c r="W95" s="9"/>
      <c r="X95" s="11"/>
      <c r="Y95" s="11"/>
      <c r="Z95" s="11"/>
      <c r="AA95" s="11"/>
      <c r="AB95" s="11"/>
      <c r="AC95" s="11"/>
      <c r="AD95" s="9"/>
      <c r="AE95" s="11"/>
      <c r="AF95" s="9"/>
      <c r="AG95" s="9"/>
      <c r="AH95" s="9"/>
      <c r="AI95" s="9"/>
      <c r="AJ95" s="9"/>
      <c r="AK95" s="9"/>
      <c r="AL95" s="9"/>
      <c r="AM95" s="9"/>
      <c r="AN95" s="9"/>
      <c r="AO95" s="9"/>
      <c r="AP95" s="9"/>
      <c r="AQ95" s="9"/>
    </row>
    <row r="96" spans="3:43">
      <c r="C96" s="42"/>
      <c r="D96" s="7"/>
      <c r="E96" s="7"/>
      <c r="F96" s="7"/>
      <c r="G96" s="7"/>
      <c r="H96" s="288"/>
      <c r="I96" s="7"/>
      <c r="J96" s="7"/>
      <c r="K96" s="7"/>
      <c r="L96" s="7"/>
      <c r="M96" s="289"/>
      <c r="N96" s="289"/>
      <c r="O96" s="9"/>
      <c r="P96" s="9"/>
      <c r="Q96" s="11"/>
      <c r="R96" s="11"/>
      <c r="S96" s="11"/>
      <c r="T96" s="11"/>
      <c r="U96" s="11"/>
      <c r="V96" s="11"/>
      <c r="W96" s="9"/>
      <c r="X96" s="11"/>
      <c r="Y96" s="11"/>
      <c r="Z96" s="11"/>
      <c r="AA96" s="11"/>
      <c r="AB96" s="11"/>
      <c r="AC96" s="11"/>
      <c r="AD96" s="9"/>
      <c r="AE96" s="11"/>
      <c r="AF96" s="9"/>
      <c r="AG96" s="9"/>
      <c r="AH96" s="9"/>
      <c r="AI96" s="9"/>
      <c r="AJ96" s="9"/>
      <c r="AK96" s="9"/>
      <c r="AL96" s="9"/>
      <c r="AM96" s="9"/>
      <c r="AN96" s="9"/>
      <c r="AO96" s="9"/>
      <c r="AP96" s="9"/>
      <c r="AQ96" s="9"/>
    </row>
    <row r="97" spans="3:43">
      <c r="C97" s="239"/>
      <c r="D97" s="289"/>
      <c r="E97" s="7"/>
      <c r="F97" s="7"/>
      <c r="G97" s="7"/>
      <c r="H97" s="288"/>
      <c r="I97" s="7"/>
      <c r="J97" s="7"/>
      <c r="K97" s="7"/>
      <c r="L97" s="7"/>
      <c r="M97" s="289"/>
      <c r="N97" s="289"/>
      <c r="O97" s="9"/>
      <c r="P97" s="9"/>
      <c r="Q97" s="11"/>
      <c r="R97" s="11"/>
      <c r="S97" s="11"/>
      <c r="T97" s="11"/>
      <c r="U97" s="11"/>
      <c r="V97" s="11"/>
      <c r="W97" s="9"/>
      <c r="X97" s="11"/>
      <c r="Y97" s="11"/>
      <c r="Z97" s="11"/>
      <c r="AA97" s="11"/>
      <c r="AB97" s="11"/>
      <c r="AC97" s="11"/>
      <c r="AD97" s="9"/>
      <c r="AE97" s="11"/>
      <c r="AF97" s="9"/>
      <c r="AG97" s="9"/>
      <c r="AH97" s="9"/>
      <c r="AI97" s="9"/>
      <c r="AJ97" s="9"/>
      <c r="AK97" s="9"/>
      <c r="AL97" s="9"/>
      <c r="AM97" s="9"/>
      <c r="AN97" s="9"/>
      <c r="AO97" s="9"/>
      <c r="AP97" s="9"/>
      <c r="AQ97" s="9"/>
    </row>
    <row r="98" spans="3:43">
      <c r="C98" s="239"/>
      <c r="D98" s="289"/>
      <c r="E98" s="7"/>
      <c r="F98" s="7"/>
      <c r="G98" s="7"/>
      <c r="H98" s="288"/>
      <c r="I98" s="7"/>
      <c r="J98" s="7"/>
      <c r="K98" s="7"/>
      <c r="L98" s="7"/>
      <c r="M98" s="289"/>
      <c r="N98" s="289"/>
      <c r="O98" s="9"/>
      <c r="P98" s="9"/>
      <c r="Q98" s="11"/>
      <c r="R98" s="11"/>
      <c r="S98" s="11"/>
      <c r="T98" s="11"/>
      <c r="U98" s="11"/>
      <c r="V98" s="11"/>
      <c r="W98" s="9"/>
      <c r="X98" s="11"/>
      <c r="Y98" s="11"/>
      <c r="Z98" s="11"/>
      <c r="AA98" s="11"/>
      <c r="AB98" s="11"/>
      <c r="AC98" s="11"/>
      <c r="AD98" s="9"/>
      <c r="AE98" s="11"/>
      <c r="AF98" s="9"/>
      <c r="AG98" s="9"/>
      <c r="AH98" s="9"/>
      <c r="AI98" s="9"/>
      <c r="AJ98" s="9"/>
      <c r="AK98" s="9"/>
      <c r="AL98" s="9"/>
      <c r="AM98" s="9"/>
      <c r="AN98" s="9"/>
      <c r="AO98" s="9"/>
      <c r="AP98" s="9"/>
      <c r="AQ98" s="9"/>
    </row>
    <row r="99" spans="3:43">
      <c r="C99" s="239"/>
      <c r="D99" s="289"/>
      <c r="E99" s="7"/>
      <c r="F99" s="7"/>
      <c r="G99" s="7"/>
      <c r="H99" s="288"/>
      <c r="I99" s="7"/>
      <c r="J99" s="7"/>
      <c r="K99" s="7"/>
      <c r="L99" s="7"/>
      <c r="M99" s="289"/>
      <c r="N99" s="289"/>
      <c r="O99" s="9"/>
      <c r="P99" s="9"/>
      <c r="Q99" s="11"/>
      <c r="R99" s="11"/>
      <c r="S99" s="11"/>
      <c r="T99" s="11"/>
      <c r="U99" s="11"/>
      <c r="V99" s="11"/>
      <c r="W99" s="9"/>
      <c r="X99" s="11"/>
      <c r="Y99" s="11"/>
      <c r="Z99" s="11"/>
      <c r="AA99" s="11"/>
      <c r="AB99" s="11"/>
      <c r="AC99" s="11"/>
      <c r="AD99" s="9"/>
      <c r="AE99" s="11"/>
      <c r="AF99" s="9"/>
      <c r="AG99" s="9"/>
      <c r="AH99" s="9"/>
      <c r="AI99" s="9"/>
      <c r="AJ99" s="9"/>
      <c r="AK99" s="9"/>
      <c r="AL99" s="9"/>
      <c r="AM99" s="9"/>
      <c r="AN99" s="9"/>
      <c r="AO99" s="9"/>
      <c r="AP99" s="9"/>
      <c r="AQ99" s="9"/>
    </row>
    <row r="100" spans="3:43">
      <c r="C100" s="239"/>
      <c r="D100" s="7"/>
      <c r="E100" s="7"/>
      <c r="F100" s="7"/>
      <c r="G100" s="7"/>
      <c r="H100" s="288"/>
      <c r="I100" s="7"/>
      <c r="J100" s="7"/>
      <c r="K100" s="7"/>
      <c r="L100" s="7"/>
      <c r="M100" s="289"/>
      <c r="N100" s="289"/>
      <c r="O100" s="9"/>
      <c r="P100" s="9"/>
      <c r="Q100" s="11"/>
      <c r="R100" s="11"/>
      <c r="S100" s="11"/>
      <c r="T100" s="11"/>
      <c r="U100" s="11"/>
      <c r="V100" s="11"/>
      <c r="W100" s="9"/>
      <c r="X100" s="11"/>
      <c r="Y100" s="11"/>
      <c r="Z100" s="11"/>
      <c r="AA100" s="11"/>
      <c r="AB100" s="11"/>
      <c r="AC100" s="11"/>
      <c r="AD100" s="9"/>
      <c r="AE100" s="11"/>
      <c r="AF100" s="9"/>
      <c r="AG100" s="9"/>
      <c r="AH100" s="9"/>
      <c r="AI100" s="9"/>
      <c r="AJ100" s="9"/>
      <c r="AK100" s="9"/>
      <c r="AL100" s="9"/>
      <c r="AM100" s="9"/>
      <c r="AN100" s="9"/>
      <c r="AO100" s="9"/>
      <c r="AP100" s="9"/>
      <c r="AQ100" s="9"/>
    </row>
    <row r="101" spans="3:43">
      <c r="C101" s="239"/>
      <c r="D101" s="7"/>
      <c r="E101" s="7"/>
      <c r="F101" s="7"/>
      <c r="G101" s="7"/>
      <c r="H101" s="288"/>
      <c r="I101" s="7"/>
      <c r="J101" s="7"/>
      <c r="K101" s="7"/>
      <c r="L101" s="7"/>
      <c r="M101" s="289"/>
      <c r="N101" s="289"/>
      <c r="O101" s="9"/>
      <c r="P101" s="9"/>
      <c r="Q101" s="11"/>
      <c r="R101" s="11"/>
      <c r="S101" s="11"/>
      <c r="T101" s="11"/>
      <c r="U101" s="11"/>
      <c r="V101" s="11"/>
      <c r="W101" s="9"/>
      <c r="X101" s="11"/>
      <c r="Y101" s="11"/>
      <c r="Z101" s="11"/>
      <c r="AA101" s="11"/>
      <c r="AB101" s="11"/>
      <c r="AC101" s="11"/>
      <c r="AD101" s="9"/>
      <c r="AE101" s="11"/>
      <c r="AF101" s="9"/>
      <c r="AG101" s="9"/>
      <c r="AH101" s="9"/>
      <c r="AI101" s="9"/>
      <c r="AJ101" s="9"/>
      <c r="AK101" s="9"/>
      <c r="AL101" s="9"/>
      <c r="AM101" s="9"/>
      <c r="AN101" s="9"/>
      <c r="AO101" s="9"/>
      <c r="AP101" s="9"/>
      <c r="AQ101" s="9"/>
    </row>
    <row r="102" spans="3:43">
      <c r="C102" s="417" t="s">
        <v>293</v>
      </c>
      <c r="D102" s="7"/>
      <c r="E102" s="436" t="s">
        <v>339</v>
      </c>
      <c r="F102" s="466"/>
      <c r="G102" s="437"/>
      <c r="H102" s="288">
        <f>IF(E102="Median survival",1,IF(E102="Cumulative mortality rate",2,3))</f>
        <v>2</v>
      </c>
      <c r="I102" s="9"/>
      <c r="J102" s="7"/>
      <c r="K102" s="7"/>
      <c r="L102" s="7"/>
      <c r="M102" s="289"/>
      <c r="N102" s="289"/>
      <c r="O102" s="9"/>
      <c r="P102" s="9"/>
      <c r="Q102" s="11"/>
      <c r="R102" s="11"/>
      <c r="S102" s="11"/>
      <c r="T102" s="11"/>
      <c r="U102" s="11"/>
      <c r="V102" s="11"/>
      <c r="W102" s="9"/>
      <c r="X102" s="11"/>
      <c r="Y102" s="11"/>
      <c r="Z102" s="11"/>
      <c r="AA102" s="11"/>
      <c r="AB102" s="11"/>
      <c r="AC102" s="11"/>
      <c r="AD102" s="9"/>
      <c r="AE102" s="11"/>
      <c r="AF102" s="9"/>
      <c r="AG102" s="9"/>
      <c r="AH102" s="9"/>
      <c r="AI102" s="9"/>
      <c r="AJ102" s="9"/>
      <c r="AK102" s="9"/>
      <c r="AL102" s="9"/>
      <c r="AM102" s="9"/>
      <c r="AN102" s="9"/>
      <c r="AO102" s="9"/>
      <c r="AP102" s="9"/>
      <c r="AQ102" s="9"/>
    </row>
    <row r="103" spans="3:43">
      <c r="C103" s="417"/>
      <c r="D103" s="7"/>
      <c r="E103" s="290"/>
      <c r="F103" s="7"/>
      <c r="G103" s="7"/>
      <c r="H103" s="288"/>
      <c r="I103" s="7"/>
      <c r="J103" s="7"/>
      <c r="K103" s="7"/>
      <c r="L103" s="7"/>
      <c r="M103" s="289"/>
      <c r="N103" s="289"/>
      <c r="O103" s="9"/>
      <c r="P103" s="9"/>
      <c r="Q103" s="11"/>
      <c r="R103" s="11"/>
      <c r="S103" s="11"/>
      <c r="T103" s="11"/>
      <c r="U103" s="11"/>
      <c r="V103" s="11"/>
      <c r="W103" s="9"/>
      <c r="X103" s="11"/>
      <c r="Y103" s="11"/>
      <c r="Z103" s="11"/>
      <c r="AA103" s="11"/>
      <c r="AB103" s="11"/>
      <c r="AC103" s="11"/>
      <c r="AD103" s="9"/>
      <c r="AE103" s="11"/>
      <c r="AF103" s="9"/>
      <c r="AG103" s="9"/>
      <c r="AH103" s="9"/>
      <c r="AI103" s="9"/>
      <c r="AJ103" s="9"/>
      <c r="AK103" s="9"/>
      <c r="AL103" s="9"/>
      <c r="AM103" s="9"/>
      <c r="AN103" s="9"/>
      <c r="AO103" s="9"/>
      <c r="AP103" s="9"/>
      <c r="AQ103" s="9"/>
    </row>
    <row r="104" spans="3:43">
      <c r="C104" s="48"/>
      <c r="D104" s="7"/>
      <c r="E104" s="290"/>
      <c r="F104" s="7"/>
      <c r="G104" s="7"/>
      <c r="H104" s="288"/>
      <c r="I104" s="7"/>
      <c r="J104" s="7"/>
      <c r="K104" s="7"/>
      <c r="L104" s="7"/>
      <c r="M104" s="289"/>
      <c r="N104" s="289"/>
      <c r="O104" s="9"/>
      <c r="P104" s="9"/>
      <c r="Q104" s="11"/>
      <c r="R104" s="11"/>
      <c r="S104" s="11"/>
      <c r="T104" s="11"/>
      <c r="U104" s="11"/>
      <c r="V104" s="11"/>
      <c r="W104" s="9"/>
      <c r="X104" s="11"/>
      <c r="Y104" s="11"/>
      <c r="Z104" s="11"/>
      <c r="AA104" s="11"/>
      <c r="AB104" s="11"/>
      <c r="AC104" s="11"/>
      <c r="AD104" s="9"/>
      <c r="AE104" s="11"/>
      <c r="AF104" s="9"/>
      <c r="AG104" s="9"/>
      <c r="AH104" s="9"/>
      <c r="AI104" s="9"/>
      <c r="AJ104" s="9"/>
      <c r="AK104" s="9"/>
      <c r="AL104" s="9"/>
      <c r="AM104" s="9"/>
      <c r="AN104" s="9"/>
      <c r="AO104" s="9"/>
      <c r="AP104" s="9"/>
      <c r="AQ104" s="9"/>
    </row>
    <row r="105" spans="3:43">
      <c r="C105" s="7"/>
      <c r="D105" s="7"/>
      <c r="E105" s="7"/>
      <c r="F105" s="7"/>
      <c r="G105" s="7"/>
      <c r="H105" s="288"/>
      <c r="I105" s="7"/>
      <c r="J105" s="7"/>
      <c r="K105" s="7"/>
      <c r="L105" s="7"/>
      <c r="M105" s="289"/>
      <c r="N105" s="289"/>
      <c r="O105" s="9"/>
      <c r="P105" s="9"/>
      <c r="Q105" s="11"/>
      <c r="R105" s="11"/>
      <c r="S105" s="11"/>
      <c r="T105" s="11"/>
      <c r="U105" s="11"/>
      <c r="V105" s="11"/>
      <c r="W105" s="9"/>
      <c r="X105" s="11"/>
      <c r="Y105" s="11"/>
      <c r="Z105" s="11"/>
      <c r="AA105" s="11"/>
      <c r="AB105" s="11"/>
      <c r="AC105" s="11"/>
      <c r="AD105" s="9"/>
      <c r="AE105" s="11"/>
      <c r="AF105" s="9"/>
      <c r="AG105" s="9"/>
      <c r="AH105" s="9"/>
      <c r="AI105" s="9"/>
      <c r="AJ105" s="9"/>
      <c r="AK105" s="9"/>
      <c r="AL105" s="9"/>
      <c r="AM105" s="9"/>
      <c r="AN105" s="9"/>
      <c r="AO105" s="9"/>
      <c r="AP105" s="9"/>
      <c r="AQ105" s="9"/>
    </row>
    <row r="106" spans="3:43">
      <c r="C106" s="465" t="s">
        <v>294</v>
      </c>
      <c r="D106" s="7"/>
      <c r="E106" s="436" t="s">
        <v>315</v>
      </c>
      <c r="F106" s="466"/>
      <c r="G106" s="437"/>
      <c r="H106" s="288">
        <f>IF(E106="Annual data",1,2)</f>
        <v>1</v>
      </c>
      <c r="I106" s="7"/>
      <c r="J106" s="7"/>
      <c r="K106" s="7"/>
      <c r="L106" s="7"/>
      <c r="M106" s="289"/>
      <c r="N106" s="289"/>
      <c r="O106" s="9"/>
      <c r="P106" s="9"/>
      <c r="Q106" s="11"/>
      <c r="R106" s="11"/>
      <c r="S106" s="11"/>
      <c r="T106" s="11"/>
      <c r="U106" s="11"/>
      <c r="V106" s="11"/>
      <c r="W106" s="9"/>
      <c r="X106" s="11"/>
      <c r="Y106" s="11"/>
      <c r="Z106" s="11"/>
      <c r="AA106" s="11"/>
      <c r="AB106" s="11"/>
      <c r="AC106" s="11"/>
      <c r="AD106" s="9"/>
      <c r="AE106" s="11"/>
      <c r="AF106" s="9"/>
      <c r="AG106" s="9"/>
      <c r="AH106" s="9"/>
      <c r="AI106" s="9"/>
      <c r="AJ106" s="9"/>
      <c r="AK106" s="9"/>
      <c r="AL106" s="9"/>
      <c r="AM106" s="9"/>
      <c r="AN106" s="9"/>
      <c r="AO106" s="9"/>
      <c r="AP106" s="9"/>
      <c r="AQ106" s="9"/>
    </row>
    <row r="107" spans="3:43">
      <c r="C107" s="465"/>
      <c r="D107" s="7"/>
      <c r="E107" s="292" t="s">
        <v>295</v>
      </c>
      <c r="F107" s="7"/>
      <c r="G107" s="7"/>
      <c r="H107" s="7"/>
      <c r="I107" s="7"/>
      <c r="J107" s="7"/>
      <c r="K107" s="7"/>
      <c r="L107" s="7"/>
      <c r="M107" s="289"/>
      <c r="N107" s="289"/>
      <c r="O107" s="9"/>
      <c r="P107" s="9"/>
      <c r="Q107" s="11"/>
      <c r="R107" s="11"/>
      <c r="S107" s="11"/>
      <c r="T107" s="11"/>
      <c r="U107" s="11"/>
      <c r="V107" s="11"/>
      <c r="W107" s="9"/>
      <c r="X107" s="11"/>
      <c r="Y107" s="11"/>
      <c r="Z107" s="11"/>
      <c r="AA107" s="11"/>
      <c r="AB107" s="11"/>
      <c r="AC107" s="11"/>
      <c r="AD107" s="9"/>
      <c r="AE107" s="11"/>
      <c r="AF107" s="9"/>
      <c r="AG107" s="9"/>
      <c r="AH107" s="9"/>
      <c r="AI107" s="9"/>
      <c r="AJ107" s="9"/>
      <c r="AK107" s="9"/>
      <c r="AL107" s="11"/>
      <c r="AM107" s="9"/>
      <c r="AN107" s="9"/>
      <c r="AO107" s="9"/>
      <c r="AP107" s="9"/>
      <c r="AQ107" s="9"/>
    </row>
    <row r="108" spans="3:43">
      <c r="C108" s="48"/>
      <c r="D108" s="7"/>
      <c r="E108" s="290" t="s">
        <v>296</v>
      </c>
      <c r="F108" s="7"/>
      <c r="G108" s="7"/>
      <c r="H108" s="7"/>
      <c r="I108" s="7"/>
      <c r="J108" s="7"/>
      <c r="K108" s="7"/>
      <c r="L108" s="7"/>
      <c r="M108" s="289"/>
      <c r="N108" s="289"/>
      <c r="O108" s="9"/>
      <c r="P108" s="9"/>
      <c r="Q108" s="11"/>
      <c r="R108" s="11"/>
      <c r="S108" s="11"/>
      <c r="T108" s="11"/>
      <c r="U108" s="11"/>
      <c r="V108" s="11"/>
      <c r="W108" s="9"/>
      <c r="X108" s="11"/>
      <c r="Y108" s="11"/>
      <c r="Z108" s="11"/>
      <c r="AA108" s="11"/>
      <c r="AB108" s="11"/>
      <c r="AC108" s="11"/>
      <c r="AD108" s="9"/>
      <c r="AE108" s="11"/>
      <c r="AF108" s="9"/>
      <c r="AG108" s="9"/>
      <c r="AH108" s="9"/>
      <c r="AI108" s="9"/>
      <c r="AJ108" s="9"/>
      <c r="AK108" s="9"/>
      <c r="AL108" s="11"/>
      <c r="AM108" s="9"/>
      <c r="AN108" s="9"/>
      <c r="AO108" s="9"/>
      <c r="AP108" s="9"/>
      <c r="AQ108" s="9"/>
    </row>
    <row r="109" spans="3:43" ht="15" customHeight="1">
      <c r="C109" s="7"/>
      <c r="D109" s="7"/>
      <c r="E109" s="7"/>
      <c r="F109" s="7"/>
      <c r="G109" s="7"/>
      <c r="H109" s="288"/>
      <c r="I109" s="7"/>
      <c r="J109" s="7"/>
      <c r="K109" s="7"/>
      <c r="L109" s="7"/>
      <c r="M109" s="289"/>
      <c r="N109" s="289"/>
      <c r="O109" s="9"/>
      <c r="P109" s="9"/>
      <c r="Q109" s="453" t="s">
        <v>300</v>
      </c>
      <c r="R109" s="454"/>
      <c r="S109" s="454"/>
      <c r="T109" s="454"/>
      <c r="U109" s="455"/>
      <c r="V109" s="11"/>
      <c r="W109" s="9"/>
      <c r="X109" s="453" t="s">
        <v>301</v>
      </c>
      <c r="Y109" s="454"/>
      <c r="Z109" s="454"/>
      <c r="AA109" s="454"/>
      <c r="AB109" s="455"/>
      <c r="AC109" s="11"/>
      <c r="AD109" s="9"/>
      <c r="AE109" s="453" t="s">
        <v>302</v>
      </c>
      <c r="AF109" s="454"/>
      <c r="AG109" s="454"/>
      <c r="AH109" s="454"/>
      <c r="AI109" s="455"/>
      <c r="AJ109" s="9"/>
      <c r="AK109" s="9"/>
      <c r="AL109" s="453" t="s">
        <v>303</v>
      </c>
      <c r="AM109" s="454"/>
      <c r="AN109" s="454"/>
      <c r="AO109" s="454"/>
      <c r="AP109" s="455"/>
      <c r="AQ109" s="9"/>
    </row>
    <row r="110" spans="3:43">
      <c r="C110" s="293" t="s">
        <v>297</v>
      </c>
      <c r="D110" s="7"/>
      <c r="E110" s="290"/>
      <c r="F110" s="7"/>
      <c r="G110" s="7"/>
      <c r="H110" s="293" t="s">
        <v>298</v>
      </c>
      <c r="I110" s="7"/>
      <c r="J110" s="7"/>
      <c r="K110" s="7"/>
      <c r="L110" s="7"/>
      <c r="M110" s="289"/>
      <c r="N110" s="289"/>
      <c r="O110" s="9"/>
      <c r="P110" s="9"/>
      <c r="Q110" s="456"/>
      <c r="R110" s="457"/>
      <c r="S110" s="457"/>
      <c r="T110" s="457"/>
      <c r="U110" s="458"/>
      <c r="V110" s="11"/>
      <c r="W110" s="9"/>
      <c r="X110" s="456"/>
      <c r="Y110" s="457"/>
      <c r="Z110" s="457"/>
      <c r="AA110" s="457"/>
      <c r="AB110" s="458"/>
      <c r="AC110" s="11"/>
      <c r="AD110" s="9"/>
      <c r="AE110" s="456"/>
      <c r="AF110" s="457"/>
      <c r="AG110" s="457"/>
      <c r="AH110" s="457"/>
      <c r="AI110" s="458"/>
      <c r="AJ110" s="9"/>
      <c r="AK110" s="9"/>
      <c r="AL110" s="456"/>
      <c r="AM110" s="457"/>
      <c r="AN110" s="457"/>
      <c r="AO110" s="457"/>
      <c r="AP110" s="458"/>
      <c r="AQ110" s="9"/>
    </row>
    <row r="111" spans="3:43" ht="15" customHeight="1">
      <c r="C111" s="467" t="str">
        <f>IF($H$102=1,"Enter the median survival","Do not fill in this table")</f>
        <v>Do not fill in this table</v>
      </c>
      <c r="D111" s="469" t="s">
        <v>278</v>
      </c>
      <c r="E111" s="469"/>
      <c r="F111" s="9"/>
      <c r="G111" s="9"/>
      <c r="H111" s="467" t="str">
        <f>IF($H$102=1,"Do not fill in this table",E102)</f>
        <v>Cumulative mortality rate</v>
      </c>
      <c r="I111" s="449"/>
      <c r="J111" s="295" t="s">
        <v>285</v>
      </c>
      <c r="K111" s="295" t="s">
        <v>286</v>
      </c>
      <c r="L111" s="295" t="s">
        <v>287</v>
      </c>
      <c r="M111" s="295" t="s">
        <v>288</v>
      </c>
      <c r="N111" s="289"/>
      <c r="O111" s="9"/>
      <c r="P111" s="9"/>
      <c r="Q111" s="449" t="s">
        <v>276</v>
      </c>
      <c r="R111" s="295" t="s">
        <v>285</v>
      </c>
      <c r="S111" s="295" t="s">
        <v>286</v>
      </c>
      <c r="T111" s="295" t="s">
        <v>287</v>
      </c>
      <c r="U111" s="295" t="s">
        <v>288</v>
      </c>
      <c r="V111" s="11"/>
      <c r="W111" s="9"/>
      <c r="X111" s="449" t="s">
        <v>276</v>
      </c>
      <c r="Y111" s="295" t="s">
        <v>285</v>
      </c>
      <c r="Z111" s="295" t="s">
        <v>286</v>
      </c>
      <c r="AA111" s="295" t="s">
        <v>287</v>
      </c>
      <c r="AB111" s="295" t="s">
        <v>288</v>
      </c>
      <c r="AC111" s="11"/>
      <c r="AD111" s="9"/>
      <c r="AE111" s="449" t="s">
        <v>276</v>
      </c>
      <c r="AF111" s="295" t="s">
        <v>285</v>
      </c>
      <c r="AG111" s="295" t="s">
        <v>286</v>
      </c>
      <c r="AH111" s="295" t="s">
        <v>287</v>
      </c>
      <c r="AI111" s="295" t="s">
        <v>288</v>
      </c>
      <c r="AJ111" s="9"/>
      <c r="AK111" s="9"/>
      <c r="AL111" s="449" t="s">
        <v>276</v>
      </c>
      <c r="AM111" s="295" t="s">
        <v>285</v>
      </c>
      <c r="AN111" s="295" t="s">
        <v>286</v>
      </c>
      <c r="AO111" s="295" t="s">
        <v>287</v>
      </c>
      <c r="AP111" s="295" t="s">
        <v>288</v>
      </c>
      <c r="AQ111" s="9"/>
    </row>
    <row r="112" spans="3:43" ht="15" customHeight="1">
      <c r="C112" s="468"/>
      <c r="D112" s="468"/>
      <c r="E112" s="468"/>
      <c r="F112" s="9"/>
      <c r="G112" s="9"/>
      <c r="H112" s="467"/>
      <c r="I112" s="449"/>
      <c r="J112" s="477" t="s">
        <v>280</v>
      </c>
      <c r="K112" s="478"/>
      <c r="L112" s="478"/>
      <c r="M112" s="478"/>
      <c r="N112" s="289"/>
      <c r="O112" s="9"/>
      <c r="P112" s="9"/>
      <c r="Q112" s="450"/>
      <c r="R112" s="297"/>
      <c r="S112" s="298"/>
      <c r="T112" s="298"/>
      <c r="U112" s="298"/>
      <c r="V112" s="11"/>
      <c r="W112" s="9"/>
      <c r="X112" s="450"/>
      <c r="Y112" s="297"/>
      <c r="Z112" s="298"/>
      <c r="AA112" s="298"/>
      <c r="AB112" s="298"/>
      <c r="AC112" s="11"/>
      <c r="AD112" s="9"/>
      <c r="AE112" s="450"/>
      <c r="AF112" s="297"/>
      <c r="AG112" s="298"/>
      <c r="AH112" s="298"/>
      <c r="AI112" s="298"/>
      <c r="AJ112" s="9"/>
      <c r="AK112" s="9"/>
      <c r="AL112" s="450"/>
      <c r="AM112" s="297"/>
      <c r="AN112" s="298"/>
      <c r="AO112" s="298"/>
      <c r="AP112" s="298"/>
      <c r="AQ112" s="9"/>
    </row>
    <row r="113" spans="3:43">
      <c r="C113" s="300" t="str">
        <f>IF(intervencao1=0,"Do not fill this line",intervencao1)</f>
        <v>PET-CT</v>
      </c>
      <c r="D113" s="461"/>
      <c r="E113" s="462"/>
      <c r="F113" s="9"/>
      <c r="G113" s="9"/>
      <c r="H113" s="451" t="str">
        <f>IF(intervencao1=0,"Do not fill this line",intervencao1)</f>
        <v>PET-CT</v>
      </c>
      <c r="I113" s="452"/>
      <c r="J113" s="230"/>
      <c r="K113" s="230"/>
      <c r="L113" s="230"/>
      <c r="M113" s="230"/>
      <c r="N113" s="289"/>
      <c r="O113" s="9"/>
      <c r="P113" s="9"/>
      <c r="Q113" s="300" t="str">
        <f>IF(intervencao1=0,"Do not fill this line",intervencao1)</f>
        <v>PET-CT</v>
      </c>
      <c r="R113" s="227">
        <f t="shared" ref="R113:U116" si="6">IFERROR(IF(AND(obito=1,$H$102=1),Y113,IF(AND(obito=1,$H$102=2),AM113,IF(AND(obito=1,$H$102=3),AF113,0))),0)</f>
        <v>0</v>
      </c>
      <c r="S113" s="227">
        <f t="shared" si="6"/>
        <v>0</v>
      </c>
      <c r="T113" s="227">
        <f t="shared" si="6"/>
        <v>0</v>
      </c>
      <c r="U113" s="227">
        <f t="shared" si="6"/>
        <v>0</v>
      </c>
      <c r="V113" s="11"/>
      <c r="W113" s="9"/>
      <c r="X113" s="223" t="str">
        <f>IF(intervencao1=0,"Do not fill this line",intervencao1)</f>
        <v>PET-CT</v>
      </c>
      <c r="Y113" s="227" t="e">
        <f>1-AVERAGEIF(Data!AK$110:AK$121,"&gt;0",Data!AK$110:AK$121)</f>
        <v>#DIV/0!</v>
      </c>
      <c r="Z113" s="227" t="e">
        <f>1-AVERAGEIF(Data!AK$122:AK$133,"&gt;0",Data!AK$122:AK$133)</f>
        <v>#DIV/0!</v>
      </c>
      <c r="AA113" s="227" t="e">
        <f>1-AVERAGEIF(Data!AK$134:AK$145,"&gt;0",Data!AK$134:AK$145)</f>
        <v>#DIV/0!</v>
      </c>
      <c r="AB113" s="227" t="e">
        <f>1-AVERAGEIF(Data!AK$146:AK$157,"&gt;0",Data!AK$146:AK$157)</f>
        <v>#DIV/0!</v>
      </c>
      <c r="AC113" s="11"/>
      <c r="AD113" s="9"/>
      <c r="AE113" s="223" t="str">
        <f>IF(intervencao1=0,"Do not fill this line",intervencao1)</f>
        <v>PET-CT</v>
      </c>
      <c r="AF113" s="227">
        <f>1-IFERROR(IF(AND($H$106=1,J113=""),1,IF(AND($H$106=1,J113=0),0,IF(AND($H$106=1,J113&gt;0),J113,AVERAGEIF(Data!S$110:S$121,"&gt;0",Data!S$110:S$121)))),1)</f>
        <v>0</v>
      </c>
      <c r="AG113" s="227">
        <f>1-IFERROR(IF(AND($H$106=1,K113=""),1,IF(AND($H$106=1,K113=0),0,IF(AND($H$106=1,K113&gt;0),K113,AVERAGEIF(Data!S$122:S$133,"&gt;0",Data!S$122:S$133)))),1)</f>
        <v>0</v>
      </c>
      <c r="AH113" s="227">
        <f>1-IFERROR(IF(AND($H$106=1,L113=""),1,IF(AND($H$106=1,L113=0),0,IF(AND($H$106=1,L113&gt;0),L113,AVERAGEIF(Data!S$134:S$145,"&gt;0",Data!S$134:S$145)))),1)</f>
        <v>0</v>
      </c>
      <c r="AI113" s="227">
        <f>1-IFERROR(IF(AND($H$106=1,M113=""),1,IF(AND($H$106=1,M113=0),0,IF(AND($H$106=1,M113&gt;0),M113,AVERAGEIF(Data!S$146:S$157,"&gt;0",Data!S$146:S$157)))),1)</f>
        <v>0</v>
      </c>
      <c r="AJ113" s="9"/>
      <c r="AK113" s="9"/>
      <c r="AL113" s="223" t="str">
        <f>IF(intervencao1=0,"Do not fill this line",intervencao1)</f>
        <v>PET-CT</v>
      </c>
      <c r="AM113" s="227">
        <f>IFERROR(IF(H106=1,J113,AVERAGEIF(Data!C$110:C$121,"&gt;0",Data!C$110:C$121)),0)</f>
        <v>0</v>
      </c>
      <c r="AN113" s="227">
        <f>IFERROR(IF(H106=1,K113,AVERAGEIF(Data!C$122:C$133,"&gt;0",Data!C$122:C$133)),0)</f>
        <v>0</v>
      </c>
      <c r="AO113" s="227">
        <f>IFERROR(IF(H106=1,L113,AVERAGEIF(Data!C$134:C$145,"&gt;0",Data!C$134:C$145)),0)</f>
        <v>0</v>
      </c>
      <c r="AP113" s="227">
        <f>IFERROR(IF(H106=1,M113,AVERAGEIF(Data!C$146:C$157,"&gt;0",Data!C$146:C$157)),0)</f>
        <v>0</v>
      </c>
      <c r="AQ113" s="9"/>
    </row>
    <row r="114" spans="3:43">
      <c r="C114" s="300" t="str">
        <f>IF(intervencao2=0,"Do not fill this line",intervencao2)</f>
        <v>Do not fill this line</v>
      </c>
      <c r="D114" s="461"/>
      <c r="E114" s="462"/>
      <c r="F114" s="9"/>
      <c r="G114" s="9"/>
      <c r="H114" s="451" t="str">
        <f>IF(intervencao2=0,"Do not fill this line",intervencao2)</f>
        <v>Do not fill this line</v>
      </c>
      <c r="I114" s="452"/>
      <c r="J114" s="230"/>
      <c r="K114" s="230"/>
      <c r="L114" s="230"/>
      <c r="M114" s="230"/>
      <c r="N114" s="289"/>
      <c r="O114" s="9"/>
      <c r="P114" s="9"/>
      <c r="Q114" s="300" t="str">
        <f>IF(intervencao2=0,"Do not fill this line",intervencao2)</f>
        <v>Do not fill this line</v>
      </c>
      <c r="R114" s="227">
        <f t="shared" si="6"/>
        <v>0</v>
      </c>
      <c r="S114" s="227">
        <f t="shared" si="6"/>
        <v>0</v>
      </c>
      <c r="T114" s="227">
        <f t="shared" si="6"/>
        <v>0</v>
      </c>
      <c r="U114" s="227">
        <f t="shared" si="6"/>
        <v>0</v>
      </c>
      <c r="V114" s="11"/>
      <c r="W114" s="9"/>
      <c r="X114" s="223" t="str">
        <f>IF(intervencao2=0,"Do not fill this line",intervencao2)</f>
        <v>Do not fill this line</v>
      </c>
      <c r="Y114" s="227" t="e">
        <f>1-AVERAGEIF(Data!AL$110:AL$121,"&gt;0",Data!AL$110:AL$121)</f>
        <v>#DIV/0!</v>
      </c>
      <c r="Z114" s="227" t="e">
        <f>1-AVERAGEIF(Data!AL$122:AL$133,"&gt;0",Data!AL$122:AL$133)</f>
        <v>#DIV/0!</v>
      </c>
      <c r="AA114" s="227" t="e">
        <f>1-AVERAGEIF(Data!AL$134:AL$145,"&gt;0",Data!AL$134:AL$145)</f>
        <v>#DIV/0!</v>
      </c>
      <c r="AB114" s="227" t="e">
        <f>1-AVERAGEIF(Data!AL$146:AL$157,"&gt;0",Data!AL$146:AL$157)</f>
        <v>#DIV/0!</v>
      </c>
      <c r="AC114" s="11"/>
      <c r="AD114" s="9"/>
      <c r="AE114" s="223" t="str">
        <f>IF(intervencao2=0,"Do not fill this line",intervencao2)</f>
        <v>Do not fill this line</v>
      </c>
      <c r="AF114" s="227">
        <f>1-IFERROR(IF(AND($H$106=1,J114=""),1,IF(AND($H$106=1,J114=0),0,IF(AND($H$106=1,J114&gt;0),J114,AVERAGEIF(Data!T$110:T$121,"&gt;0",Data!T$110:T$121)))),1)</f>
        <v>0</v>
      </c>
      <c r="AG114" s="227">
        <f>1-IFERROR(IF(AND($H$106=1,K114=""),1,IF(AND($H$106=1,K114=0),0,IF(AND($H$106=1,K114&gt;0),K114,AVERAGEIF(Data!T$122:T$133,"&gt;0",Data!T$122:T$133)))),1)</f>
        <v>0</v>
      </c>
      <c r="AH114" s="227">
        <f>1-IFERROR(IF(AND($H$106=1,L114=""),1,IF(AND($H$106=1,L114=0),0,IF(AND($H$106=1,L114&gt;0),L114,AVERAGEIF(Data!T$134:T$145,"&gt;0",Data!T$134:T$145)))),1)</f>
        <v>0</v>
      </c>
      <c r="AI114" s="227">
        <f>1-IFERROR(IF(AND($H$106=1,M114=""),1,IF(AND($H$106=1,M114=0),0,IF(AND($H$106=1,M114&gt;0),M114,AVERAGEIF(Data!T$146:T$157,"&gt;0",Data!T$146:T$157)))),1)</f>
        <v>0</v>
      </c>
      <c r="AJ114" s="9"/>
      <c r="AK114" s="9"/>
      <c r="AL114" s="223" t="str">
        <f>IF(intervencao2=0,"Do not fill this line",intervencao2)</f>
        <v>Do not fill this line</v>
      </c>
      <c r="AM114" s="227">
        <f>IFERROR(IF(H106=1,J114,AVERAGEIF(Data!D$110:D$121,"&gt;0",Data!D$110:D$121)),0)</f>
        <v>0</v>
      </c>
      <c r="AN114" s="227">
        <f>IFERROR(IF(H106=1,K114,AVERAGEIF(Data!D$122:D$133,"&gt;0",Data!D$122:D$133)),0)</f>
        <v>0</v>
      </c>
      <c r="AO114" s="227">
        <f>IFERROR(IF(H106=1,L114,AVERAGEIF(Data!D$134:D$145,"&gt;0",Data!D$134:D$145)),0)</f>
        <v>0</v>
      </c>
      <c r="AP114" s="227">
        <f>IFERROR(IF(H106=1,M114,AVERAGEIF(Data!D$146:D$157,"&gt;0",Data!D$146:D$157)),0)</f>
        <v>0</v>
      </c>
      <c r="AQ114" s="9"/>
    </row>
    <row r="115" spans="3:43">
      <c r="C115" s="300" t="str">
        <f>IF(intervencao3=0,"Do not fill this line",intervencao3)</f>
        <v>Do not fill this line</v>
      </c>
      <c r="D115" s="461"/>
      <c r="E115" s="462"/>
      <c r="F115" s="9"/>
      <c r="G115" s="9"/>
      <c r="H115" s="451" t="str">
        <f>IF(intervencao3=0,"Do not fill this line",intervencao3)</f>
        <v>Do not fill this line</v>
      </c>
      <c r="I115" s="452"/>
      <c r="J115" s="230"/>
      <c r="K115" s="230"/>
      <c r="L115" s="230"/>
      <c r="M115" s="230"/>
      <c r="N115" s="289"/>
      <c r="O115" s="9"/>
      <c r="P115" s="9"/>
      <c r="Q115" s="300" t="str">
        <f>IF(intervencao3=0,"Do not fill this line",intervencao3)</f>
        <v>Do not fill this line</v>
      </c>
      <c r="R115" s="227">
        <f t="shared" si="6"/>
        <v>0</v>
      </c>
      <c r="S115" s="227">
        <f t="shared" si="6"/>
        <v>0</v>
      </c>
      <c r="T115" s="227">
        <f t="shared" si="6"/>
        <v>0</v>
      </c>
      <c r="U115" s="227">
        <f t="shared" si="6"/>
        <v>0</v>
      </c>
      <c r="V115" s="11"/>
      <c r="W115" s="9"/>
      <c r="X115" s="223" t="str">
        <f>IF(intervencao3=0,"Do not fill this line",intervencao3)</f>
        <v>Do not fill this line</v>
      </c>
      <c r="Y115" s="227" t="e">
        <f>1-AVERAGEIF(Data!AM$110:AM$121,"&gt;0",Data!AM$110:AM$121)</f>
        <v>#DIV/0!</v>
      </c>
      <c r="Z115" s="227" t="e">
        <f>1-AVERAGEIF(Data!AM$122:AM$133,"&gt;0",Data!AM$122:AM$133)</f>
        <v>#DIV/0!</v>
      </c>
      <c r="AA115" s="227" t="e">
        <f>1-AVERAGEIF(Data!AM$134:AM$145,"&gt;0",Data!AM$134:AM$145)</f>
        <v>#DIV/0!</v>
      </c>
      <c r="AB115" s="227" t="e">
        <f>1-AVERAGEIF(Data!AM$146:AM$157,"&gt;0",Data!AM$146:AM$157)</f>
        <v>#DIV/0!</v>
      </c>
      <c r="AC115" s="11"/>
      <c r="AD115" s="9"/>
      <c r="AE115" s="223" t="str">
        <f>IF(intervencao3=0,"Do not fill this line",intervencao3)</f>
        <v>Do not fill this line</v>
      </c>
      <c r="AF115" s="227">
        <f>1-IFERROR(IF(AND($H$106=1,J115=""),1,IF(AND($H$106=1,J115=0),0,IF(AND($H$106=1,J115&gt;0),J115,AVERAGEIF(Data!U$110:U$121,"&gt;0",Data!U$110:U$1090)))),1)</f>
        <v>0</v>
      </c>
      <c r="AG115" s="227">
        <f>1-IFERROR(IF(AND($H$106=1,K115=""),1,IF(AND($H$106=1,K115=0),0,IF(AND($H$106=1,K115&gt;0),K115,AVERAGEIF(Data!U$122:U$133,"&gt;0",Data!U$122:U$133)))),1)</f>
        <v>0</v>
      </c>
      <c r="AH115" s="227">
        <f>1-IFERROR(IF(AND($H$106=1,L115=""),1,IF(AND($H$106=1,L115=0),0,IF(AND($H$106=1,L115&gt;0),L115,AVERAGEIF(Data!U$134:U$145,"&gt;0",Data!U$134:U$145)))),1)</f>
        <v>0</v>
      </c>
      <c r="AI115" s="227">
        <f>1-IFERROR(IF(AND($H$106=1,M115=""),1,IF(AND($H$106=1,M115=0),0,IF(AND($H$106=1,M115&gt;0),M115,AVERAGEIF(Data!U$146:U$157,"&gt;0",Data!U$146:U$157)))),1)</f>
        <v>0</v>
      </c>
      <c r="AJ115" s="9"/>
      <c r="AK115" s="9"/>
      <c r="AL115" s="223" t="str">
        <f>IF(intervencao3=0,"Do not fill this line",intervencao3)</f>
        <v>Do not fill this line</v>
      </c>
      <c r="AM115" s="227">
        <f>IFERROR(IF(H106=1,J115,AVERAGEIF(Data!E$110:E$121,"&gt;0",Data!E$110:E$121)),0)</f>
        <v>0</v>
      </c>
      <c r="AN115" s="227">
        <f>IFERROR(IF(H106=1,K115,AVERAGEIF(Data!E$122:E$133,"&gt;0",Data!E$122:E$133)),0)</f>
        <v>0</v>
      </c>
      <c r="AO115" s="227">
        <f>IFERROR(IF(H106=1,L115,AVERAGEIF(Data!E$134:E$145,"&gt;0",Data!E$134:E$145)),0)</f>
        <v>0</v>
      </c>
      <c r="AP115" s="227">
        <f>IFERROR(IF(H106=1,M115,AVERAGEIF(Data!E$146:E$157,"&gt;0",Data!E$146:E$157)),0)</f>
        <v>0</v>
      </c>
      <c r="AQ115" s="9"/>
    </row>
    <row r="116" spans="3:43">
      <c r="C116" s="300" t="str">
        <f>IF(intervencao4=0,"Do not fill this line",intervencao4)</f>
        <v>Do not fill this line</v>
      </c>
      <c r="D116" s="461"/>
      <c r="E116" s="462"/>
      <c r="F116" s="9"/>
      <c r="G116" s="9"/>
      <c r="H116" s="451" t="str">
        <f>IF(intervencao4=0,"Do not fill this line",intervencao4)</f>
        <v>Do not fill this line</v>
      </c>
      <c r="I116" s="452"/>
      <c r="J116" s="230"/>
      <c r="K116" s="230"/>
      <c r="L116" s="230"/>
      <c r="M116" s="230"/>
      <c r="N116" s="289"/>
      <c r="O116" s="9"/>
      <c r="P116" s="9"/>
      <c r="Q116" s="300" t="str">
        <f>IF(intervencao4=0,"Do not fill this line",intervencao4)</f>
        <v>Do not fill this line</v>
      </c>
      <c r="R116" s="227">
        <f t="shared" si="6"/>
        <v>0</v>
      </c>
      <c r="S116" s="227">
        <f t="shared" si="6"/>
        <v>0</v>
      </c>
      <c r="T116" s="227">
        <f t="shared" si="6"/>
        <v>0</v>
      </c>
      <c r="U116" s="227">
        <f t="shared" si="6"/>
        <v>0</v>
      </c>
      <c r="V116" s="11"/>
      <c r="W116" s="9"/>
      <c r="X116" s="223" t="str">
        <f>IF(intervencao4=0,"Do not fill this line",intervencao4)</f>
        <v>Do not fill this line</v>
      </c>
      <c r="Y116" s="227" t="e">
        <f>1-AVERAGEIF(Data!AN$110:AN$121,"&gt;0",Data!AN$110:AN$121)</f>
        <v>#DIV/0!</v>
      </c>
      <c r="Z116" s="227" t="e">
        <f>1-AVERAGEIF(Data!AN$122:AN$133,"&gt;0",Data!AN$122:AN$133)</f>
        <v>#DIV/0!</v>
      </c>
      <c r="AA116" s="227" t="e">
        <f>1-AVERAGEIF(Data!AN$134:AN$145,"&gt;0",Data!AN$134:AN$145)</f>
        <v>#DIV/0!</v>
      </c>
      <c r="AB116" s="227" t="e">
        <f>1-AVERAGEIF(Data!AN$146:AN$157,"&gt;0",Data!AN$146:AN$157)</f>
        <v>#DIV/0!</v>
      </c>
      <c r="AC116" s="11"/>
      <c r="AD116" s="9"/>
      <c r="AE116" s="223" t="str">
        <f>IF(intervencao4=0,"Do not fill this line",intervencao4)</f>
        <v>Do not fill this line</v>
      </c>
      <c r="AF116" s="227">
        <f>1-IFERROR(IF(AND($H$106=1,J116=""),1,IF(AND($H$106=1,J116=0),0,IF(AND($H$106=1,J116&gt;0),J116,AVERAGEIF(Data!V$110:V$121,"&gt;0",Data!V$110:V$121)))),1)</f>
        <v>0</v>
      </c>
      <c r="AG116" s="227">
        <f>1-IFERROR(IF(AND($H$106=1,K116=""),1,IF(AND($H$106=1,K116=0),0,IF(AND($H$106=1,K116&gt;0),K116,AVERAGEIF(Data!V$122:V$133,"&gt;0",Data!V$122:V$133)))),1)</f>
        <v>0</v>
      </c>
      <c r="AH116" s="227">
        <f>1-IFERROR(IF(AND($H$106=1,L116=""),1,IF(AND($H$106=1,L116=0),0,IF(AND($H$106=1,L116&gt;0),L116,AVERAGEIF(Data!V$134:V$145,"&gt;0",Data!V$134:V$145)))),1)</f>
        <v>0</v>
      </c>
      <c r="AI116" s="227">
        <f>1-IFERROR(IF(AND($H$106=1,M116=""),1,IF(AND($H$106=1,M116=0),0,IF(AND($H$106=1,M116&gt;0),M116,AVERAGEIF(Data!V$146:V$157,"&gt;0",Data!V$146:V$157)))),1)</f>
        <v>0</v>
      </c>
      <c r="AJ116" s="9"/>
      <c r="AK116" s="9"/>
      <c r="AL116" s="223" t="str">
        <f>IF(intervencao4=0,"Do not fill this line",intervencao4)</f>
        <v>Do not fill this line</v>
      </c>
      <c r="AM116" s="227">
        <f>IFERROR(IF(H106=1,J116,AVERAGEIF(Data!F$110:F$121,"&gt;0",Data!F$110:F$121)),0)</f>
        <v>0</v>
      </c>
      <c r="AN116" s="227">
        <f>IFERROR(IF(H106=1,K116,AVERAGEIF(Data!F$122:F$133,"&gt;0",Data!F$122:F$133)),0)</f>
        <v>0</v>
      </c>
      <c r="AO116" s="227">
        <f>IFERROR(IF(H106=1,L116,AVERAGEIF(Data!F$134:F$145,"&gt;0",Data!F$134:F$145)),0)</f>
        <v>0</v>
      </c>
      <c r="AP116" s="227">
        <f>IFERROR(IF(H106=1,M116,AVERAGEIF(Data!F$146:F$157,"&gt;0",Data!F$146:F$157)),0)</f>
        <v>0</v>
      </c>
      <c r="AQ116" s="9"/>
    </row>
    <row r="117" spans="3:43" ht="16.05" customHeight="1">
      <c r="C117" s="294" t="str">
        <f>IF($H$102=1,"Enter the median survival","Do not fill in this table")</f>
        <v>Do not fill in this table</v>
      </c>
      <c r="D117" s="463" t="s">
        <v>278</v>
      </c>
      <c r="E117" s="464"/>
      <c r="F117" s="9"/>
      <c r="G117" s="9"/>
      <c r="H117" s="459" t="str">
        <f>H111</f>
        <v>Cumulative mortality rate</v>
      </c>
      <c r="I117" s="460"/>
      <c r="J117" s="475" t="s">
        <v>279</v>
      </c>
      <c r="K117" s="476"/>
      <c r="L117" s="476"/>
      <c r="M117" s="476"/>
      <c r="N117" s="7"/>
      <c r="O117" s="7"/>
      <c r="P117" s="7"/>
      <c r="Q117" s="302" t="str">
        <f>Q111</f>
        <v>Do not fill in this table</v>
      </c>
      <c r="R117" s="303"/>
      <c r="S117" s="304"/>
      <c r="T117" s="304"/>
      <c r="U117" s="304"/>
      <c r="V117" s="11"/>
      <c r="W117" s="7"/>
      <c r="X117" s="302" t="str">
        <f>X111</f>
        <v>Do not fill in this table</v>
      </c>
      <c r="Y117" s="303"/>
      <c r="Z117" s="304"/>
      <c r="AA117" s="304"/>
      <c r="AB117" s="304"/>
      <c r="AC117" s="11"/>
      <c r="AD117" s="9"/>
      <c r="AE117" s="302" t="str">
        <f>AE111</f>
        <v>Do not fill in this table</v>
      </c>
      <c r="AF117" s="303"/>
      <c r="AG117" s="304"/>
      <c r="AH117" s="304"/>
      <c r="AI117" s="304"/>
      <c r="AJ117" s="9"/>
      <c r="AK117" s="9"/>
      <c r="AL117" s="302" t="s">
        <v>276</v>
      </c>
      <c r="AM117" s="303"/>
      <c r="AN117" s="304"/>
      <c r="AO117" s="304"/>
      <c r="AP117" s="304"/>
      <c r="AQ117" s="9"/>
    </row>
    <row r="118" spans="3:43">
      <c r="C118" s="300" t="str">
        <f>IF(comparador1=0,"Do not fill this line",comparador1)</f>
        <v>CT scan + scintigraphy</v>
      </c>
      <c r="D118" s="461"/>
      <c r="E118" s="462"/>
      <c r="F118" s="9"/>
      <c r="G118" s="9"/>
      <c r="H118" s="451" t="str">
        <f>IF(comparador1=0,"Do not fill this line",comparador1)</f>
        <v>CT scan + scintigraphy</v>
      </c>
      <c r="I118" s="452"/>
      <c r="J118" s="230"/>
      <c r="K118" s="230"/>
      <c r="L118" s="230"/>
      <c r="M118" s="230"/>
      <c r="N118" s="289"/>
      <c r="O118" s="9"/>
      <c r="P118" s="9"/>
      <c r="Q118" s="300" t="str">
        <f>IF(comparador1=0,"Do not fill this line",comparador1)</f>
        <v>CT scan + scintigraphy</v>
      </c>
      <c r="R118" s="227">
        <f>IFERROR(IF(AND(obito=1,$H$102=1),Y118,IF(AND(obito=1,$H$102=2),AM118,IF(AND(obito=1,$H$102=3),AF118,0))),0)</f>
        <v>0</v>
      </c>
      <c r="S118" s="227">
        <f t="shared" ref="S118:S127" si="7">IFERROR(IF(AND(obito=1,$H$102=1),Z118,IF(AND(obito=1,$H$102=2),AN118,IF(AND(obito=1,$H$102=3),AG118,0))),0)</f>
        <v>0</v>
      </c>
      <c r="T118" s="227">
        <f t="shared" ref="T118:T127" si="8">IFERROR(IF(AND(obito=1,$H$102=1),AA118,IF(AND(obito=1,$H$102=2),AO118,IF(AND(obito=1,$H$102=3),AH118,0))),0)</f>
        <v>0</v>
      </c>
      <c r="U118" s="227">
        <f t="shared" ref="U118:U127" si="9">IFERROR(IF(AND(obito=1,$H$102=1),AB118,IF(AND(obito=1,$H$102=2),AP118,IF(AND(obito=1,$H$102=3),AI118,0))),0)</f>
        <v>0</v>
      </c>
      <c r="V118" s="11"/>
      <c r="W118" s="9"/>
      <c r="X118" s="223" t="str">
        <f>IF(comparador1=0,"Do not fill this line",comparador1)</f>
        <v>CT scan + scintigraphy</v>
      </c>
      <c r="Y118" s="227" t="e">
        <f>1-AVERAGEIF(Data!AO$110:AO$121,"&gt;0",Data!AO$110:AO$121)</f>
        <v>#DIV/0!</v>
      </c>
      <c r="Z118" s="227" t="e">
        <f>1-AVERAGEIF(Data!AO$122:AO$133,"&gt;0",Data!AO$122:AO$133)</f>
        <v>#DIV/0!</v>
      </c>
      <c r="AA118" s="227" t="e">
        <f>1-AVERAGEIF(Data!AO$134:AO$145,"&gt;0",Data!AO$134:AO$145)</f>
        <v>#DIV/0!</v>
      </c>
      <c r="AB118" s="227" t="e">
        <f>1-AVERAGEIF(Data!AO$146:AO$157,"&gt;0",Data!AO$146:AO$157)</f>
        <v>#DIV/0!</v>
      </c>
      <c r="AC118" s="11"/>
      <c r="AD118" s="9"/>
      <c r="AE118" s="223" t="str">
        <f>IF(comparador1=0,"Do not fill this line",comparador1)</f>
        <v>CT scan + scintigraphy</v>
      </c>
      <c r="AF118" s="227">
        <f>1-IFERROR(IF(AND($H$106=1,J118=""),1,IF(AND($H$106=1,J118=0),0,IF(AND($H$106=1,J118&gt;0),J118,AVERAGEIF(Data!W$110:W$121,"&gt;0",Data!W$110:W$121)))),1)</f>
        <v>0</v>
      </c>
      <c r="AG118" s="227">
        <f>1-IFERROR(IF(AND($H$106=1,K118=""),1,IF(AND($H$106=1,K118=0),0,IF(AND($H$106=1,K118&gt;0),K118,AVERAGEIF(Data!W$122:W$133,"&gt;0",Data!W$122:W$133)))),1)</f>
        <v>0</v>
      </c>
      <c r="AH118" s="227">
        <f>1-IFERROR(IF(AND($H$106=1,L118=""),1,IF(AND($H$106=1,L118=0),0,IF(AND($H$106=1,L118&gt;0),L118,AVERAGEIF(Data!W$134:W$145,"&gt;0",Data!W$134:W$145)))),1)</f>
        <v>0</v>
      </c>
      <c r="AI118" s="227">
        <f>1-IFERROR(IF(AND($H$106=1,M118=""),1,IF(AND($H$106=1,M118=0),0,IF(AND($H$106=1,M118&gt;0),M118,AVERAGEIF(Data!W$146:W$157,"&gt;0",Data!W$146:W$157)))),1)</f>
        <v>0</v>
      </c>
      <c r="AJ118" s="9"/>
      <c r="AK118" s="9"/>
      <c r="AL118" s="223" t="str">
        <f>IF(comparador1=0,"Do not fill this line",comparador1)</f>
        <v>CT scan + scintigraphy</v>
      </c>
      <c r="AM118" s="227">
        <f>IFERROR(IF(H106=1,J118,AVERAGEIF(Data!G$110:G$121,"&gt;0",Data!G$110:G$121)),0)</f>
        <v>0</v>
      </c>
      <c r="AN118" s="227">
        <f>IFERROR(IF(H106=1,K118,AVERAGEIF(Data!G$122:G$133,"&gt;0",Data!G$122:G$133)),0)</f>
        <v>0</v>
      </c>
      <c r="AO118" s="227">
        <f>IFERROR(IF(H106=1,L118,AVERAGEIF(Data!G$134:G$145,"&gt;0",Data!G$134:G$145)),0)</f>
        <v>0</v>
      </c>
      <c r="AP118" s="227">
        <f>IFERROR(IF(H106=1,M118,AVERAGEIF(Data!G$146:G$157,"&gt;0",Data!G$146:G$157)),0)</f>
        <v>0</v>
      </c>
      <c r="AQ118" s="9"/>
    </row>
    <row r="119" spans="3:43">
      <c r="C119" s="300" t="str">
        <f>IF(comparador2=0,"Do not fill this line",comparador2)</f>
        <v>Do not fill this line</v>
      </c>
      <c r="D119" s="461"/>
      <c r="E119" s="462"/>
      <c r="F119" s="9"/>
      <c r="G119" s="9"/>
      <c r="H119" s="451" t="str">
        <f>IF(comparador2=0,"Do not fill this line",comparador2)</f>
        <v>Do not fill this line</v>
      </c>
      <c r="I119" s="452"/>
      <c r="J119" s="230"/>
      <c r="K119" s="230"/>
      <c r="L119" s="230"/>
      <c r="M119" s="230"/>
      <c r="N119" s="289"/>
      <c r="O119" s="9"/>
      <c r="P119" s="9"/>
      <c r="Q119" s="300" t="str">
        <f>IF(comparador2=0,"Do not fill this line",comparador2)</f>
        <v>Do not fill this line</v>
      </c>
      <c r="R119" s="227">
        <f t="shared" ref="R119:R126" si="10">IFERROR(IF(AND(obito=1,$H$102=1),Y119,IF(AND(obito=1,$H$102=2),AM119,IF(AND(obito=1,$H$102=3),AF119,0))),0)</f>
        <v>0</v>
      </c>
      <c r="S119" s="227">
        <f t="shared" si="7"/>
        <v>0</v>
      </c>
      <c r="T119" s="227">
        <f t="shared" si="8"/>
        <v>0</v>
      </c>
      <c r="U119" s="227">
        <f t="shared" si="9"/>
        <v>0</v>
      </c>
      <c r="V119" s="11"/>
      <c r="W119" s="9"/>
      <c r="X119" s="223" t="str">
        <f>IF(comparador2=0,"Do not fill this line",comparador2)</f>
        <v>Do not fill this line</v>
      </c>
      <c r="Y119" s="227" t="e">
        <f>1-AVERAGEIF(Data!AP$110:AP$121,"&gt;0",Data!AP$110:AP$121)</f>
        <v>#DIV/0!</v>
      </c>
      <c r="Z119" s="227" t="e">
        <f>1-AVERAGEIF(Data!AP$122:AP$133,"&gt;0",Data!AP$122:AP$133)</f>
        <v>#DIV/0!</v>
      </c>
      <c r="AA119" s="227" t="e">
        <f>1-AVERAGEIF(Data!AP$134:AP$145,"&gt;0",Data!AP$134:AP$145)</f>
        <v>#DIV/0!</v>
      </c>
      <c r="AB119" s="227" t="e">
        <f>1-AVERAGEIF(Data!AP$146:AP$157,"&gt;0",Data!AP$146:AP$157)</f>
        <v>#DIV/0!</v>
      </c>
      <c r="AC119" s="11"/>
      <c r="AD119" s="9"/>
      <c r="AE119" s="223" t="str">
        <f>IF(comparador2=0,"Do not fill this line",comparador2)</f>
        <v>Do not fill this line</v>
      </c>
      <c r="AF119" s="227">
        <f>1-IFERROR(IF(AND($H$106=1,J119=""),1,IF(AND($H$106=1,J119=0),0,IF(AND($H$106=1,J119&gt;0),J119,AVERAGEIF(Data!X$110:X$121,"&gt;0",Data!X$110:X$121)))),1)</f>
        <v>0</v>
      </c>
      <c r="AG119" s="227">
        <f>1-IFERROR(IF(AND($H$106=1,K119=""),1,IF(AND($H$106=1,K119=0),0,IF(AND($H$106=1,K119&gt;0),K119,AVERAGEIF(Data!X$122:X$133,"&gt;0",Data!X$122:X$133)))),1)</f>
        <v>0</v>
      </c>
      <c r="AH119" s="227">
        <f>1-IFERROR(IF(AND($H$106=1,L119=""),1,IF(AND($H$106=1,L119=0),0,IF(AND($H$106=1,L119&gt;0),L119,AVERAGEIF(Data!X$134:X$145,"&gt;0",Data!X$134:X$145)))),1)</f>
        <v>0</v>
      </c>
      <c r="AI119" s="227">
        <f>1-IFERROR(IF(AND($H$106=1,M119=""),1,IF(AND($H$106=1,M119=0),0,IF(AND($H$106=1,M119&gt;0),M119,AVERAGEIF(Data!X$146:X$157,"&gt;0",Data!X$146:X$157)))),1)</f>
        <v>0</v>
      </c>
      <c r="AJ119" s="9"/>
      <c r="AK119" s="9"/>
      <c r="AL119" s="223" t="str">
        <f>IF(comparador2=0,"Do not fill this line",comparador2)</f>
        <v>Do not fill this line</v>
      </c>
      <c r="AM119" s="227">
        <f>IFERROR(IF(H106=1,J119,AVERAGEIF(Data!H$110:H$121,"&gt;0",Data!H$110:H$121)),0)</f>
        <v>0</v>
      </c>
      <c r="AN119" s="227">
        <f>IFERROR(IF(H106=1,K119,AVERAGEIF(Data!H$122:H$133,"&gt;0",Data!H$122:H$133)),0)</f>
        <v>0</v>
      </c>
      <c r="AO119" s="227">
        <f>IFERROR(IF(H106=1,L119,AVERAGEIF(Data!H$134:H$145,"&gt;0",Data!H$134:H$145)),0)</f>
        <v>0</v>
      </c>
      <c r="AP119" s="227">
        <f>IFERROR(IF(H106=1,M119,AVERAGEIF(Data!H$146:H$157,"&gt;0",Data!H$146:H$157)),0)</f>
        <v>0</v>
      </c>
      <c r="AQ119" s="9"/>
    </row>
    <row r="120" spans="3:43">
      <c r="C120" s="300" t="str">
        <f>IF(comparador3=0,"Do not fill this line",comparador3)</f>
        <v>Do not fill this line</v>
      </c>
      <c r="D120" s="461"/>
      <c r="E120" s="462"/>
      <c r="F120" s="9"/>
      <c r="G120" s="9"/>
      <c r="H120" s="451" t="str">
        <f>IF(comparador3=0,"Do not fill this line",comparador3)</f>
        <v>Do not fill this line</v>
      </c>
      <c r="I120" s="452"/>
      <c r="J120" s="230"/>
      <c r="K120" s="230"/>
      <c r="L120" s="230"/>
      <c r="M120" s="230"/>
      <c r="N120" s="289"/>
      <c r="O120" s="9"/>
      <c r="P120" s="9"/>
      <c r="Q120" s="300" t="str">
        <f>IF(comparador3=0,"Do not fill this line",comparador3)</f>
        <v>Do not fill this line</v>
      </c>
      <c r="R120" s="227">
        <f t="shared" si="10"/>
        <v>0</v>
      </c>
      <c r="S120" s="227">
        <f t="shared" si="7"/>
        <v>0</v>
      </c>
      <c r="T120" s="227">
        <f t="shared" si="8"/>
        <v>0</v>
      </c>
      <c r="U120" s="227">
        <f t="shared" si="9"/>
        <v>0</v>
      </c>
      <c r="V120" s="11"/>
      <c r="W120" s="9"/>
      <c r="X120" s="223" t="str">
        <f>IF(comparador3=0,"Do not fill this line",comparador3)</f>
        <v>Do not fill this line</v>
      </c>
      <c r="Y120" s="227" t="e">
        <f>1-AVERAGEIF(Data!AQ$110:AQ$121,"&gt;0",Data!AQ$110:AQ$121)</f>
        <v>#DIV/0!</v>
      </c>
      <c r="Z120" s="227" t="e">
        <f>1-AVERAGEIF(Data!AQ$122:AQ$133,"&gt;0",Data!AQ$122:AQ$133)</f>
        <v>#DIV/0!</v>
      </c>
      <c r="AA120" s="227" t="e">
        <f>1-AVERAGEIF(Data!AQ$134:AQ$145,"&gt;0",Data!AQ$134:AQ$145)</f>
        <v>#DIV/0!</v>
      </c>
      <c r="AB120" s="227" t="e">
        <f>1-AVERAGEIF(Data!AQ$146:AQ$157,"&gt;0",Data!AQ$146:AQ$157)</f>
        <v>#DIV/0!</v>
      </c>
      <c r="AC120" s="11"/>
      <c r="AD120" s="9"/>
      <c r="AE120" s="223" t="str">
        <f>IF(comparador3=0,"Do not fill this line",comparador3)</f>
        <v>Do not fill this line</v>
      </c>
      <c r="AF120" s="227">
        <f>1-IFERROR(IF(AND($H$106=1,J120=""),1,IF(AND($H$106=1,J120=0),0,IF(AND($H$106=1,J120&gt;0),J120,AVERAGEIF(Data!Y$110:Y$121,"&gt;0",Data!Y$110:Y$121)))),1)</f>
        <v>0</v>
      </c>
      <c r="AG120" s="227">
        <f>1-IFERROR(IF(AND($H$106=1,K120=""),1,IF(AND($H$106=1,K120=0),0,IF(AND($H$106=1,K120&gt;0),K120,AVERAGEIF(Data!Y$122:Y$133,"&gt;0",Data!Y$122:Y$133)))),1)</f>
        <v>0</v>
      </c>
      <c r="AH120" s="227">
        <f>1-IFERROR(IF(AND($H$106=1,L120=""),1,IF(AND($H$106=1,L120=0),0,IF(AND($H$106=1,L120&gt;0),L120,AVERAGEIF(Data!Y$134:Y$145,"&gt;0",Data!Y$134:Y$145)))),1)</f>
        <v>0</v>
      </c>
      <c r="AI120" s="227">
        <f>1-IFERROR(IF(AND($H$106=1,M120=""),1,IF(AND($H$106=1,M120=0),0,IF(AND($H$106=1,M120&gt;0),M120,AVERAGEIF(Data!Y$146:Y$157,"&gt;0",Data!Y$146:Y$157)))),1)</f>
        <v>0</v>
      </c>
      <c r="AJ120" s="9"/>
      <c r="AK120" s="9"/>
      <c r="AL120" s="223" t="str">
        <f>IF(comparador3=0,"Do not fill this line",comparador3)</f>
        <v>Do not fill this line</v>
      </c>
      <c r="AM120" s="227">
        <f>IFERROR(IF(H106=1,J120,AVERAGEIF(Data!I$110:I$121,"&gt;0",Data!I$110:I$121)),0)</f>
        <v>0</v>
      </c>
      <c r="AN120" s="227">
        <f>IFERROR(IF(H106=1,K120,AVERAGEIF(Data!I$122:I$133,"&gt;0",Data!I$122:I$133)),0)</f>
        <v>0</v>
      </c>
      <c r="AO120" s="227">
        <f>IFERROR(IF(H106=1,L120,AVERAGEIF(Data!I$134:I$145,"&gt;0",Data!I$134:I$145)),0)</f>
        <v>0</v>
      </c>
      <c r="AP120" s="227">
        <f>IFERROR(IF(H106=1,M120,AVERAGEIF(Data!I$146:I$157,"&gt;0",Data!I$146:I$157)),0)</f>
        <v>0</v>
      </c>
      <c r="AQ120" s="9"/>
    </row>
    <row r="121" spans="3:43">
      <c r="C121" s="300" t="str">
        <f>IF(comparador4=0,"Do not fill this line",comparador4)</f>
        <v>Do not fill this line</v>
      </c>
      <c r="D121" s="461"/>
      <c r="E121" s="462"/>
      <c r="F121" s="9"/>
      <c r="G121" s="9"/>
      <c r="H121" s="451" t="str">
        <f>IF(comparador4=0,"Do not fill this line",comparador4)</f>
        <v>Do not fill this line</v>
      </c>
      <c r="I121" s="452"/>
      <c r="J121" s="230"/>
      <c r="K121" s="230"/>
      <c r="L121" s="230"/>
      <c r="M121" s="230"/>
      <c r="N121" s="289"/>
      <c r="O121" s="9"/>
      <c r="P121" s="9"/>
      <c r="Q121" s="300" t="str">
        <f>IF(comparador4=0,"Do not fill this line",comparador4)</f>
        <v>Do not fill this line</v>
      </c>
      <c r="R121" s="227">
        <f t="shared" si="10"/>
        <v>0</v>
      </c>
      <c r="S121" s="227">
        <f t="shared" si="7"/>
        <v>0</v>
      </c>
      <c r="T121" s="227">
        <f t="shared" si="8"/>
        <v>0</v>
      </c>
      <c r="U121" s="227">
        <f t="shared" si="9"/>
        <v>0</v>
      </c>
      <c r="V121" s="11"/>
      <c r="W121" s="9"/>
      <c r="X121" s="223" t="str">
        <f>IF(comparador4=0,"Do not fill this line",comparador4)</f>
        <v>Do not fill this line</v>
      </c>
      <c r="Y121" s="227" t="e">
        <f>1-AVERAGEIF(Data!AR$110:AR$121,"&gt;0",Data!AR$110:AR$121)</f>
        <v>#DIV/0!</v>
      </c>
      <c r="Z121" s="227" t="e">
        <f>1-AVERAGEIF(Data!AR$122:AR$133,"&gt;0",Data!AR$122:AR$133)</f>
        <v>#DIV/0!</v>
      </c>
      <c r="AA121" s="227" t="e">
        <f>1-AVERAGEIF(Data!AR$134:AR$145,"&gt;0",Data!AR$134:AR$145)</f>
        <v>#DIV/0!</v>
      </c>
      <c r="AB121" s="227" t="e">
        <f>1-AVERAGEIF(Data!AR$146:AR$157,"&gt;0",Data!AR$146:AR$157)</f>
        <v>#DIV/0!</v>
      </c>
      <c r="AC121" s="11"/>
      <c r="AD121" s="9"/>
      <c r="AE121" s="223" t="str">
        <f>IF(comparador4=0,"Do not fill this line",comparador4)</f>
        <v>Do not fill this line</v>
      </c>
      <c r="AF121" s="227">
        <f>1-IFERROR(IF(AND($H$106=1,J121=""),1,IF(AND($H$106=1,J121=0),0,IF(AND($H$106=1,J121&gt;0),J121,AVERAGEIF(Data!Z$110:Z$121,"&gt;0",Data!Z$110:Z$121)))),1)</f>
        <v>0</v>
      </c>
      <c r="AG121" s="227">
        <f>1-IFERROR(IF(AND($H$106=1,K121=""),1,IF(AND($H$106=1,K121=0),0,IF(AND($H$106=1,K121&gt;0),K121,AVERAGEIF(Data!Z$122:Z$133,"&gt;0",Data!Z$122:Z$133)))),1)</f>
        <v>0</v>
      </c>
      <c r="AH121" s="227">
        <f>1-IFERROR(IF(AND($H$106=1,L121=""),1,IF(AND($H$106=1,L121=0),0,IF(AND($H$106=1,L121&gt;0),L121,AVERAGEIF(Data!Z$134:Z$145,"&gt;0",Data!Z$134:Z$145)))),1)</f>
        <v>0</v>
      </c>
      <c r="AI121" s="227">
        <f>1-IFERROR(IF(AND($H$106=1,M121=""),1,IF(AND($H$106=1,M121=0),0,IF(AND($H$106=1,M121&gt;0),M121,AVERAGEIF(Data!Z$146:Z$157,"&gt;0",Data!Z$146:Z$157)))),1)</f>
        <v>0</v>
      </c>
      <c r="AJ121" s="9"/>
      <c r="AK121" s="9"/>
      <c r="AL121" s="223" t="str">
        <f>IF(comparador4=0,"Do not fill this line",comparador4)</f>
        <v>Do not fill this line</v>
      </c>
      <c r="AM121" s="227">
        <f>IFERROR(IF(H106=1,J121,AVERAGEIF(Data!J$110:J$121,"&gt;0",Data!J$110:J$121)),0)</f>
        <v>0</v>
      </c>
      <c r="AN121" s="227">
        <f>IFERROR(IF(H106=1,K121,AVERAGEIF(Data!J$122:J$133,"&gt;0",Data!J$122:J$133)),0)</f>
        <v>0</v>
      </c>
      <c r="AO121" s="227">
        <f>IFERROR(IF(H106=1,L121,AVERAGEIF(Data!J$134:J$145,"&gt;0",Data!J$134:J$145)),0)</f>
        <v>0</v>
      </c>
      <c r="AP121" s="227">
        <f>IFERROR(IF(H106=1,M121,AVERAGEIF(Data!J$146:J$157,"&gt;0",Data!J$146:J$157)),0)</f>
        <v>0</v>
      </c>
      <c r="AQ121" s="9"/>
    </row>
    <row r="122" spans="3:43">
      <c r="C122" s="300" t="str">
        <f>IF(comparador5=0,"Do not fill this line",comparador5)</f>
        <v>Do not fill this line</v>
      </c>
      <c r="D122" s="461"/>
      <c r="E122" s="462"/>
      <c r="F122" s="9"/>
      <c r="G122" s="9"/>
      <c r="H122" s="451" t="str">
        <f>IF(comparador5=0,"Do not fill this line",comparador5)</f>
        <v>Do not fill this line</v>
      </c>
      <c r="I122" s="452"/>
      <c r="J122" s="230"/>
      <c r="K122" s="230"/>
      <c r="L122" s="230"/>
      <c r="M122" s="230"/>
      <c r="N122" s="289"/>
      <c r="O122" s="9"/>
      <c r="P122" s="9"/>
      <c r="Q122" s="300" t="str">
        <f>IF(comparador5=0,"Do not fill this line",comparador5)</f>
        <v>Do not fill this line</v>
      </c>
      <c r="R122" s="227">
        <f t="shared" si="10"/>
        <v>0</v>
      </c>
      <c r="S122" s="227">
        <f t="shared" si="7"/>
        <v>0</v>
      </c>
      <c r="T122" s="227">
        <f t="shared" si="8"/>
        <v>0</v>
      </c>
      <c r="U122" s="227">
        <f t="shared" si="9"/>
        <v>0</v>
      </c>
      <c r="V122" s="11"/>
      <c r="W122" s="9"/>
      <c r="X122" s="223" t="str">
        <f>IF(comparador5=0,"Do not fill this line",comparador5)</f>
        <v>Do not fill this line</v>
      </c>
      <c r="Y122" s="227" t="e">
        <f>1-AVERAGEIF(Data!AS$110:AS$121,"&gt;0",Data!AS$110:AS$121)</f>
        <v>#DIV/0!</v>
      </c>
      <c r="Z122" s="227" t="e">
        <f>1-AVERAGEIF(Data!AS$122:AS$133,"&gt;0",Data!AS$122:AS$133)</f>
        <v>#DIV/0!</v>
      </c>
      <c r="AA122" s="227" t="e">
        <f>1-AVERAGEIF(Data!AS$134:AS$145,"&gt;0",Data!AS$134:AS$145)</f>
        <v>#DIV/0!</v>
      </c>
      <c r="AB122" s="227" t="e">
        <f>1-AVERAGEIF(Data!AS$146:AS$157,"&gt;0",Data!AS$146:AS$157)</f>
        <v>#DIV/0!</v>
      </c>
      <c r="AC122" s="11"/>
      <c r="AD122" s="9"/>
      <c r="AE122" s="223" t="str">
        <f>IF(comparador5=0,"Do not fill this line",comparador5)</f>
        <v>Do not fill this line</v>
      </c>
      <c r="AF122" s="227">
        <f>1-IFERROR(IF(AND($H$106=1,J122=""),1,IF(AND($H$106=1,J122=0),0,IF(AND($H$106=1,J122&gt;0),J122,AVERAGEIF(Data!AA$110:AA$121,"&gt;0",Data!AA$110:AA$121)))),1)</f>
        <v>0</v>
      </c>
      <c r="AG122" s="227">
        <f>1-IFERROR(IF(AND($H$106=1,K122=""),1,IF(AND($H$106=1,K122=0),0,IF(AND($H$106=1,K122&gt;0),K122,AVERAGEIF(Data!AA$122:AA$133,"&gt;0",Data!AA$122:AA$133)))),1)</f>
        <v>0</v>
      </c>
      <c r="AH122" s="227">
        <f>1-IFERROR(IF(AND($H$106=1,L122=""),1,IF(AND($H$106=1,L122=0),0,IF(AND($H$106=1,L122&gt;0),L122,AVERAGEIF(Data!AA$134:AA$145,"&gt;0",Data!AA$134:AA$145)))),1)</f>
        <v>0</v>
      </c>
      <c r="AI122" s="227">
        <f>1-IFERROR(IF(AND($H$106=1,M122=""),1,IF(AND($H$106=1,M122=0),0,IF(AND($H$106=1,M122&gt;0),M122,AVERAGEIF(Data!AA$146:AA$157,"&gt;0",Data!AA$146:AA$157)))),1)</f>
        <v>0</v>
      </c>
      <c r="AJ122" s="9"/>
      <c r="AK122" s="9"/>
      <c r="AL122" s="223" t="str">
        <f>IF(comparador5=0,"Do not fill this line",comparador5)</f>
        <v>Do not fill this line</v>
      </c>
      <c r="AM122" s="227">
        <f>IFERROR(IF(H106=1,J122,AVERAGEIF(Data!K$110:K$121,"&gt;0",Data!K$110:K$121)),0)</f>
        <v>0</v>
      </c>
      <c r="AN122" s="227">
        <f>IFERROR(IF(H106=1,K122,AVERAGEIF(Data!K$122:K$133,"&gt;0",Data!K$122:K$133)),0)</f>
        <v>0</v>
      </c>
      <c r="AO122" s="227">
        <f>IFERROR(IF(H106=1,L122,AVERAGEIF(Data!K$134:K$145,"&gt;0",Data!K$134:K$145)),0)</f>
        <v>0</v>
      </c>
      <c r="AP122" s="227">
        <f>IFERROR(IF(H106=1,M122,AVERAGEIF(Data!K$146:K$157,"&gt;0",Data!K$146:K$157)),0)</f>
        <v>0</v>
      </c>
      <c r="AQ122" s="9"/>
    </row>
    <row r="123" spans="3:43">
      <c r="C123" s="300" t="str">
        <f>IF(comparador6=0,"Do not fill this line",comparador6)</f>
        <v>Do not fill this line</v>
      </c>
      <c r="D123" s="461"/>
      <c r="E123" s="462"/>
      <c r="F123" s="9"/>
      <c r="G123" s="9"/>
      <c r="H123" s="451" t="str">
        <f>IF(comparador6=0,"Do not fill this line",comparador6)</f>
        <v>Do not fill this line</v>
      </c>
      <c r="I123" s="452"/>
      <c r="J123" s="230"/>
      <c r="K123" s="230"/>
      <c r="L123" s="230"/>
      <c r="M123" s="230"/>
      <c r="N123" s="289"/>
      <c r="O123" s="9"/>
      <c r="P123" s="9"/>
      <c r="Q123" s="300" t="str">
        <f>IF(comparador6=0,"Do not fill this line",comparador6)</f>
        <v>Do not fill this line</v>
      </c>
      <c r="R123" s="227">
        <f t="shared" si="10"/>
        <v>0</v>
      </c>
      <c r="S123" s="227">
        <f t="shared" si="7"/>
        <v>0</v>
      </c>
      <c r="T123" s="227">
        <f t="shared" si="8"/>
        <v>0</v>
      </c>
      <c r="U123" s="227">
        <f t="shared" si="9"/>
        <v>0</v>
      </c>
      <c r="V123" s="11"/>
      <c r="W123" s="9"/>
      <c r="X123" s="223" t="str">
        <f>IF(comparador6=0,"Do not fill this line",comparador6)</f>
        <v>Do not fill this line</v>
      </c>
      <c r="Y123" s="227" t="e">
        <f>1-AVERAGEIF(Data!AT$110:AT$121,"&gt;0",Data!AT$110:AT$121)</f>
        <v>#DIV/0!</v>
      </c>
      <c r="Z123" s="227" t="e">
        <f>1-AVERAGEIF(Data!AT$122:AT$133,"&gt;0",Data!AT$122:AT$133)</f>
        <v>#DIV/0!</v>
      </c>
      <c r="AA123" s="227" t="e">
        <f>1-AVERAGEIF(Data!AT$134:AT$145,"&gt;0",Data!AT$134:AT$145)</f>
        <v>#DIV/0!</v>
      </c>
      <c r="AB123" s="227" t="e">
        <f>1-AVERAGEIF(Data!AT$146:AT$157,"&gt;0",Data!AT$146:AT$157)</f>
        <v>#DIV/0!</v>
      </c>
      <c r="AC123" s="11"/>
      <c r="AD123" s="9"/>
      <c r="AE123" s="223" t="str">
        <f>IF(comparador6=0,"Do not fill this line",comparador6)</f>
        <v>Do not fill this line</v>
      </c>
      <c r="AF123" s="227">
        <f>1-IFERROR(IF(AND($H$106=1,J123=""),1,IF(AND($H$106=1,J123=0),0,IF(AND($H$106=1,J123&gt;0),J123,AVERAGEIF(Data!AB$110:AB$121,"&gt;0",Data!AB$110:AB$121)))),1)</f>
        <v>0</v>
      </c>
      <c r="AG123" s="227">
        <f>1-IFERROR(IF(AND($H$106=1,K123=""),1,IF(AND($H$106=1,K123=0),0,IF(AND($H$106=1,K123&gt;0),K123,AVERAGEIF(Data!AB$122:AB$133,"&gt;0",Data!AB$122:AB$133)))),1)</f>
        <v>0</v>
      </c>
      <c r="AH123" s="227">
        <f>1-IFERROR(IF(AND($H$106=1,L123=""),1,IF(AND($H$106=1,L123=0),0,IF(AND($H$106=1,L123&gt;0),L123,AVERAGEIF(Data!AB$134:AB$145,"&gt;0",Data!AB$134:AB$145)))),1)</f>
        <v>0</v>
      </c>
      <c r="AI123" s="227">
        <f>1-IFERROR(IF(AND($H$106=1,M123=""),1,IF(AND($H$106=1,M123=0),0,IF(AND($H$106=1,M123&gt;0),M123,AVERAGEIF(Data!AB$146:AB$157,"&gt;0",Data!AB$146:AB$157)))),1)</f>
        <v>0</v>
      </c>
      <c r="AJ123" s="9"/>
      <c r="AK123" s="9"/>
      <c r="AL123" s="223" t="str">
        <f>IF(comparador6=0,"Do not fill this line",comparador6)</f>
        <v>Do not fill this line</v>
      </c>
      <c r="AM123" s="227">
        <f>IFERROR(IF(H106=1,J123,AVERAGEIF(Data!L$110:L$121,"&gt;0",Data!L$110:L$121)),0)</f>
        <v>0</v>
      </c>
      <c r="AN123" s="227">
        <f>IFERROR(IF(H106=1,K123,AVERAGEIF(Data!L$122:L$133,"&gt;0",Data!L$122:L$133)),0)</f>
        <v>0</v>
      </c>
      <c r="AO123" s="227">
        <f>IFERROR(IF(H106=1,L123,AVERAGEIF(Data!L$134:L$145,"&gt;0",Data!L$134:L$145)),0)</f>
        <v>0</v>
      </c>
      <c r="AP123" s="227">
        <f>IFERROR(IF(H106=1,M123,AVERAGEIF(Data!L$146:L$157,"&gt;0",Data!L$146:L$157)),0)</f>
        <v>0</v>
      </c>
      <c r="AQ123" s="9"/>
    </row>
    <row r="124" spans="3:43">
      <c r="C124" s="300" t="str">
        <f>IF(comparador7=0,"Do not fill this line",comparador7)</f>
        <v>Do not fill this line</v>
      </c>
      <c r="D124" s="461"/>
      <c r="E124" s="462"/>
      <c r="F124" s="9"/>
      <c r="G124" s="9"/>
      <c r="H124" s="451" t="str">
        <f>IF(comparador7=0,"Do not fill this line",comparador7)</f>
        <v>Do not fill this line</v>
      </c>
      <c r="I124" s="452"/>
      <c r="J124" s="230"/>
      <c r="K124" s="230"/>
      <c r="L124" s="230"/>
      <c r="M124" s="230"/>
      <c r="N124" s="289"/>
      <c r="O124" s="9"/>
      <c r="P124" s="9"/>
      <c r="Q124" s="300" t="str">
        <f>IF(comparador7=0,"Do not fill this line",comparador7)</f>
        <v>Do not fill this line</v>
      </c>
      <c r="R124" s="227">
        <f t="shared" si="10"/>
        <v>0</v>
      </c>
      <c r="S124" s="227">
        <f t="shared" si="7"/>
        <v>0</v>
      </c>
      <c r="T124" s="227">
        <f t="shared" si="8"/>
        <v>0</v>
      </c>
      <c r="U124" s="227">
        <f t="shared" si="9"/>
        <v>0</v>
      </c>
      <c r="V124" s="11"/>
      <c r="W124" s="9"/>
      <c r="X124" s="223" t="str">
        <f>IF(comparador7=0,"Do not fill this line",comparador7)</f>
        <v>Do not fill this line</v>
      </c>
      <c r="Y124" s="227" t="e">
        <f>1-AVERAGEIF(Data!AU$110:AU$121,"&gt;0",Data!AU$110:AU$121)</f>
        <v>#DIV/0!</v>
      </c>
      <c r="Z124" s="227" t="e">
        <f>1-AVERAGEIF(Data!AU$122:AU$133,"&gt;0",Data!AU$122:AU$133)</f>
        <v>#DIV/0!</v>
      </c>
      <c r="AA124" s="227" t="e">
        <f>1-AVERAGEIF(Data!AU$134:AU$145,"&gt;0",Data!AU$134:AU$145)</f>
        <v>#DIV/0!</v>
      </c>
      <c r="AB124" s="227" t="e">
        <f>1-AVERAGEIF(Data!AU$146:AU$157,"&gt;0",Data!AU$146:AU$157)</f>
        <v>#DIV/0!</v>
      </c>
      <c r="AC124" s="11"/>
      <c r="AD124" s="9"/>
      <c r="AE124" s="223" t="str">
        <f>IF(comparador7=0,"Do not fill this line",comparador7)</f>
        <v>Do not fill this line</v>
      </c>
      <c r="AF124" s="227">
        <f>1-IFERROR(IF(AND($H$106=1,J124=""),1,IF(AND($H$106=1,J124=0),0,IF(AND($H$106=1,J124&gt;0),J124,AVERAGEIF(Data!AC$110:AC$121,"&gt;0",Data!AC$110:AC$121)))),1)</f>
        <v>0</v>
      </c>
      <c r="AG124" s="227">
        <f>1-IFERROR(IF(AND($H$106=1,K124=""),1,IF(AND($H$106=1,K124=0),0,IF(AND($H$106=1,K124&gt;0),K124,AVERAGEIF(Data!AC$122:AC$133,"&gt;0",Data!AC$122:AC$133)))),1)</f>
        <v>0</v>
      </c>
      <c r="AH124" s="227">
        <f>1-IFERROR(IF(AND($H$106=1,L124=""),1,IF(AND($H$106=1,L124=0),0,IF(AND($H$106=1,L124&gt;0),L124,AVERAGEIF(Data!AC$134:AC$145,"&gt;0",Data!AC$134:AC$145)))),1)</f>
        <v>0</v>
      </c>
      <c r="AI124" s="227">
        <f>1-IFERROR(IF(AND($H$106=1,M124=""),1,IF(AND($H$106=1,M124=0),0,IF(AND($H$106=1,M124&gt;0),M124,AVERAGEIF(Data!AC$146:AC$157,"&gt;0",Data!AC$146:AC$157)))),1)</f>
        <v>0</v>
      </c>
      <c r="AJ124" s="9"/>
      <c r="AK124" s="9"/>
      <c r="AL124" s="223" t="str">
        <f>IF(comparador7=0,"Do not fill this line",comparador7)</f>
        <v>Do not fill this line</v>
      </c>
      <c r="AM124" s="227">
        <f>IFERROR(IF(H106=1,J124,AVERAGEIF(Data!M$110:M$121,"&gt;0",Data!M$110:M$121)),0)</f>
        <v>0</v>
      </c>
      <c r="AN124" s="227">
        <f>IFERROR(IF(H106=1,K124,AVERAGEIF(Data!M$122:M$133,"&gt;0",Data!M$122:M$133)),0)</f>
        <v>0</v>
      </c>
      <c r="AO124" s="227">
        <f>IFERROR(IF(H106=1,L124,AVERAGEIF(Data!M$134:M$145,"&gt;0",Data!M$134:M$145)),0)</f>
        <v>0</v>
      </c>
      <c r="AP124" s="227">
        <f>IFERROR(IF(H106=1,M124,AVERAGEIF(Data!M$146:M$157,"&gt;0",Data!M$146:M$157)),0)</f>
        <v>0</v>
      </c>
      <c r="AQ124" s="9"/>
    </row>
    <row r="125" spans="3:43">
      <c r="C125" s="300" t="str">
        <f>IF(comparador8=0,"Do not fill this line",comparador8)</f>
        <v>Do not fill this line</v>
      </c>
      <c r="D125" s="461"/>
      <c r="E125" s="462"/>
      <c r="F125" s="9"/>
      <c r="G125" s="9"/>
      <c r="H125" s="451" t="str">
        <f>IF(comparador8=0,"Do not fill this line",comparador8)</f>
        <v>Do not fill this line</v>
      </c>
      <c r="I125" s="452"/>
      <c r="J125" s="230"/>
      <c r="K125" s="230"/>
      <c r="L125" s="230"/>
      <c r="M125" s="230"/>
      <c r="N125" s="289"/>
      <c r="O125" s="9"/>
      <c r="P125" s="9"/>
      <c r="Q125" s="300" t="str">
        <f>IF(comparador8=0,"Do not fill this line",comparador8)</f>
        <v>Do not fill this line</v>
      </c>
      <c r="R125" s="227">
        <f t="shared" si="10"/>
        <v>0</v>
      </c>
      <c r="S125" s="227">
        <f t="shared" si="7"/>
        <v>0</v>
      </c>
      <c r="T125" s="227">
        <f t="shared" si="8"/>
        <v>0</v>
      </c>
      <c r="U125" s="227">
        <f t="shared" si="9"/>
        <v>0</v>
      </c>
      <c r="V125" s="11"/>
      <c r="W125" s="9"/>
      <c r="X125" s="223" t="str">
        <f>IF(comparador8=0,"Do not fill this line",comparador8)</f>
        <v>Do not fill this line</v>
      </c>
      <c r="Y125" s="227" t="e">
        <f>1-AVERAGEIF(Data!AV$110:AV$121,"&gt;0",Data!AV$110:AV$121)</f>
        <v>#DIV/0!</v>
      </c>
      <c r="Z125" s="227" t="e">
        <f>1-AVERAGEIF(Data!AV$122:AV$133,"&gt;0",Data!AV$122:AV$133)</f>
        <v>#DIV/0!</v>
      </c>
      <c r="AA125" s="227" t="e">
        <f>1-AVERAGEIF(Data!AV$134:AV$145,"&gt;0",Data!AV$134:AV$145)</f>
        <v>#DIV/0!</v>
      </c>
      <c r="AB125" s="227" t="e">
        <f>1-AVERAGEIF(Data!AV$146:AV$157,"&gt;0",Data!AV$146:AV$157)</f>
        <v>#DIV/0!</v>
      </c>
      <c r="AC125" s="11"/>
      <c r="AD125" s="9"/>
      <c r="AE125" s="223" t="str">
        <f>IF(comparador8=0,"Do not fill this line",comparador8)</f>
        <v>Do not fill this line</v>
      </c>
      <c r="AF125" s="227">
        <f>1-IFERROR(IF(AND($H$106=1,J125=""),1,IF(AND($H$106=1,J125=0),0,IF(AND($H$106=1,J125&gt;0),J125,AVERAGEIF(Data!AD$110:AD$121,"&gt;0",Data!AD$110:AD$121)))),1)</f>
        <v>0</v>
      </c>
      <c r="AG125" s="227">
        <f>1-IFERROR(IF(AND($H$106=1,K125=""),1,IF(AND($H$106=1,K125=0),0,IF(AND($H$106=1,K125&gt;0),K125,AVERAGEIF(Data!AD$122:AD$133,"&gt;0",Data!AD$122:AD$133)))),1)</f>
        <v>0</v>
      </c>
      <c r="AH125" s="227">
        <f>1-IFERROR(IF(AND($H$106=1,L125=""),1,IF(AND($H$106=1,L125=0),0,IF(AND($H$106=1,L125&gt;0),L125,AVERAGEIF(Data!AD$134:AD$145,"&gt;0",Data!AD$134:AD$145)))),1)</f>
        <v>0</v>
      </c>
      <c r="AI125" s="227">
        <f>1-IFERROR(IF(AND($H$106=1,M125=""),1,IF(AND($H$106=1,M125=0),0,IF(AND($H$106=1,M125&gt;0),M125,AVERAGEIF(Data!AD$146:AD$157,"&gt;0",Data!AD$146:AD$157)))),1)</f>
        <v>0</v>
      </c>
      <c r="AJ125" s="9"/>
      <c r="AK125" s="9"/>
      <c r="AL125" s="223" t="str">
        <f>IF(comparador8=0,"Do not fill this line",comparador8)</f>
        <v>Do not fill this line</v>
      </c>
      <c r="AM125" s="227">
        <f>IFERROR(IF(H106=1,J125,AVERAGEIF(Data!N$110:N$121,"&gt;0",Data!N$110:N$121)),0)</f>
        <v>0</v>
      </c>
      <c r="AN125" s="227">
        <f>IFERROR(IF(H106=1,K125,AVERAGEIF(Data!N$122:N$133,"&gt;0",Data!N$122:N$133)),0)</f>
        <v>0</v>
      </c>
      <c r="AO125" s="227">
        <f>IFERROR(IF(H106=1,L125,AVERAGEIF(Data!N$134:N$145,"&gt;0",Data!N$134:N$145)),0)</f>
        <v>0</v>
      </c>
      <c r="AP125" s="227">
        <f>IFERROR(IF(H106=1,M125,AVERAGEIF(Data!N$146:N$157,"&gt;0",Data!N$146:N$157)),0)</f>
        <v>0</v>
      </c>
      <c r="AQ125" s="9"/>
    </row>
    <row r="126" spans="3:43">
      <c r="C126" s="300" t="str">
        <f>IF(comparador9=0,"Do not fill this line",comparador9)</f>
        <v>Do not fill this line</v>
      </c>
      <c r="D126" s="461"/>
      <c r="E126" s="462"/>
      <c r="F126" s="9"/>
      <c r="G126" s="9"/>
      <c r="H126" s="451" t="str">
        <f>IF(comparador9=0,"Do not fill this line",comparador9)</f>
        <v>Do not fill this line</v>
      </c>
      <c r="I126" s="452"/>
      <c r="J126" s="230"/>
      <c r="K126" s="230"/>
      <c r="L126" s="230"/>
      <c r="M126" s="230"/>
      <c r="N126" s="289"/>
      <c r="O126" s="9"/>
      <c r="P126" s="9"/>
      <c r="Q126" s="300" t="str">
        <f>IF(comparador9=0,"Do not fill this line",comparador9)</f>
        <v>Do not fill this line</v>
      </c>
      <c r="R126" s="227">
        <f t="shared" si="10"/>
        <v>0</v>
      </c>
      <c r="S126" s="227">
        <f t="shared" si="7"/>
        <v>0</v>
      </c>
      <c r="T126" s="227">
        <f t="shared" si="8"/>
        <v>0</v>
      </c>
      <c r="U126" s="227">
        <f t="shared" si="9"/>
        <v>0</v>
      </c>
      <c r="V126" s="11"/>
      <c r="W126" s="9"/>
      <c r="X126" s="223" t="str">
        <f>IF(comparador9=0,"Do not fill this line",comparador9)</f>
        <v>Do not fill this line</v>
      </c>
      <c r="Y126" s="227" t="e">
        <f>1-AVERAGEIF(Data!AW$110:AW$121,"&gt;0",Data!AW$110:AW$121)</f>
        <v>#DIV/0!</v>
      </c>
      <c r="Z126" s="227" t="e">
        <f>1-AVERAGEIF(Data!AW$122:AW$133,"&gt;0",Data!AW$122:AW$133)</f>
        <v>#DIV/0!</v>
      </c>
      <c r="AA126" s="227" t="e">
        <f>1-AVERAGEIF(Data!AW$134:AW$145,"&gt;0",Data!AW$134:AW$145)</f>
        <v>#DIV/0!</v>
      </c>
      <c r="AB126" s="227" t="e">
        <f>1-AVERAGEIF(Data!AW$146:AW$157,"&gt;0",Data!AW$146:AW$157)</f>
        <v>#DIV/0!</v>
      </c>
      <c r="AC126" s="11"/>
      <c r="AD126" s="9"/>
      <c r="AE126" s="223" t="str">
        <f>IF(comparador9=0,"Do not fill this line",comparador9)</f>
        <v>Do not fill this line</v>
      </c>
      <c r="AF126" s="227">
        <f>1-IFERROR(IF(AND($H$106=1,J126=""),1,IF(AND($H$106=1,J126=0),0,IF(AND($H$106=1,J126&gt;0),J126,AVERAGEIF(Data!AE$110:AE$121,"&gt;0",Data!AE$110:AE$121)))),1)</f>
        <v>0</v>
      </c>
      <c r="AG126" s="227">
        <f>1-IFERROR(IF(AND($H$106=1,K126=""),1,IF(AND($H$106=1,K126=0),0,IF(AND($H$106=1,K126&gt;0),K126,AVERAGEIF(Data!AE$122:AE$133,"&gt;0",Data!AE$122:AE$133)))),1)</f>
        <v>0</v>
      </c>
      <c r="AH126" s="227">
        <f>1-IFERROR(IF(AND($H$106=1,L126=""),1,IF(AND($H$106=1,L126=0),0,IF(AND($H$106=1,L126&gt;0),L126,AVERAGEIF(Data!AE$134:AE$145,"&gt;0",Data!AE$134:AE$145)))),1)</f>
        <v>0</v>
      </c>
      <c r="AI126" s="227">
        <f>1-IFERROR(IF(AND($H$106=1,M126=""),1,IF(AND($H$106=1,M126=0),0,IF(AND($H$106=1,M126&gt;0),M126,AVERAGEIF(Data!AE$146:AE$157,"&gt;0",Data!AE$146:AE$157)))),1)</f>
        <v>0</v>
      </c>
      <c r="AJ126" s="9"/>
      <c r="AK126" s="9"/>
      <c r="AL126" s="223" t="str">
        <f>IF(comparador9=0,"Do not fill this line",comparador9)</f>
        <v>Do not fill this line</v>
      </c>
      <c r="AM126" s="227">
        <f>IFERROR(IF(H106=1,J126,AVERAGEIF(Data!O$110:O$121,"&gt;0",Data!O$110:O$121)),0)</f>
        <v>0</v>
      </c>
      <c r="AN126" s="227">
        <f>IFERROR(IF(H106=1,K126,AVERAGEIF(Data!O$122:O$133,"&gt;0",Data!O$122:O$133)),0)</f>
        <v>0</v>
      </c>
      <c r="AO126" s="227">
        <f>IFERROR(IF(H106=1,L126,AVERAGEIF(Data!O$134:O$145,"&gt;0",Data!O$134:O$145)),0)</f>
        <v>0</v>
      </c>
      <c r="AP126" s="227">
        <f>IFERROR(IF(H106=1,M126,AVERAGEIF(Data!O$146:O$157,"&gt;0",Data!O$146:O$157)),0)</f>
        <v>0</v>
      </c>
      <c r="AQ126" s="9"/>
    </row>
    <row r="127" spans="3:43">
      <c r="C127" s="300" t="str">
        <f>IF(comparador10=0,"Do not fill this line",comparador10)</f>
        <v>Do not fill this line</v>
      </c>
      <c r="D127" s="461"/>
      <c r="E127" s="462"/>
      <c r="F127" s="9"/>
      <c r="G127" s="9"/>
      <c r="H127" s="451" t="str">
        <f>IF(comparador10=0,"Do not fill this line",comparador10)</f>
        <v>Do not fill this line</v>
      </c>
      <c r="I127" s="452"/>
      <c r="J127" s="230"/>
      <c r="K127" s="230"/>
      <c r="L127" s="230"/>
      <c r="M127" s="230"/>
      <c r="N127" s="289"/>
      <c r="O127" s="9"/>
      <c r="P127" s="9"/>
      <c r="Q127" s="300" t="str">
        <f>IF(comparador10=0,"Do not fill this line",comparador10)</f>
        <v>Do not fill this line</v>
      </c>
      <c r="R127" s="227">
        <f>IFERROR(IF(AND(obito=1,$H$102=1),Y127,IF(AND(obito=1,$H$102=2),AM127,IF(AND(obito=1,$H$102=3),AF127,0))),0)</f>
        <v>0</v>
      </c>
      <c r="S127" s="227">
        <f t="shared" si="7"/>
        <v>0</v>
      </c>
      <c r="T127" s="227">
        <f t="shared" si="8"/>
        <v>0</v>
      </c>
      <c r="U127" s="227">
        <f t="shared" si="9"/>
        <v>0</v>
      </c>
      <c r="V127" s="11"/>
      <c r="W127" s="9"/>
      <c r="X127" s="223" t="str">
        <f>IF(comparador10=0,"Do not fill this line",comparador10)</f>
        <v>Do not fill this line</v>
      </c>
      <c r="Y127" s="227" t="e">
        <f>1-AVERAGEIF(Data!AX$110:AX$121,"&gt;0",Data!AX$110:AX$121)</f>
        <v>#DIV/0!</v>
      </c>
      <c r="Z127" s="227" t="e">
        <f>1-AVERAGEIF(Data!AX$122:AX$133,"&gt;0",Data!AX$122:AX$133)</f>
        <v>#DIV/0!</v>
      </c>
      <c r="AA127" s="227" t="e">
        <f>1-AVERAGEIF(Data!AX$134:AX$145,"&gt;0",Data!AX$134:AX$145)</f>
        <v>#DIV/0!</v>
      </c>
      <c r="AB127" s="227" t="e">
        <f>1-AVERAGEIF(Data!AX$146:AX$157,"&gt;0",Data!AX$146:AX$157)</f>
        <v>#DIV/0!</v>
      </c>
      <c r="AC127" s="11"/>
      <c r="AD127" s="9"/>
      <c r="AE127" s="223" t="str">
        <f>IF(comparador10=0,"Do not fill this line",comparador10)</f>
        <v>Do not fill this line</v>
      </c>
      <c r="AF127" s="227">
        <f>1-IFERROR(IF(AND($H$106=1,J127=""),1,IF(AND($H$106=1,J127=0),0,IF(AND($H$106=1,J127&gt;0),J127,AVERAGEIF(Data!AF$110:AF$121,"&gt;0",Data!AF$110:AF$121)))),1)</f>
        <v>0</v>
      </c>
      <c r="AG127" s="227">
        <f>1-IFERROR(IF(AND($H$106=1,K127=""),1,IF(AND($H$106=1,K127=0),0,IF(AND($H$106=1,K127&gt;0),K127,AVERAGEIF(Data!AF$122:AF$133,"&gt;0",Data!AF$122:AF$133)))),1)</f>
        <v>0</v>
      </c>
      <c r="AH127" s="227">
        <f>1-IFERROR(IF(AND($H$106=1,L127=""),1,IF(AND($H$106=1,L127=0),0,IF(AND($H$106=1,L127&gt;0),L127,AVERAGEIF(Data!AF$134:AF$145,"&gt;0",Data!AF$134:AF$145)))),1)</f>
        <v>0</v>
      </c>
      <c r="AI127" s="227">
        <f>1-IFERROR(IF(AND($H$106=1,M127=""),1,IF(AND($H$106=1,M127=0),0,IF(AND($H$106=1,M127&gt;0),M127,AVERAGEIF(Data!AF$146:AF$157,"&gt;0",Data!AF$146:AF$157)))),1)</f>
        <v>0</v>
      </c>
      <c r="AJ127" s="9"/>
      <c r="AK127" s="9"/>
      <c r="AL127" s="223" t="str">
        <f>IF(comparador10=0,"Do not fill this line",comparador10)</f>
        <v>Do not fill this line</v>
      </c>
      <c r="AM127" s="227">
        <f>IFERROR(IF(H106=1,J127,AVERAGEIF(Data!P$110:P$121,"&gt;0",Data!P$110:P$121)),0)</f>
        <v>0</v>
      </c>
      <c r="AN127" s="227">
        <f>IFERROR(IF(H106=1,K127,AVERAGEIF(Data!P$122:P$133,"&gt;0",Data!P$122:P$133)),0)</f>
        <v>0</v>
      </c>
      <c r="AO127" s="227">
        <f>IFERROR(IF(H106=1,L127,AVERAGEIF(Data!P$134:P$145,"&gt;0",Data!P$134:P$145)),0)</f>
        <v>0</v>
      </c>
      <c r="AP127" s="227">
        <f>IFERROR(IF(H106=1,M127,AVERAGEIF(Data!P$146:P$157,"&gt;0",Data!P$146:P$157)),0)</f>
        <v>0</v>
      </c>
      <c r="AQ127" s="9"/>
    </row>
    <row r="128" spans="3:43">
      <c r="C128" s="2"/>
      <c r="D128" s="7"/>
      <c r="E128" s="7"/>
      <c r="F128" s="7"/>
      <c r="G128" s="7"/>
      <c r="H128" s="7"/>
      <c r="I128" s="9"/>
      <c r="J128" s="7"/>
      <c r="K128" s="7"/>
      <c r="L128" s="7"/>
      <c r="M128" s="7"/>
      <c r="N128" s="289"/>
      <c r="O128" s="9"/>
      <c r="P128" s="9"/>
      <c r="Q128" s="11"/>
      <c r="R128" s="11"/>
      <c r="S128" s="11"/>
      <c r="T128" s="11"/>
      <c r="U128" s="11"/>
      <c r="V128" s="11"/>
      <c r="W128" s="9"/>
      <c r="X128" s="11"/>
      <c r="Y128" s="11"/>
      <c r="Z128" s="11"/>
      <c r="AA128" s="11"/>
      <c r="AB128" s="11"/>
      <c r="AC128" s="11"/>
      <c r="AD128" s="9"/>
      <c r="AE128" s="11"/>
      <c r="AF128" s="9"/>
      <c r="AG128" s="9"/>
      <c r="AH128" s="9"/>
      <c r="AI128" s="9"/>
      <c r="AJ128" s="9"/>
      <c r="AK128" s="9"/>
      <c r="AL128" s="9"/>
      <c r="AM128" s="9"/>
      <c r="AN128" s="9"/>
      <c r="AO128" s="9"/>
      <c r="AP128" s="9"/>
      <c r="AQ128" s="9"/>
    </row>
    <row r="129" spans="2:31">
      <c r="C129" s="2"/>
      <c r="D129" s="7"/>
      <c r="E129" s="7"/>
      <c r="F129" s="7"/>
      <c r="G129" s="7"/>
      <c r="H129" s="7"/>
      <c r="I129" s="7"/>
      <c r="J129" s="7"/>
      <c r="K129" s="7"/>
      <c r="L129" s="7"/>
      <c r="M129" s="289"/>
      <c r="N129" s="289"/>
      <c r="O129" s="9"/>
      <c r="P129" s="9"/>
      <c r="Q129" s="11"/>
      <c r="R129" s="11"/>
      <c r="S129" s="11"/>
      <c r="T129" s="11"/>
      <c r="U129" s="11"/>
    </row>
    <row r="130" spans="2:31">
      <c r="C130" s="7"/>
      <c r="D130" s="7"/>
      <c r="E130" s="7"/>
      <c r="F130" s="7"/>
      <c r="G130" s="7"/>
      <c r="H130" s="7"/>
      <c r="I130" s="7"/>
      <c r="J130" s="7"/>
      <c r="K130" s="7"/>
      <c r="L130" s="7"/>
      <c r="M130" s="289"/>
      <c r="N130" s="289"/>
      <c r="O130" s="306"/>
      <c r="P130" s="9"/>
      <c r="Q130" s="11"/>
      <c r="R130" s="11"/>
      <c r="S130" s="11"/>
      <c r="T130" s="11"/>
      <c r="U130" s="11"/>
    </row>
    <row r="131" spans="2:31">
      <c r="C131" s="7"/>
      <c r="D131" s="7"/>
      <c r="E131" s="7"/>
      <c r="F131" s="7"/>
      <c r="G131" s="7"/>
      <c r="H131" s="7"/>
      <c r="I131" s="7"/>
      <c r="J131" s="7"/>
      <c r="K131" s="7"/>
      <c r="L131" s="7"/>
      <c r="M131" s="289"/>
      <c r="N131" s="289"/>
      <c r="O131" s="306"/>
      <c r="P131" s="9"/>
      <c r="Q131" s="11"/>
      <c r="R131" s="11"/>
      <c r="S131" s="11"/>
      <c r="T131" s="11"/>
      <c r="U131" s="11"/>
    </row>
    <row r="132" spans="2:31">
      <c r="C132" s="9"/>
      <c r="D132" s="9"/>
      <c r="E132" s="9"/>
      <c r="F132" s="9"/>
      <c r="G132" s="9"/>
      <c r="H132" s="9"/>
      <c r="I132" s="7"/>
      <c r="J132" s="7"/>
      <c r="K132" s="7"/>
      <c r="L132" s="7"/>
      <c r="O132" s="9"/>
      <c r="P132" s="9"/>
      <c r="Q132" s="11"/>
      <c r="R132" s="11"/>
      <c r="S132" s="11"/>
      <c r="T132" s="11"/>
      <c r="U132" s="11"/>
    </row>
    <row r="137" spans="2:31">
      <c r="C137" s="7"/>
      <c r="D137" s="7"/>
      <c r="E137" s="7"/>
      <c r="F137" s="7"/>
      <c r="G137" s="7"/>
      <c r="H137" s="7"/>
      <c r="I137" s="7"/>
      <c r="J137" s="7"/>
      <c r="K137" s="7"/>
      <c r="L137" s="7"/>
      <c r="M137" s="142"/>
      <c r="N137" s="142"/>
    </row>
    <row r="138" spans="2:31">
      <c r="C138" s="65"/>
      <c r="D138" s="65"/>
      <c r="E138" s="65"/>
      <c r="F138" s="65"/>
      <c r="G138" s="65"/>
      <c r="H138" s="65"/>
      <c r="I138" s="65"/>
      <c r="J138" s="65"/>
      <c r="K138" s="65"/>
      <c r="L138" s="65"/>
      <c r="M138" s="65"/>
      <c r="N138" s="65"/>
    </row>
    <row r="139" spans="2:31">
      <c r="C139" s="406" t="s">
        <v>224</v>
      </c>
      <c r="D139" s="406"/>
      <c r="E139" s="406"/>
      <c r="F139" s="406"/>
      <c r="G139" s="406"/>
      <c r="H139" s="406"/>
      <c r="I139" s="406"/>
      <c r="J139" s="406"/>
      <c r="K139" s="406"/>
      <c r="L139" s="406"/>
      <c r="M139" s="406"/>
      <c r="N139" s="406"/>
    </row>
    <row r="140" spans="2:31">
      <c r="C140" s="406"/>
      <c r="D140" s="406"/>
      <c r="E140" s="406"/>
      <c r="F140" s="406"/>
      <c r="G140" s="406"/>
      <c r="H140" s="406"/>
      <c r="I140" s="406"/>
      <c r="J140" s="406"/>
      <c r="K140" s="406"/>
      <c r="L140" s="406"/>
      <c r="M140" s="406"/>
      <c r="N140" s="406"/>
    </row>
    <row r="141" spans="2:31" ht="85.95" customHeight="1">
      <c r="B141" s="405" t="e" vm="1">
        <v>#VALUE!</v>
      </c>
      <c r="C141" s="405"/>
      <c r="D141" s="405"/>
      <c r="E141" s="405"/>
      <c r="F141" s="405"/>
      <c r="G141" s="405"/>
      <c r="H141" s="405"/>
      <c r="I141" s="405"/>
      <c r="J141" s="405"/>
      <c r="K141" s="405"/>
      <c r="L141" s="405"/>
      <c r="M141" s="405"/>
      <c r="N141" s="3"/>
      <c r="Q141" s="3"/>
      <c r="R141" s="3"/>
      <c r="S141" s="3"/>
      <c r="T141" s="3"/>
      <c r="U141" s="3"/>
      <c r="V141" s="3"/>
      <c r="X141" s="3"/>
      <c r="Y141" s="3"/>
      <c r="Z141" s="3"/>
      <c r="AA141" s="3"/>
      <c r="AB141" s="3"/>
      <c r="AC141" s="3"/>
      <c r="AE141" s="3"/>
    </row>
  </sheetData>
  <sheetProtection algorithmName="SHA-512" hashValue="zqyH7KwBFoU5dVct2o/MFt8+B4uVQeh/UzyYRoexg2TgaCiEiUD8jqVprfIgXcZLA7FaLWpPdegtdduXW6W3Jg==" saltValue="Upu5T8upEvER9QWUzQ7fNA==" spinCount="100000" sheet="1" scenarios="1" formatCells="0" formatColumns="0" formatRows="0"/>
  <mergeCells count="104">
    <mergeCell ref="AL61:AP62"/>
    <mergeCell ref="Q61:U62"/>
    <mergeCell ref="H63:I64"/>
    <mergeCell ref="H69:I69"/>
    <mergeCell ref="H65:I65"/>
    <mergeCell ref="X61:AB62"/>
    <mergeCell ref="AE63:AE64"/>
    <mergeCell ref="I54:I55"/>
    <mergeCell ref="K54:M54"/>
    <mergeCell ref="J69:M69"/>
    <mergeCell ref="J64:M64"/>
    <mergeCell ref="J117:M117"/>
    <mergeCell ref="J112:M112"/>
    <mergeCell ref="H111:I112"/>
    <mergeCell ref="H113:I113"/>
    <mergeCell ref="H114:I114"/>
    <mergeCell ref="Q109:U110"/>
    <mergeCell ref="H77:I77"/>
    <mergeCell ref="H78:I78"/>
    <mergeCell ref="H79:I79"/>
    <mergeCell ref="C81:H83"/>
    <mergeCell ref="H73:I73"/>
    <mergeCell ref="H74:I74"/>
    <mergeCell ref="H75:I75"/>
    <mergeCell ref="H66:I66"/>
    <mergeCell ref="H67:I67"/>
    <mergeCell ref="H68:I68"/>
    <mergeCell ref="H70:I70"/>
    <mergeCell ref="H71:I71"/>
    <mergeCell ref="H72:I72"/>
    <mergeCell ref="C54:C55"/>
    <mergeCell ref="C40:C41"/>
    <mergeCell ref="D69:E69"/>
    <mergeCell ref="D65:E65"/>
    <mergeCell ref="D66:E66"/>
    <mergeCell ref="D67:E67"/>
    <mergeCell ref="D68:E68"/>
    <mergeCell ref="E40:G40"/>
    <mergeCell ref="C58:C59"/>
    <mergeCell ref="E58:G58"/>
    <mergeCell ref="C63:C64"/>
    <mergeCell ref="E54:G54"/>
    <mergeCell ref="D63:E64"/>
    <mergeCell ref="D72:E72"/>
    <mergeCell ref="Q63:Q64"/>
    <mergeCell ref="X63:X64"/>
    <mergeCell ref="AE61:AI62"/>
    <mergeCell ref="C106:C107"/>
    <mergeCell ref="E106:G106"/>
    <mergeCell ref="D114:E114"/>
    <mergeCell ref="C91:C92"/>
    <mergeCell ref="E91:G91"/>
    <mergeCell ref="C102:C103"/>
    <mergeCell ref="E102:G102"/>
    <mergeCell ref="D78:E78"/>
    <mergeCell ref="D79:E79"/>
    <mergeCell ref="C111:C112"/>
    <mergeCell ref="D111:E112"/>
    <mergeCell ref="D113:E113"/>
    <mergeCell ref="D73:E73"/>
    <mergeCell ref="D74:E74"/>
    <mergeCell ref="D75:E75"/>
    <mergeCell ref="D76:E76"/>
    <mergeCell ref="D77:E77"/>
    <mergeCell ref="D70:E70"/>
    <mergeCell ref="D71:E71"/>
    <mergeCell ref="H76:I76"/>
    <mergeCell ref="D125:E125"/>
    <mergeCell ref="D126:E126"/>
    <mergeCell ref="D127:E127"/>
    <mergeCell ref="D120:E120"/>
    <mergeCell ref="D121:E121"/>
    <mergeCell ref="D122:E122"/>
    <mergeCell ref="D123:E123"/>
    <mergeCell ref="D124:E124"/>
    <mergeCell ref="D115:E115"/>
    <mergeCell ref="D116:E116"/>
    <mergeCell ref="D117:E117"/>
    <mergeCell ref="D118:E118"/>
    <mergeCell ref="D119:E119"/>
    <mergeCell ref="C10:H10"/>
    <mergeCell ref="C17:H17"/>
    <mergeCell ref="C139:N140"/>
    <mergeCell ref="B141:M141"/>
    <mergeCell ref="X111:X112"/>
    <mergeCell ref="AE111:AE112"/>
    <mergeCell ref="AL111:AL112"/>
    <mergeCell ref="H126:I126"/>
    <mergeCell ref="H127:I127"/>
    <mergeCell ref="X109:AB110"/>
    <mergeCell ref="AE109:AI110"/>
    <mergeCell ref="AL109:AP110"/>
    <mergeCell ref="H117:I117"/>
    <mergeCell ref="Q111:Q112"/>
    <mergeCell ref="H121:I121"/>
    <mergeCell ref="H122:I122"/>
    <mergeCell ref="H123:I123"/>
    <mergeCell ref="H124:I124"/>
    <mergeCell ref="H125:I125"/>
    <mergeCell ref="H115:I115"/>
    <mergeCell ref="H116:I116"/>
    <mergeCell ref="H118:I118"/>
    <mergeCell ref="H119:I119"/>
    <mergeCell ref="H120:I120"/>
  </mergeCells>
  <phoneticPr fontId="2" type="noConversion"/>
  <conditionalFormatting sqref="D12:H15">
    <cfRule type="expression" dxfId="38" priority="44" stopIfTrue="1">
      <formula>$C12="Do not fill this line"</formula>
    </cfRule>
  </conditionalFormatting>
  <conditionalFormatting sqref="D19:H28">
    <cfRule type="expression" dxfId="37" priority="43" stopIfTrue="1">
      <formula>$C19="Do not fill this line"</formula>
    </cfRule>
  </conditionalFormatting>
  <conditionalFormatting sqref="C110:E127">
    <cfRule type="expression" dxfId="36" priority="25">
      <formula>$H$102&gt;1</formula>
    </cfRule>
  </conditionalFormatting>
  <conditionalFormatting sqref="H110:N128">
    <cfRule type="expression" dxfId="35" priority="20">
      <formula>$H$102=1</formula>
    </cfRule>
  </conditionalFormatting>
  <conditionalFormatting sqref="B61:F80">
    <cfRule type="expression" dxfId="34" priority="28">
      <formula>OR(uso=2,uso=3)</formula>
    </cfRule>
  </conditionalFormatting>
  <conditionalFormatting sqref="G62:N64 G69:N69 G65:I68 N65:N68 G80:N80 G70:I79 N70:N79">
    <cfRule type="expression" dxfId="33" priority="12">
      <formula>IF($H$58=2,TRUE,FALSE)</formula>
    </cfRule>
    <cfRule type="expression" dxfId="32" priority="13" stopIfTrue="1">
      <formula>OR(uso=1,uso=4)</formula>
    </cfRule>
  </conditionalFormatting>
  <conditionalFormatting sqref="C105:I108">
    <cfRule type="expression" dxfId="31" priority="38">
      <formula>IF($H$102=1,TRUE,FALSE)</formula>
    </cfRule>
  </conditionalFormatting>
  <conditionalFormatting sqref="C101:N129">
    <cfRule type="expression" dxfId="30" priority="18">
      <formula>IF($H$91=2,TRUE,FALSE)</formula>
    </cfRule>
  </conditionalFormatting>
  <conditionalFormatting sqref="C69:M69 C65:I68 C80:M80 C70:I79 C58:M64 C54:J57 L55:M57 C52:M53">
    <cfRule type="expression" dxfId="29" priority="10">
      <formula>IF($H$40=2,TRUE,FALSE)</formula>
    </cfRule>
  </conditionalFormatting>
  <conditionalFormatting sqref="C57:I61">
    <cfRule type="expression" dxfId="28" priority="35">
      <formula>IF(OR(uso=1,uso=4),TRUE,FALSE)</formula>
    </cfRule>
  </conditionalFormatting>
  <conditionalFormatting sqref="G109:N129">
    <cfRule type="expression" dxfId="27" priority="19">
      <formula>IF($H$106=2,TRUE,FALSE)</formula>
    </cfRule>
  </conditionalFormatting>
  <conditionalFormatting sqref="D67:E67">
    <cfRule type="expression" dxfId="26" priority="40">
      <formula>IF(C67="Do not fill this line",TRUE,FALSE)</formula>
    </cfRule>
  </conditionalFormatting>
  <conditionalFormatting sqref="D68:E68">
    <cfRule type="expression" dxfId="25" priority="36">
      <formula>IF(C68="Do not fill this line",TRUE,FALSE)</formula>
    </cfRule>
  </conditionalFormatting>
  <conditionalFormatting sqref="D68:E68">
    <cfRule type="expression" dxfId="24" priority="32">
      <formula>IF(C68="Do not fill this line",TRUE,FALSE)</formula>
    </cfRule>
  </conditionalFormatting>
  <conditionalFormatting sqref="D70:E79">
    <cfRule type="expression" dxfId="23" priority="31">
      <formula>IF(C70="Do not fill this line",TRUE,FALSE)</formula>
    </cfRule>
  </conditionalFormatting>
  <conditionalFormatting sqref="D70:E79">
    <cfRule type="expression" dxfId="22" priority="30">
      <formula>IF(C70="Do not fill this line",TRUE,FALSE)</formula>
    </cfRule>
  </conditionalFormatting>
  <conditionalFormatting sqref="D113:E113">
    <cfRule type="expression" dxfId="21" priority="42">
      <formula>IF(C113="Do not fill this line",TRUE,FALSE)</formula>
    </cfRule>
  </conditionalFormatting>
  <conditionalFormatting sqref="D114:E116">
    <cfRule type="expression" dxfId="20" priority="37">
      <formula>IF(C114="Do not fill this line",TRUE,FALSE)</formula>
    </cfRule>
  </conditionalFormatting>
  <conditionalFormatting sqref="D118:E127">
    <cfRule type="expression" dxfId="19" priority="27">
      <formula>IF(C118="Do not fill this line",TRUE,FALSE)</formula>
    </cfRule>
  </conditionalFormatting>
  <conditionalFormatting sqref="J113:M116">
    <cfRule type="expression" dxfId="18" priority="41">
      <formula>IF($H113="Do not fill this line",TRUE,FALSE)</formula>
    </cfRule>
  </conditionalFormatting>
  <conditionalFormatting sqref="J114:M114">
    <cfRule type="expression" dxfId="17" priority="33">
      <formula>IF(H114="Do not fill this line",TRUE,FALSE)</formula>
    </cfRule>
  </conditionalFormatting>
  <conditionalFormatting sqref="J115:M115">
    <cfRule type="expression" dxfId="16" priority="26">
      <formula>IF(H115="Do not fill this line",TRUE,FALSE)</formula>
    </cfRule>
  </conditionalFormatting>
  <conditionalFormatting sqref="J116:M116">
    <cfRule type="expression" dxfId="15" priority="24">
      <formula>IF(H116="Do not fill this line",TRUE,FALSE)</formula>
    </cfRule>
  </conditionalFormatting>
  <conditionalFormatting sqref="J118:J127">
    <cfRule type="expression" dxfId="14" priority="23">
      <formula>IF(H118="Do not fill this line",TRUE,FALSE)</formula>
    </cfRule>
  </conditionalFormatting>
  <conditionalFormatting sqref="J118:M127">
    <cfRule type="expression" dxfId="13" priority="22">
      <formula>IF($H118="Do not fill this line",TRUE,FALSE)</formula>
    </cfRule>
  </conditionalFormatting>
  <conditionalFormatting sqref="J118:M127">
    <cfRule type="expression" dxfId="12" priority="21">
      <formula>IF(H118="Do not fill this line",TRUE,FALSE)</formula>
    </cfRule>
  </conditionalFormatting>
  <conditionalFormatting sqref="J65:M68">
    <cfRule type="expression" dxfId="11" priority="39">
      <formula>IF(H65="Do not fill this line",TRUE,FALSE)</formula>
    </cfRule>
  </conditionalFormatting>
  <conditionalFormatting sqref="J65:M68">
    <cfRule type="expression" dxfId="10" priority="34">
      <formula>IF($H65="Do not fill this line",TRUE,FALSE)</formula>
    </cfRule>
  </conditionalFormatting>
  <conditionalFormatting sqref="J65:M68">
    <cfRule type="expression" dxfId="9" priority="29">
      <formula>IF(H65="Do not fill this line",TRUE,FALSE)</formula>
    </cfRule>
  </conditionalFormatting>
  <conditionalFormatting sqref="J70:M79">
    <cfRule type="expression" dxfId="8" priority="17">
      <formula>IF(H70="Do not fill this line",TRUE,FALSE)</formula>
    </cfRule>
  </conditionalFormatting>
  <conditionalFormatting sqref="J70:M79">
    <cfRule type="expression" dxfId="7" priority="16">
      <formula>IF($H70="Do not fill this line",TRUE,FALSE)</formula>
    </cfRule>
  </conditionalFormatting>
  <conditionalFormatting sqref="J70:M79">
    <cfRule type="expression" dxfId="6" priority="15">
      <formula>IF(H70="Do not fill this line",TRUE,FALSE)</formula>
    </cfRule>
  </conditionalFormatting>
  <conditionalFormatting sqref="J65:M79">
    <cfRule type="expression" dxfId="5" priority="3">
      <formula>$H$58=2</formula>
    </cfRule>
    <cfRule type="expression" dxfId="4" priority="4">
      <formula>OR(uso=1,uso=4)</formula>
    </cfRule>
    <cfRule type="expression" dxfId="3" priority="5">
      <formula>$H$40=2</formula>
    </cfRule>
  </conditionalFormatting>
  <conditionalFormatting sqref="C81">
    <cfRule type="expression" dxfId="2" priority="2">
      <formula>OR(uso=2,uso=3)</formula>
    </cfRule>
  </conditionalFormatting>
  <conditionalFormatting sqref="C81">
    <cfRule type="expression" dxfId="1" priority="1">
      <formula>IF($H$40=2,TRUE,FALSE)</formula>
    </cfRule>
  </conditionalFormatting>
  <dataValidations count="7">
    <dataValidation type="list" allowBlank="1" showInputMessage="1" showErrorMessage="1" sqref="E102:G102" xr:uid="{0A46129E-B32B-40DA-9EBB-905DAFB7A3C8}">
      <formula1>"Median survival,Cumulative mortality rate,Overall survival"</formula1>
    </dataValidation>
    <dataValidation type="list" allowBlank="1" showInputMessage="1" showErrorMessage="1" sqref="E91:G91 E40:G40 J54" xr:uid="{AA7AFB32-ED8C-4F8B-9A30-013D835D2286}">
      <formula1>"Yes,No"</formula1>
    </dataValidation>
    <dataValidation type="list" allowBlank="1" showInputMessage="1" showErrorMessage="1" sqref="E54:G54" xr:uid="{CEF5F761-9A55-45D4-B951-E389D1E3CC7C}">
      <formula1>"Median usage time,Discontinuation rate,Progression-free survival,Median progression-free survival"</formula1>
    </dataValidation>
    <dataValidation type="list" allowBlank="1" showInputMessage="1" showErrorMessage="1" sqref="E58:G58 E106:G106" xr:uid="{D0323927-5CD0-9449-9BFC-63B79D78F4C7}">
      <formula1>"Annual data,Other data frequency"</formula1>
    </dataValidation>
    <dataValidation type="decimal" allowBlank="1" showInputMessage="1" showErrorMessage="1" error="Enter the number of months of treatment use per year (from 0 to 12)." sqref="D19:H28 D12:H15" xr:uid="{677DF6AE-A3DC-F342-8A09-9055854BED38}">
      <formula1>0</formula1>
      <formula2>12</formula2>
    </dataValidation>
    <dataValidation type="decimal" operator="greaterThan" allowBlank="1" showInputMessage="1" showErrorMessage="1" sqref="D65:E68 D70:E79 D113:E116 D118:E127" xr:uid="{BF30B2A5-ACDD-F146-AFF1-AF1308CA6A2D}">
      <formula1>0</formula1>
    </dataValidation>
    <dataValidation type="decimal" allowBlank="1" showInputMessage="1" showErrorMessage="1" sqref="J65:M68 J70:M79 J113:M116 J118:M127" xr:uid="{E96F6BE2-BDFE-A543-9085-6B2D57411D70}">
      <formula1>0</formula1>
      <formula2>1</formula2>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8"/>
  <sheetViews>
    <sheetView showGridLines="0" topLeftCell="A32" zoomScaleNormal="100" workbookViewId="0">
      <selection activeCell="I33" sqref="I33"/>
    </sheetView>
  </sheetViews>
  <sheetFormatPr defaultColWidth="8.77734375" defaultRowHeight="14.4"/>
  <cols>
    <col min="1" max="1" width="5.44140625" style="3" customWidth="1"/>
    <col min="2" max="2" width="24.6640625" style="3" customWidth="1"/>
    <col min="3" max="3" width="15.21875" style="3" customWidth="1"/>
    <col min="4" max="9" width="18.109375" style="3" customWidth="1"/>
    <col min="10" max="10" width="6.77734375" style="3" customWidth="1"/>
    <col min="11" max="11" width="21.44140625" style="3" customWidth="1"/>
    <col min="12" max="21" width="8.77734375" style="3" customWidth="1"/>
    <col min="22" max="22" width="17.33203125" style="3" customWidth="1"/>
    <col min="23" max="23" width="21.77734375" style="3" customWidth="1"/>
    <col min="24" max="24" width="17.6640625" style="3" customWidth="1"/>
    <col min="25" max="44" width="8.77734375" style="3" customWidth="1"/>
    <col min="45" max="16384" width="8.77734375" style="3"/>
  </cols>
  <sheetData>
    <row r="1" spans="1:24" s="130" customFormat="1" ht="33.6">
      <c r="A1" s="127"/>
      <c r="B1" s="128" t="str">
        <f>Introduction!$B$1</f>
        <v>Budget impact analysis of PET-CT for treatment of small-cell lung cancer</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4" spans="1:24" ht="15.6">
      <c r="A4" s="9"/>
      <c r="B4" s="9"/>
      <c r="C4" s="9"/>
      <c r="D4" s="9"/>
      <c r="E4" s="9"/>
      <c r="F4" s="9"/>
      <c r="G4" s="9"/>
      <c r="H4" s="9"/>
      <c r="I4" s="9"/>
      <c r="J4" s="9"/>
      <c r="K4" s="9"/>
      <c r="L4" s="9"/>
      <c r="M4" s="9"/>
      <c r="N4" s="9"/>
      <c r="O4" s="9"/>
      <c r="P4" s="9"/>
      <c r="Q4" s="9"/>
      <c r="R4" s="9"/>
      <c r="S4" s="9"/>
      <c r="T4" s="9"/>
      <c r="U4" s="274"/>
      <c r="V4" s="9"/>
      <c r="W4" s="9"/>
      <c r="X4" s="9"/>
    </row>
    <row r="5" spans="1:24" s="137" customFormat="1" ht="18">
      <c r="A5" s="136"/>
      <c r="B5" s="140" t="s">
        <v>183</v>
      </c>
      <c r="D5" s="138"/>
      <c r="F5" s="43"/>
    </row>
    <row r="6" spans="1:24" s="137" customFormat="1" ht="15" customHeight="1">
      <c r="A6" s="136"/>
      <c r="B6" s="136"/>
      <c r="D6" s="136"/>
      <c r="E6" s="136"/>
      <c r="F6" s="43"/>
    </row>
    <row r="7" spans="1:24" customFormat="1">
      <c r="D7" s="9"/>
    </row>
    <row r="8" spans="1:24" customFormat="1">
      <c r="D8" s="189">
        <f>ano_1</f>
        <v>2024</v>
      </c>
      <c r="E8" s="189">
        <f>ano_1+1</f>
        <v>2025</v>
      </c>
      <c r="F8" s="189">
        <f>ano_1+2</f>
        <v>2026</v>
      </c>
      <c r="G8" s="189">
        <f>ano_1+3</f>
        <v>2027</v>
      </c>
      <c r="H8" s="189">
        <f>ano_1+4</f>
        <v>2028</v>
      </c>
      <c r="J8" s="9"/>
      <c r="K8" s="189" t="s">
        <v>190</v>
      </c>
    </row>
    <row r="9" spans="1:24" ht="15.6">
      <c r="A9" s="9"/>
      <c r="B9" s="10"/>
      <c r="C9" s="275" t="s">
        <v>189</v>
      </c>
      <c r="D9" s="199">
        <f>IF(demanda="Enter data manually",Population!D27,IF(demanda="Epidemiological method",Population!E89,Population!D67))</f>
        <v>4950.1446658799996</v>
      </c>
      <c r="E9" s="199">
        <f>IF(demanda="Enter data manually",Population!E27,IF(demanda="Epidemiological method",Population!F89,Population!E67))</f>
        <v>4980.7215748199997</v>
      </c>
      <c r="F9" s="199">
        <f>IF(demanda="Enter data manually",Population!F27,IF(demanda="Epidemiological method",Population!G89,Population!F67))</f>
        <v>5009.9978922</v>
      </c>
      <c r="G9" s="199">
        <f>IF(demanda="Enter data manually",Population!G27,IF(demanda="Epidemiological method",Population!H89,Population!G67))</f>
        <v>5037.9386211600004</v>
      </c>
      <c r="H9" s="199">
        <f>IF(demanda="Enter data manually",Population!H27,IF(demanda="Epidemiological method",Population!I89,Population!H67))</f>
        <v>5064.5088330599992</v>
      </c>
      <c r="I9" s="9"/>
      <c r="J9" s="9"/>
      <c r="K9" s="199">
        <f>AVERAGE(D9:H9)</f>
        <v>5008.6623174239994</v>
      </c>
      <c r="L9" s="9"/>
      <c r="M9" s="9"/>
      <c r="N9" s="9"/>
      <c r="O9" s="9"/>
      <c r="P9" s="9"/>
      <c r="Q9" s="9"/>
      <c r="R9" s="9"/>
      <c r="S9" s="9"/>
      <c r="T9" s="9"/>
      <c r="U9" s="9"/>
      <c r="V9" s="9"/>
      <c r="W9" s="276"/>
      <c r="X9" s="9"/>
    </row>
    <row r="10" spans="1:24">
      <c r="A10" s="9"/>
      <c r="B10" s="9"/>
      <c r="C10" s="9"/>
      <c r="D10" s="43"/>
      <c r="E10" s="9"/>
      <c r="F10" s="9"/>
      <c r="G10" s="9"/>
      <c r="H10" s="9"/>
      <c r="I10" s="9"/>
      <c r="J10" s="9"/>
      <c r="K10" s="9"/>
      <c r="L10" s="9"/>
      <c r="M10" s="9"/>
      <c r="N10" s="9"/>
      <c r="O10" s="9"/>
      <c r="P10" s="9"/>
      <c r="Q10" s="9"/>
      <c r="R10" s="9"/>
      <c r="S10" s="9"/>
      <c r="T10" s="9"/>
      <c r="U10" s="9"/>
      <c r="V10" s="9"/>
      <c r="W10" s="9"/>
      <c r="X10" s="9"/>
    </row>
    <row r="11" spans="1:24">
      <c r="A11" s="9"/>
      <c r="B11" s="9"/>
      <c r="C11" s="9"/>
      <c r="D11" s="43"/>
      <c r="E11" s="9"/>
      <c r="F11" s="9"/>
      <c r="G11" s="9"/>
      <c r="H11" s="9"/>
      <c r="I11" s="9"/>
      <c r="J11" s="9"/>
      <c r="K11" s="9"/>
      <c r="L11" s="9"/>
      <c r="M11" s="9"/>
      <c r="N11" s="9"/>
      <c r="O11" s="9"/>
      <c r="P11" s="9"/>
      <c r="Q11" s="9"/>
      <c r="R11" s="9"/>
      <c r="S11" s="9"/>
      <c r="T11" s="9"/>
      <c r="U11" s="9"/>
      <c r="V11" s="9"/>
      <c r="W11" s="9"/>
      <c r="X11" s="9"/>
    </row>
    <row r="12" spans="1:24">
      <c r="A12" s="9"/>
      <c r="B12" s="417" t="s">
        <v>333</v>
      </c>
      <c r="C12" s="417"/>
      <c r="D12" s="7"/>
      <c r="E12"/>
      <c r="F12" s="7"/>
      <c r="G12" s="9"/>
      <c r="H12" s="9"/>
      <c r="I12" s="9"/>
      <c r="J12" s="9"/>
      <c r="K12" s="9"/>
      <c r="L12" s="9"/>
      <c r="M12" s="9"/>
      <c r="N12" s="9"/>
      <c r="O12" s="9"/>
      <c r="P12" s="9"/>
      <c r="Q12" s="9"/>
      <c r="R12" s="9"/>
      <c r="S12" s="9"/>
      <c r="T12" s="9"/>
      <c r="U12" s="9"/>
      <c r="V12" s="9"/>
      <c r="W12" s="9"/>
      <c r="X12" s="9"/>
    </row>
    <row r="13" spans="1:24">
      <c r="A13" s="9"/>
      <c r="B13" s="417"/>
      <c r="C13" s="417"/>
      <c r="D13" s="381" t="s">
        <v>299</v>
      </c>
      <c r="E13" s="290" t="s">
        <v>334</v>
      </c>
      <c r="G13" s="9"/>
      <c r="H13" s="9"/>
      <c r="I13" s="9"/>
      <c r="J13" s="9"/>
      <c r="K13" s="9"/>
      <c r="L13" s="9"/>
      <c r="M13" s="9"/>
      <c r="N13" s="9"/>
      <c r="O13" s="9"/>
      <c r="P13" s="9"/>
      <c r="Q13" s="9"/>
      <c r="R13" s="9"/>
      <c r="S13" s="9"/>
      <c r="T13" s="9"/>
      <c r="U13" s="9"/>
      <c r="V13" s="9"/>
      <c r="W13" s="9"/>
      <c r="X13" s="9"/>
    </row>
    <row r="14" spans="1:24">
      <c r="A14" s="9"/>
      <c r="B14" s="9"/>
      <c r="C14" s="9"/>
      <c r="D14" s="43"/>
      <c r="E14" s="9"/>
      <c r="F14" s="9"/>
      <c r="G14" s="9"/>
      <c r="H14" s="9"/>
      <c r="I14" s="9"/>
      <c r="J14" s="9"/>
      <c r="K14" s="9"/>
      <c r="L14" s="9"/>
      <c r="M14" s="9"/>
      <c r="N14" s="9"/>
      <c r="O14" s="9"/>
      <c r="P14" s="9"/>
      <c r="Q14" s="9"/>
      <c r="R14" s="9"/>
      <c r="S14" s="9"/>
      <c r="T14" s="9"/>
      <c r="U14" s="9"/>
      <c r="V14" s="9"/>
      <c r="W14" s="9"/>
      <c r="X14" s="9"/>
    </row>
    <row r="15" spans="1:24">
      <c r="A15" s="9"/>
      <c r="B15" s="269"/>
      <c r="C15" s="269"/>
      <c r="D15" s="270"/>
      <c r="E15" s="269"/>
      <c r="F15" s="269"/>
      <c r="G15" s="269"/>
      <c r="H15" s="269"/>
      <c r="I15" s="269"/>
      <c r="J15" s="269"/>
      <c r="K15" s="269"/>
      <c r="L15" s="269"/>
      <c r="M15" s="269"/>
      <c r="N15" s="269"/>
      <c r="O15" s="269"/>
      <c r="P15" s="269"/>
      <c r="Q15" s="269"/>
      <c r="R15" s="269"/>
      <c r="S15" s="269"/>
      <c r="T15" s="269"/>
      <c r="U15" s="269"/>
      <c r="V15" s="269"/>
      <c r="W15" s="269"/>
      <c r="X15" s="9"/>
    </row>
    <row r="16" spans="1:24">
      <c r="A16" s="9"/>
      <c r="B16" s="9"/>
      <c r="C16" s="9"/>
      <c r="D16" s="43"/>
      <c r="E16" s="9"/>
      <c r="F16" s="9"/>
      <c r="G16" s="9"/>
      <c r="H16" s="9"/>
      <c r="I16" s="9"/>
      <c r="J16" s="9"/>
      <c r="K16" s="9"/>
      <c r="L16" s="9"/>
      <c r="M16" s="9"/>
      <c r="N16" s="9"/>
      <c r="O16" s="9"/>
      <c r="P16" s="9"/>
      <c r="Q16" s="9"/>
      <c r="R16" s="9"/>
      <c r="S16" s="9"/>
      <c r="T16" s="9"/>
      <c r="U16" s="9"/>
      <c r="V16" s="9"/>
      <c r="W16" s="9"/>
      <c r="X16" s="9"/>
    </row>
    <row r="17" spans="1:24" ht="18">
      <c r="A17" s="9"/>
      <c r="B17" s="271" t="str">
        <f>'Mkt share'!B39</f>
        <v>Alternative scenario 1:</v>
      </c>
      <c r="C17" s="140" t="str">
        <f>cen_prop1</f>
        <v>With PET-CT 20-100%</v>
      </c>
      <c r="D17" s="140"/>
      <c r="E17" s="140"/>
      <c r="F17" s="140"/>
      <c r="G17" s="140"/>
      <c r="H17" s="140"/>
      <c r="I17" s="140"/>
      <c r="J17" s="9"/>
      <c r="K17" s="9"/>
      <c r="L17" s="9"/>
      <c r="M17" s="9"/>
      <c r="N17" s="9"/>
      <c r="O17" s="9"/>
      <c r="P17" s="9"/>
      <c r="Q17" s="9"/>
      <c r="R17" s="9"/>
      <c r="S17" s="9"/>
      <c r="T17" s="9"/>
      <c r="U17" s="9"/>
      <c r="V17" s="9"/>
      <c r="W17" s="9"/>
      <c r="X17" s="9"/>
    </row>
    <row r="18" spans="1:24" ht="15.6">
      <c r="A18" s="9"/>
      <c r="B18" s="275" t="s">
        <v>188</v>
      </c>
      <c r="C18" s="277">
        <f>SUM('Mkt share'!C42:C45)</f>
        <v>0.2</v>
      </c>
      <c r="D18" s="278" t="s">
        <v>186</v>
      </c>
      <c r="E18" s="277">
        <f>SUM('Mkt share'!G42:G45)</f>
        <v>1</v>
      </c>
      <c r="F18" s="9"/>
      <c r="G18" s="9"/>
      <c r="H18" s="9"/>
      <c r="I18" s="9"/>
      <c r="J18" s="9"/>
      <c r="K18" s="9"/>
      <c r="L18" s="9"/>
      <c r="M18" s="9"/>
      <c r="N18" s="9"/>
      <c r="O18" s="9"/>
      <c r="P18" s="9"/>
      <c r="Q18" s="9"/>
      <c r="R18" s="9"/>
      <c r="S18" s="9"/>
      <c r="T18" s="9"/>
      <c r="U18" s="9"/>
      <c r="V18" s="9"/>
      <c r="W18" s="9"/>
      <c r="X18" s="9"/>
    </row>
    <row r="19" spans="1:24" ht="14.55" customHeight="1">
      <c r="B19" s="9"/>
      <c r="C19" s="9"/>
      <c r="D19" s="9"/>
      <c r="E19" s="9"/>
      <c r="F19" s="9"/>
      <c r="G19" s="9"/>
      <c r="H19" s="9"/>
      <c r="I19" s="9"/>
      <c r="J19" s="9"/>
      <c r="K19" s="9"/>
      <c r="L19" s="9"/>
      <c r="M19" s="9"/>
      <c r="N19" s="9"/>
      <c r="O19" s="9"/>
      <c r="P19" s="9"/>
      <c r="Q19" s="9"/>
      <c r="R19" s="9"/>
      <c r="S19" s="9"/>
      <c r="T19" s="489"/>
      <c r="U19" s="489"/>
      <c r="V19" s="489"/>
      <c r="W19" s="489"/>
      <c r="X19" s="9"/>
    </row>
    <row r="20" spans="1:24">
      <c r="B20" s="9"/>
      <c r="C20" s="9"/>
      <c r="D20" s="9"/>
      <c r="E20" s="9"/>
      <c r="F20" s="9"/>
      <c r="G20" s="9"/>
      <c r="H20" s="9"/>
      <c r="I20" s="9"/>
      <c r="J20" s="9"/>
      <c r="K20" s="9"/>
      <c r="L20" s="9"/>
      <c r="M20" s="9"/>
      <c r="N20" s="9"/>
      <c r="O20" s="9"/>
      <c r="P20" s="9"/>
      <c r="Q20" s="9"/>
      <c r="R20" s="9"/>
      <c r="S20" s="9"/>
      <c r="T20" s="489"/>
      <c r="U20" s="489"/>
      <c r="V20" s="489"/>
      <c r="W20" s="489"/>
      <c r="X20" s="9"/>
    </row>
    <row r="21" spans="1:24">
      <c r="B21" s="491" t="s">
        <v>191</v>
      </c>
      <c r="C21" s="492"/>
      <c r="D21" s="189">
        <f>ano_1</f>
        <v>2024</v>
      </c>
      <c r="E21" s="189">
        <f>D21+1</f>
        <v>2025</v>
      </c>
      <c r="F21" s="189">
        <f t="shared" ref="F21:H21" si="0">E21+1</f>
        <v>2026</v>
      </c>
      <c r="G21" s="189">
        <f t="shared" si="0"/>
        <v>2027</v>
      </c>
      <c r="H21" s="189">
        <f t="shared" si="0"/>
        <v>2028</v>
      </c>
      <c r="I21" s="189" t="s">
        <v>313</v>
      </c>
      <c r="J21" s="9"/>
      <c r="K21" s="189" t="s">
        <v>190</v>
      </c>
      <c r="L21" s="9"/>
      <c r="M21" s="9"/>
      <c r="N21" s="9"/>
      <c r="O21" s="9"/>
      <c r="P21" s="9"/>
      <c r="Q21" s="9"/>
      <c r="R21" s="9"/>
      <c r="S21" s="9"/>
      <c r="T21" s="489"/>
      <c r="U21" s="489"/>
      <c r="V21" s="489"/>
      <c r="W21" s="489"/>
      <c r="X21" s="9"/>
    </row>
    <row r="22" spans="1:24">
      <c r="B22" s="9"/>
      <c r="C22" s="279" t="str">
        <f>'Mkt share'!B19</f>
        <v>Reference scenario:</v>
      </c>
      <c r="D22" s="318">
        <f ca="1">IF($E$18&gt;0,Calculations3!C25,0)</f>
        <v>5840477.6854851758</v>
      </c>
      <c r="E22" s="318">
        <f ca="1">IF($E$18&gt;0,Calculations3!D25,0)</f>
        <v>5876554.1572671244</v>
      </c>
      <c r="F22" s="318">
        <f ca="1">IF($E$18&gt;0,Calculations3!E25,0)</f>
        <v>5911096.1130910916</v>
      </c>
      <c r="G22" s="318">
        <f ca="1">IF($E$18&gt;0,Calculations3!F25,0)</f>
        <v>5944062.261561838</v>
      </c>
      <c r="H22" s="318">
        <f ca="1">IF($E$18&gt;0,Calculations3!G25,0)</f>
        <v>5975411.3917741701</v>
      </c>
      <c r="I22" s="319"/>
      <c r="J22" s="319"/>
      <c r="K22" s="318">
        <f ca="1">AVERAGE(D22:H22)</f>
        <v>5909520.3218358802</v>
      </c>
      <c r="L22" s="9"/>
      <c r="M22" s="9"/>
      <c r="N22" s="9"/>
      <c r="O22" s="9"/>
      <c r="P22" s="9"/>
      <c r="Q22" s="9"/>
      <c r="R22" s="9"/>
      <c r="S22" s="9"/>
      <c r="T22" s="9"/>
      <c r="U22" s="9"/>
      <c r="V22" s="9"/>
      <c r="W22" s="9"/>
      <c r="X22" s="9"/>
    </row>
    <row r="23" spans="1:24" ht="15" thickBot="1">
      <c r="B23" s="280"/>
      <c r="C23" s="281" t="str">
        <f>B17</f>
        <v>Alternative scenario 1:</v>
      </c>
      <c r="D23" s="320">
        <f ca="1">Calculations3!C44</f>
        <v>7853721.3216772359</v>
      </c>
      <c r="E23" s="320">
        <f ca="1">Calculations3!D44</f>
        <v>9927912.9319983106</v>
      </c>
      <c r="F23" s="320">
        <f ca="1">Calculations3!E44</f>
        <v>12023854.661339017</v>
      </c>
      <c r="G23" s="320">
        <f ca="1">Calculations3!F44</f>
        <v>14139861.417482864</v>
      </c>
      <c r="H23" s="320">
        <f ca="1">Calculations3!G44</f>
        <v>16274191.393978339</v>
      </c>
      <c r="I23" s="321"/>
      <c r="J23" s="319"/>
      <c r="K23" s="318">
        <f ca="1">AVERAGE(D23:H23)</f>
        <v>12043908.345295155</v>
      </c>
      <c r="L23" s="9"/>
      <c r="M23" s="9"/>
      <c r="N23" s="9"/>
      <c r="O23" s="9"/>
      <c r="P23" s="9"/>
      <c r="Q23" s="9"/>
      <c r="R23" s="9"/>
      <c r="S23" s="9"/>
      <c r="T23" s="9"/>
      <c r="U23" s="9"/>
      <c r="V23" s="9"/>
      <c r="W23" s="9"/>
      <c r="X23" s="9"/>
    </row>
    <row r="24" spans="1:24">
      <c r="B24" s="9"/>
      <c r="C24" s="282" t="s">
        <v>187</v>
      </c>
      <c r="D24" s="322">
        <f ca="1">D23-D22</f>
        <v>2013243.6361920601</v>
      </c>
      <c r="E24" s="322">
        <f ca="1">E23-E22</f>
        <v>4051358.7747311862</v>
      </c>
      <c r="F24" s="322">
        <f ca="1">F23-F22</f>
        <v>6112758.548247925</v>
      </c>
      <c r="G24" s="322">
        <f ca="1">G23-G22</f>
        <v>8195799.1559210261</v>
      </c>
      <c r="H24" s="322">
        <f ca="1">H23-H22</f>
        <v>10298780.002204169</v>
      </c>
      <c r="I24" s="322">
        <f ca="1">SUM(D24:H24)</f>
        <v>30671940.117296368</v>
      </c>
      <c r="J24" s="319"/>
      <c r="K24" s="318">
        <f ca="1">AVERAGE(D24:H24)</f>
        <v>6134388.0234592734</v>
      </c>
      <c r="L24" s="9"/>
      <c r="M24" s="9"/>
      <c r="N24" s="9"/>
      <c r="O24" s="9"/>
      <c r="P24" s="9"/>
      <c r="Q24" s="9"/>
      <c r="R24" s="9"/>
      <c r="S24" s="9"/>
      <c r="T24" s="9"/>
      <c r="U24" s="9"/>
      <c r="V24" s="9"/>
      <c r="W24" s="9"/>
      <c r="X24" s="9"/>
    </row>
    <row r="25" spans="1:24">
      <c r="B25" s="9"/>
      <c r="C25" s="361" t="s">
        <v>326</v>
      </c>
      <c r="D25" s="322">
        <f>PSA!Q7</f>
        <v>2025792.5553134542</v>
      </c>
      <c r="E25" s="322">
        <f>PSA!R7</f>
        <v>2050819.0863245965</v>
      </c>
      <c r="F25" s="322">
        <f>PSA!S7</f>
        <v>2074248.8587291264</v>
      </c>
      <c r="G25" s="322">
        <f>PSA!T7</f>
        <v>2096024.5841985212</v>
      </c>
      <c r="H25" s="322">
        <f>PSA!U7</f>
        <v>2116089.1139957239</v>
      </c>
      <c r="I25" s="322">
        <f>PSA!V7</f>
        <v>10362974.198561415</v>
      </c>
      <c r="J25" s="319"/>
      <c r="K25" s="390"/>
      <c r="L25" s="9"/>
      <c r="M25" s="9"/>
      <c r="N25" s="9"/>
      <c r="O25" s="9"/>
      <c r="P25" s="9"/>
      <c r="Q25" s="9"/>
      <c r="R25" s="9"/>
      <c r="S25" s="9"/>
      <c r="T25" s="9"/>
      <c r="U25" s="9"/>
      <c r="V25" s="9"/>
      <c r="W25" s="9"/>
      <c r="X25" s="9"/>
    </row>
    <row r="26" spans="1:24">
      <c r="C26" s="361" t="str">
        <f>PSA!P12</f>
        <v>95% CI (lower)</v>
      </c>
      <c r="D26" s="322">
        <f>PSA!Q12</f>
        <v>1103465.3331297887</v>
      </c>
      <c r="E26" s="322">
        <f>PSA!R12</f>
        <v>1117097.4838190661</v>
      </c>
      <c r="F26" s="322">
        <f>PSA!S12</f>
        <v>1129859.8673828728</v>
      </c>
      <c r="G26" s="322">
        <f>PSA!T12</f>
        <v>1141721.2784124231</v>
      </c>
      <c r="H26" s="322">
        <f>PSA!U12</f>
        <v>1152650.5875357694</v>
      </c>
      <c r="I26" s="322">
        <f>PSA!V12</f>
        <v>5644794.5502798175</v>
      </c>
    </row>
    <row r="27" spans="1:24">
      <c r="C27" s="361" t="str">
        <f>PSA!P13</f>
        <v>95% CI (upper)</v>
      </c>
      <c r="D27" s="322">
        <f>PSA!Q13</f>
        <v>2948119.7774971197</v>
      </c>
      <c r="E27" s="322">
        <f>PSA!R13</f>
        <v>2984540.688830127</v>
      </c>
      <c r="F27" s="322">
        <f>PSA!S13</f>
        <v>3018637.8500753799</v>
      </c>
      <c r="G27" s="322">
        <f>PSA!T13</f>
        <v>3050327.8899846193</v>
      </c>
      <c r="H27" s="322">
        <f>PSA!U13</f>
        <v>3079527.6404556781</v>
      </c>
      <c r="I27" s="322">
        <f>PSA!V13</f>
        <v>15081153.846843012</v>
      </c>
    </row>
    <row r="30" spans="1:24">
      <c r="B30" s="491" t="s">
        <v>192</v>
      </c>
      <c r="C30" s="492"/>
      <c r="D30" s="189">
        <f>ano_1</f>
        <v>2024</v>
      </c>
      <c r="E30" s="189">
        <f>D30+1</f>
        <v>2025</v>
      </c>
      <c r="F30" s="189">
        <f t="shared" ref="F30:H30" si="1">E30+1</f>
        <v>2026</v>
      </c>
      <c r="G30" s="189">
        <f t="shared" si="1"/>
        <v>2027</v>
      </c>
      <c r="H30" s="189">
        <f t="shared" si="1"/>
        <v>2028</v>
      </c>
      <c r="I30" s="189" t="s">
        <v>313</v>
      </c>
      <c r="J30" s="9"/>
      <c r="K30" s="189" t="s">
        <v>190</v>
      </c>
      <c r="L30" s="9"/>
      <c r="M30" s="9"/>
      <c r="N30" s="9"/>
      <c r="O30" s="9"/>
      <c r="P30" s="9"/>
      <c r="Q30" s="9"/>
      <c r="R30" s="9"/>
      <c r="S30" s="9"/>
      <c r="T30" s="9"/>
      <c r="U30" s="9"/>
      <c r="V30" s="9"/>
      <c r="W30" s="9"/>
      <c r="X30" s="9"/>
    </row>
    <row r="31" spans="1:24">
      <c r="B31" s="9"/>
      <c r="C31" s="279" t="str">
        <f>C22</f>
        <v>Reference scenario:</v>
      </c>
      <c r="D31" s="318">
        <f ca="1">IF($E$18&gt;0,Calculations3!K25,0)</f>
        <v>5840477.6854851758</v>
      </c>
      <c r="E31" s="318">
        <f ca="1">IF($E$18&gt;0,Calculations3!L25,0)</f>
        <v>5876554.1572671244</v>
      </c>
      <c r="F31" s="318">
        <f ca="1">IF($E$18&gt;0,Calculations3!M25,0)</f>
        <v>5911096.1130910916</v>
      </c>
      <c r="G31" s="318">
        <f ca="1">IF($E$18&gt;0,Calculations3!N25,0)</f>
        <v>5944062.261561838</v>
      </c>
      <c r="H31" s="318">
        <f ca="1">IF($E$18&gt;0,Calculations3!O25,0)</f>
        <v>5975411.3917741701</v>
      </c>
      <c r="I31" s="319"/>
      <c r="J31" s="319"/>
      <c r="K31" s="318">
        <f ca="1">AVERAGE(D31:H31)</f>
        <v>5909520.3218358802</v>
      </c>
      <c r="L31" s="9"/>
      <c r="M31" s="9"/>
      <c r="N31" s="9"/>
      <c r="O31" s="9"/>
      <c r="P31" s="9"/>
      <c r="Q31" s="9"/>
      <c r="R31" s="9"/>
      <c r="S31" s="9"/>
      <c r="T31" s="9"/>
      <c r="U31" s="9"/>
      <c r="V31" s="9"/>
      <c r="W31" s="9"/>
      <c r="X31" s="9"/>
    </row>
    <row r="32" spans="1:24" ht="15" thickBot="1">
      <c r="B32" s="280"/>
      <c r="C32" s="281" t="str">
        <f>C23</f>
        <v>Alternative scenario 1:</v>
      </c>
      <c r="D32" s="320">
        <f ca="1">Calculations3!K44</f>
        <v>7853721.3216772359</v>
      </c>
      <c r="E32" s="320">
        <f ca="1">Calculations3!L44</f>
        <v>9927912.9319983106</v>
      </c>
      <c r="F32" s="320">
        <f ca="1">Calculations3!M44</f>
        <v>12023854.661339017</v>
      </c>
      <c r="G32" s="320">
        <f ca="1">Calculations3!N44</f>
        <v>14139861.417482864</v>
      </c>
      <c r="H32" s="320">
        <f ca="1">Calculations3!O44</f>
        <v>16274191.393978339</v>
      </c>
      <c r="I32" s="321"/>
      <c r="J32" s="319"/>
      <c r="K32" s="318">
        <f ca="1">AVERAGE(D32:H32)</f>
        <v>12043908.345295155</v>
      </c>
      <c r="L32" s="9"/>
      <c r="M32" s="9"/>
      <c r="N32" s="9"/>
      <c r="O32" s="9"/>
      <c r="P32" s="9"/>
      <c r="Q32" s="9"/>
      <c r="R32" s="9"/>
      <c r="S32" s="9"/>
      <c r="T32" s="9"/>
      <c r="U32" s="9"/>
      <c r="V32" s="9"/>
      <c r="W32" s="9"/>
      <c r="X32" s="9"/>
    </row>
    <row r="33" spans="2:24">
      <c r="B33" s="9"/>
      <c r="C33" s="282" t="str">
        <f>C24</f>
        <v>Incremental budget impact</v>
      </c>
      <c r="D33" s="322">
        <f ca="1">D32-D31</f>
        <v>2013243.6361920601</v>
      </c>
      <c r="E33" s="322">
        <f t="shared" ref="E33:H33" ca="1" si="2">E32-E31</f>
        <v>4051358.7747311862</v>
      </c>
      <c r="F33" s="322">
        <f t="shared" ca="1" si="2"/>
        <v>6112758.548247925</v>
      </c>
      <c r="G33" s="322">
        <f t="shared" ca="1" si="2"/>
        <v>8195799.1559210261</v>
      </c>
      <c r="H33" s="322">
        <f t="shared" ca="1" si="2"/>
        <v>10298780.002204169</v>
      </c>
      <c r="I33" s="322">
        <f ca="1">SUM(D33:H33)</f>
        <v>30671940.117296368</v>
      </c>
      <c r="J33" s="319"/>
      <c r="K33" s="318">
        <f ca="1">AVERAGE(D33:H33)</f>
        <v>6134388.0234592734</v>
      </c>
      <c r="L33" s="9"/>
      <c r="M33" s="9"/>
      <c r="N33" s="9"/>
      <c r="O33" s="9"/>
      <c r="P33" s="9"/>
      <c r="Q33" s="9"/>
      <c r="R33" s="9"/>
      <c r="S33" s="9"/>
      <c r="T33" s="9"/>
      <c r="U33" s="9"/>
      <c r="V33" s="9"/>
      <c r="W33" s="9"/>
      <c r="X33" s="9"/>
    </row>
    <row r="34" spans="2:24">
      <c r="B34" s="9"/>
      <c r="C34" s="361" t="s">
        <v>326</v>
      </c>
      <c r="D34" s="322">
        <f>PSA!AT7</f>
        <v>2022228.0816165195</v>
      </c>
      <c r="E34" s="322">
        <f>PSA!AU7</f>
        <v>2047210.5773135424</v>
      </c>
      <c r="F34" s="322">
        <f>PSA!AV7</f>
        <v>2070599.1239729906</v>
      </c>
      <c r="G34" s="322">
        <f>PSA!AW7</f>
        <v>2092336.5340677644</v>
      </c>
      <c r="H34" s="322">
        <f>PSA!AX7</f>
        <v>2112365.7594165811</v>
      </c>
      <c r="I34" s="322">
        <f>PSA!AY7</f>
        <v>10344740.076387389</v>
      </c>
      <c r="J34" s="319"/>
      <c r="K34" s="390"/>
      <c r="L34" s="9"/>
      <c r="M34" s="9"/>
      <c r="N34" s="9"/>
      <c r="O34" s="9"/>
      <c r="P34" s="9"/>
      <c r="Q34" s="9"/>
      <c r="R34" s="9"/>
      <c r="S34" s="9"/>
      <c r="T34" s="9"/>
      <c r="U34" s="9"/>
      <c r="V34" s="9"/>
      <c r="W34" s="9"/>
      <c r="X34" s="9"/>
    </row>
    <row r="35" spans="2:24">
      <c r="C35" s="361" t="str">
        <f>PSA!AS12</f>
        <v>95% CI (lower)</v>
      </c>
      <c r="D35" s="322">
        <f>PSA!AT12</f>
        <v>1126719.1747734426</v>
      </c>
      <c r="E35" s="322">
        <f>PSA!AU12</f>
        <v>1140638.6021572207</v>
      </c>
      <c r="F35" s="322">
        <f>PSA!AV12</f>
        <v>1153669.9334055609</v>
      </c>
      <c r="G35" s="322">
        <f>PSA!AW12</f>
        <v>1165781.305503685</v>
      </c>
      <c r="H35" s="322">
        <f>PSA!AX12</f>
        <v>1176940.9330756159</v>
      </c>
      <c r="I35" s="322">
        <f>PSA!AY12</f>
        <v>5763749.94891534</v>
      </c>
    </row>
    <row r="36" spans="2:24">
      <c r="C36" s="361" t="str">
        <f>PSA!AS13</f>
        <v>95% CI (upper)</v>
      </c>
      <c r="D36" s="322">
        <f>PSA!AT13</f>
        <v>2917736.9884595964</v>
      </c>
      <c r="E36" s="322">
        <f>PSA!AU13</f>
        <v>2953782.552469864</v>
      </c>
      <c r="F36" s="322">
        <f>PSA!AV13</f>
        <v>2987528.3145404202</v>
      </c>
      <c r="G36" s="322">
        <f>PSA!AW13</f>
        <v>3018891.7626318438</v>
      </c>
      <c r="H36" s="322">
        <f>PSA!AX13</f>
        <v>3047790.5857575461</v>
      </c>
      <c r="I36" s="322">
        <f>PSA!AY13</f>
        <v>14925730.203859437</v>
      </c>
    </row>
    <row r="40" spans="2:24">
      <c r="B40" s="9"/>
      <c r="C40" s="9"/>
      <c r="D40" s="43"/>
      <c r="E40" s="9"/>
      <c r="F40" s="9"/>
      <c r="G40" s="9"/>
      <c r="H40" s="9"/>
      <c r="I40" s="9"/>
      <c r="J40" s="9"/>
      <c r="K40" s="9"/>
      <c r="L40" s="9"/>
      <c r="M40" s="9"/>
      <c r="N40" s="9"/>
      <c r="O40" s="9"/>
      <c r="P40" s="9"/>
      <c r="Q40" s="9"/>
      <c r="R40" s="9"/>
      <c r="S40" s="9"/>
      <c r="T40" s="9"/>
      <c r="U40" s="9"/>
      <c r="V40" s="9"/>
      <c r="W40" s="9"/>
      <c r="X40" s="9"/>
    </row>
    <row r="41" spans="2:24">
      <c r="B41" s="269"/>
      <c r="C41" s="269"/>
      <c r="D41" s="270"/>
      <c r="E41" s="269"/>
      <c r="F41" s="269"/>
      <c r="G41" s="269"/>
      <c r="H41" s="269"/>
      <c r="I41" s="269"/>
      <c r="J41" s="269"/>
      <c r="K41" s="269"/>
      <c r="L41" s="269"/>
      <c r="M41" s="269"/>
      <c r="N41" s="269"/>
      <c r="O41" s="269"/>
      <c r="P41" s="269"/>
      <c r="Q41" s="269"/>
      <c r="R41" s="269"/>
      <c r="S41" s="269"/>
      <c r="T41" s="269"/>
      <c r="U41" s="269"/>
      <c r="V41" s="269"/>
      <c r="W41" s="269"/>
      <c r="X41" s="9"/>
    </row>
    <row r="42" spans="2:24">
      <c r="B42" s="9"/>
      <c r="C42" s="9"/>
      <c r="D42" s="43"/>
      <c r="E42" s="9"/>
      <c r="F42" s="9"/>
      <c r="G42" s="9"/>
      <c r="H42" s="9"/>
      <c r="I42" s="9"/>
      <c r="J42" s="9"/>
      <c r="K42" s="9"/>
      <c r="L42" s="9"/>
      <c r="M42" s="9"/>
      <c r="N42" s="9"/>
      <c r="O42" s="9"/>
      <c r="P42" s="9"/>
      <c r="Q42" s="9"/>
      <c r="R42" s="9"/>
      <c r="S42" s="9"/>
      <c r="T42" s="9"/>
      <c r="U42" s="9"/>
      <c r="V42" s="9"/>
      <c r="W42" s="9"/>
      <c r="X42" s="9"/>
    </row>
    <row r="43" spans="2:24" ht="18">
      <c r="B43" s="271" t="str">
        <f>'Mkt share'!B59</f>
        <v>Alternative scenario 2:</v>
      </c>
      <c r="C43" s="140" t="str">
        <f>cen_prop2</f>
        <v>With PET-CT 10-50%</v>
      </c>
      <c r="D43" s="140"/>
      <c r="E43" s="140"/>
      <c r="F43" s="140"/>
      <c r="G43" s="140"/>
      <c r="H43" s="140"/>
      <c r="I43" s="140"/>
      <c r="J43" s="9"/>
      <c r="K43" s="9"/>
      <c r="L43" s="9"/>
      <c r="M43" s="9"/>
      <c r="N43" s="9"/>
      <c r="O43" s="9"/>
      <c r="P43" s="9"/>
      <c r="Q43" s="9"/>
      <c r="R43" s="9"/>
      <c r="S43" s="9"/>
      <c r="T43" s="9"/>
      <c r="U43" s="9"/>
      <c r="V43" s="9"/>
      <c r="W43" s="9"/>
      <c r="X43" s="9"/>
    </row>
    <row r="44" spans="2:24" ht="15.6">
      <c r="B44" s="275" t="s">
        <v>188</v>
      </c>
      <c r="C44" s="277">
        <f>SUM('Mkt share'!C62:C65)</f>
        <v>0.1</v>
      </c>
      <c r="D44" s="278" t="s">
        <v>186</v>
      </c>
      <c r="E44" s="277">
        <f>SUM('Mkt share'!G62:G65)</f>
        <v>0.5</v>
      </c>
      <c r="F44" s="9"/>
      <c r="G44" s="9"/>
      <c r="H44" s="9"/>
      <c r="I44" s="9"/>
      <c r="J44" s="9"/>
      <c r="K44" s="9"/>
      <c r="L44" s="9"/>
      <c r="M44" s="9"/>
      <c r="N44" s="9"/>
      <c r="O44" s="9"/>
      <c r="P44" s="9"/>
      <c r="Q44" s="9"/>
      <c r="R44" s="9"/>
      <c r="S44" s="9"/>
      <c r="T44" s="9"/>
      <c r="U44" s="9"/>
      <c r="V44" s="9"/>
      <c r="W44" s="9"/>
      <c r="X44" s="9"/>
    </row>
    <row r="45" spans="2:24" ht="14.55" customHeight="1">
      <c r="B45" s="9"/>
      <c r="C45" s="9"/>
      <c r="D45" s="9"/>
      <c r="E45" s="9"/>
      <c r="F45" s="9"/>
      <c r="G45" s="9"/>
      <c r="H45" s="9"/>
      <c r="I45" s="9"/>
      <c r="J45" s="9"/>
      <c r="K45" s="9"/>
      <c r="L45" s="9"/>
      <c r="M45" s="9"/>
      <c r="N45" s="9"/>
      <c r="O45" s="9"/>
      <c r="P45" s="9"/>
      <c r="Q45" s="9"/>
      <c r="R45" s="9"/>
      <c r="S45" s="9"/>
      <c r="T45" s="9"/>
      <c r="U45" s="9"/>
      <c r="V45" s="9"/>
      <c r="W45" s="9"/>
      <c r="X45" s="9"/>
    </row>
    <row r="47" spans="2:24">
      <c r="B47" s="491" t="s">
        <v>191</v>
      </c>
      <c r="C47" s="492"/>
      <c r="D47" s="189">
        <f>ano_1</f>
        <v>2024</v>
      </c>
      <c r="E47" s="189">
        <f>D47+1</f>
        <v>2025</v>
      </c>
      <c r="F47" s="189">
        <f t="shared" ref="F47:H47" si="3">E47+1</f>
        <v>2026</v>
      </c>
      <c r="G47" s="189">
        <f t="shared" si="3"/>
        <v>2027</v>
      </c>
      <c r="H47" s="189">
        <f t="shared" si="3"/>
        <v>2028</v>
      </c>
      <c r="I47" s="189" t="s">
        <v>313</v>
      </c>
      <c r="J47" s="9"/>
      <c r="K47" s="189" t="s">
        <v>190</v>
      </c>
      <c r="L47" s="9"/>
      <c r="M47" s="9"/>
      <c r="N47" s="9"/>
      <c r="O47" s="9"/>
      <c r="P47" s="9"/>
      <c r="Q47" s="9"/>
      <c r="R47" s="9"/>
      <c r="S47" s="9"/>
      <c r="T47" s="9"/>
      <c r="U47" s="9"/>
      <c r="V47" s="9"/>
      <c r="W47" s="9"/>
      <c r="X47" s="9"/>
    </row>
    <row r="48" spans="2:24">
      <c r="B48" s="9"/>
      <c r="C48" s="279" t="str">
        <f>'Mkt share'!B44</f>
        <v>Do not fill this line</v>
      </c>
      <c r="D48" s="318">
        <f ca="1">IF($E$44&gt;0,Calculations3!C25,0)</f>
        <v>5840477.6854851758</v>
      </c>
      <c r="E48" s="318">
        <f ca="1">IF($E$44&gt;0,Calculations3!D25,0)</f>
        <v>5876554.1572671244</v>
      </c>
      <c r="F48" s="318">
        <f ca="1">IF($E$44&gt;0,Calculations3!E25,0)</f>
        <v>5911096.1130910916</v>
      </c>
      <c r="G48" s="318">
        <f ca="1">IF($E$44&gt;0,Calculations3!F25,0)</f>
        <v>5944062.261561838</v>
      </c>
      <c r="H48" s="318">
        <f ca="1">IF($E$44&gt;0,Calculations3!G25,0)</f>
        <v>5975411.3917741701</v>
      </c>
      <c r="I48" s="319"/>
      <c r="J48" s="319"/>
      <c r="K48" s="318">
        <f ca="1">AVERAGE(D48:H48)</f>
        <v>5909520.3218358802</v>
      </c>
      <c r="L48" s="9"/>
      <c r="M48" s="9"/>
      <c r="N48" s="9"/>
      <c r="O48" s="9"/>
      <c r="P48" s="9"/>
      <c r="Q48" s="9"/>
      <c r="R48" s="9"/>
      <c r="S48" s="9"/>
      <c r="T48" s="9"/>
      <c r="U48" s="9"/>
      <c r="V48" s="9"/>
      <c r="W48" s="9"/>
      <c r="X48" s="9"/>
    </row>
    <row r="49" spans="2:24" ht="15" thickBot="1">
      <c r="B49" s="280"/>
      <c r="C49" s="281" t="str">
        <f>B43</f>
        <v>Alternative scenario 2:</v>
      </c>
      <c r="D49" s="320">
        <f ca="1">Calculations3!C63</f>
        <v>6847099.5035812054</v>
      </c>
      <c r="E49" s="320">
        <f ca="1">Calculations3!D63</f>
        <v>7902233.544632718</v>
      </c>
      <c r="F49" s="320">
        <f ca="1">Calculations3!E63</f>
        <v>8967475.3872150537</v>
      </c>
      <c r="G49" s="320">
        <f ca="1">Calculations3!F63</f>
        <v>10041961.839522351</v>
      </c>
      <c r="H49" s="320">
        <f ca="1">Calculations3!G63</f>
        <v>11124801.392876254</v>
      </c>
      <c r="I49" s="321"/>
      <c r="J49" s="319"/>
      <c r="K49" s="318">
        <f ca="1">AVERAGE(D49:H49)</f>
        <v>8976714.3335655145</v>
      </c>
      <c r="L49" s="9"/>
      <c r="M49" s="9"/>
      <c r="N49" s="9"/>
      <c r="O49" s="9"/>
      <c r="P49" s="9"/>
      <c r="Q49" s="9"/>
      <c r="R49" s="9"/>
      <c r="S49" s="9"/>
      <c r="T49" s="9"/>
      <c r="U49" s="9"/>
      <c r="V49" s="9"/>
      <c r="W49" s="9"/>
      <c r="X49" s="9"/>
    </row>
    <row r="50" spans="2:24">
      <c r="B50" s="9"/>
      <c r="C50" s="282" t="s">
        <v>187</v>
      </c>
      <c r="D50" s="322">
        <f ca="1">D49-D48</f>
        <v>1006621.8180960296</v>
      </c>
      <c r="E50" s="322">
        <f t="shared" ref="E50:H50" ca="1" si="4">E49-E48</f>
        <v>2025679.3873655936</v>
      </c>
      <c r="F50" s="322">
        <f t="shared" ca="1" si="4"/>
        <v>3056379.274123962</v>
      </c>
      <c r="G50" s="322">
        <f t="shared" ca="1" si="4"/>
        <v>4097899.5779605126</v>
      </c>
      <c r="H50" s="322">
        <f t="shared" ca="1" si="4"/>
        <v>5149390.0011020843</v>
      </c>
      <c r="I50" s="322">
        <f ca="1">SUM(D50:H50)</f>
        <v>15335970.058648182</v>
      </c>
      <c r="J50" s="319"/>
      <c r="K50" s="318">
        <f ca="1">AVERAGE(D50:H50)</f>
        <v>3067194.0117296362</v>
      </c>
      <c r="L50" s="9"/>
      <c r="M50" s="9"/>
      <c r="N50" s="9"/>
      <c r="O50" s="9"/>
      <c r="P50" s="9"/>
      <c r="Q50" s="9"/>
      <c r="R50" s="9"/>
      <c r="S50" s="9"/>
      <c r="T50" s="9"/>
      <c r="U50" s="9"/>
      <c r="V50" s="9"/>
      <c r="W50" s="9"/>
      <c r="X50" s="9"/>
    </row>
    <row r="56" spans="2:24">
      <c r="B56" s="491" t="s">
        <v>192</v>
      </c>
      <c r="C56" s="492"/>
      <c r="D56" s="189">
        <f>ano_1</f>
        <v>2024</v>
      </c>
      <c r="E56" s="189">
        <f>D56+1</f>
        <v>2025</v>
      </c>
      <c r="F56" s="189">
        <f t="shared" ref="F56:H56" si="5">E56+1</f>
        <v>2026</v>
      </c>
      <c r="G56" s="189">
        <f t="shared" si="5"/>
        <v>2027</v>
      </c>
      <c r="H56" s="189">
        <f t="shared" si="5"/>
        <v>2028</v>
      </c>
      <c r="I56" s="189" t="s">
        <v>313</v>
      </c>
      <c r="J56" s="9"/>
      <c r="K56" s="189" t="s">
        <v>190</v>
      </c>
      <c r="L56" s="9"/>
      <c r="M56" s="9"/>
      <c r="N56" s="9"/>
      <c r="O56" s="9"/>
      <c r="P56" s="9"/>
      <c r="Q56" s="9"/>
      <c r="R56" s="9"/>
      <c r="S56" s="9"/>
      <c r="T56" s="9"/>
      <c r="U56" s="9"/>
      <c r="V56" s="9"/>
      <c r="W56" s="9"/>
      <c r="X56" s="9"/>
    </row>
    <row r="57" spans="2:24">
      <c r="B57" s="9"/>
      <c r="C57" s="279" t="str">
        <f>C48</f>
        <v>Do not fill this line</v>
      </c>
      <c r="D57" s="318">
        <f ca="1">IF($E$44&gt;0,Calculations3!K25,0)</f>
        <v>5840477.6854851758</v>
      </c>
      <c r="E57" s="318">
        <f ca="1">IF($E$44&gt;0,Calculations3!L25,0)</f>
        <v>5876554.1572671244</v>
      </c>
      <c r="F57" s="318">
        <f ca="1">IF($E$44&gt;0,Calculations3!M25,0)</f>
        <v>5911096.1130910916</v>
      </c>
      <c r="G57" s="318">
        <f ca="1">IF($E$44&gt;0,Calculations3!N25,0)</f>
        <v>5944062.261561838</v>
      </c>
      <c r="H57" s="318">
        <f ca="1">IF($E$44&gt;0,Calculations3!O25,0)</f>
        <v>5975411.3917741701</v>
      </c>
      <c r="I57" s="319"/>
      <c r="J57" s="319"/>
      <c r="K57" s="318">
        <f ca="1">AVERAGE(D57:H57)</f>
        <v>5909520.3218358802</v>
      </c>
      <c r="L57" s="9"/>
      <c r="M57" s="9"/>
      <c r="N57" s="9"/>
      <c r="O57" s="9"/>
      <c r="P57" s="9"/>
      <c r="Q57" s="9"/>
      <c r="R57" s="9"/>
      <c r="S57" s="9"/>
      <c r="T57" s="9"/>
      <c r="U57" s="9"/>
      <c r="V57" s="9"/>
      <c r="W57" s="9"/>
      <c r="X57" s="9"/>
    </row>
    <row r="58" spans="2:24" ht="15" thickBot="1">
      <c r="B58" s="280"/>
      <c r="C58" s="281" t="str">
        <f>C49</f>
        <v>Alternative scenario 2:</v>
      </c>
      <c r="D58" s="320">
        <f ca="1">Calculations3!K63</f>
        <v>6847099.5035812054</v>
      </c>
      <c r="E58" s="320">
        <f ca="1">Calculations3!L63</f>
        <v>7902233.544632718</v>
      </c>
      <c r="F58" s="320">
        <f ca="1">Calculations3!M63</f>
        <v>8967475.3872150537</v>
      </c>
      <c r="G58" s="320">
        <f ca="1">Calculations3!N63</f>
        <v>10041961.839522351</v>
      </c>
      <c r="H58" s="320">
        <f ca="1">Calculations3!O63</f>
        <v>11124801.392876254</v>
      </c>
      <c r="I58" s="321"/>
      <c r="J58" s="319"/>
      <c r="K58" s="318">
        <f ca="1">AVERAGE(D58:H58)</f>
        <v>8976714.3335655145</v>
      </c>
      <c r="L58" s="9"/>
      <c r="M58" s="9"/>
      <c r="N58" s="9"/>
      <c r="O58" s="9"/>
      <c r="P58" s="9"/>
      <c r="Q58" s="9"/>
      <c r="R58" s="9"/>
      <c r="S58" s="9"/>
      <c r="T58" s="9"/>
      <c r="U58" s="9"/>
      <c r="V58" s="9"/>
      <c r="W58" s="9"/>
      <c r="X58" s="9"/>
    </row>
    <row r="59" spans="2:24">
      <c r="B59" s="9"/>
      <c r="C59" s="282" t="str">
        <f>C50</f>
        <v>Incremental budget impact</v>
      </c>
      <c r="D59" s="322">
        <f ca="1">D58-D57</f>
        <v>1006621.8180960296</v>
      </c>
      <c r="E59" s="322">
        <f t="shared" ref="E59:H59" ca="1" si="6">E58-E57</f>
        <v>2025679.3873655936</v>
      </c>
      <c r="F59" s="322">
        <f t="shared" ca="1" si="6"/>
        <v>3056379.274123962</v>
      </c>
      <c r="G59" s="322">
        <f t="shared" ca="1" si="6"/>
        <v>4097899.5779605126</v>
      </c>
      <c r="H59" s="322">
        <f t="shared" ca="1" si="6"/>
        <v>5149390.0011020843</v>
      </c>
      <c r="I59" s="322">
        <f ca="1">SUM(D59:H59)</f>
        <v>15335970.058648182</v>
      </c>
      <c r="J59" s="319"/>
      <c r="K59" s="318">
        <f ca="1">AVERAGE(D59:H59)</f>
        <v>3067194.0117296362</v>
      </c>
      <c r="L59" s="9"/>
      <c r="M59" s="9"/>
      <c r="N59" s="9"/>
      <c r="O59" s="9"/>
      <c r="P59" s="9"/>
      <c r="Q59" s="9"/>
      <c r="R59" s="9"/>
      <c r="S59" s="9"/>
      <c r="T59" s="9"/>
      <c r="U59" s="9"/>
      <c r="V59" s="9"/>
      <c r="W59" s="9"/>
      <c r="X59" s="9"/>
    </row>
    <row r="65" spans="2:24">
      <c r="B65" s="9"/>
      <c r="C65" s="9"/>
      <c r="D65" s="43"/>
      <c r="E65" s="9"/>
      <c r="F65" s="9"/>
      <c r="G65" s="9"/>
      <c r="H65" s="9"/>
      <c r="I65" s="9"/>
      <c r="J65" s="9"/>
      <c r="K65" s="9"/>
      <c r="L65" s="9"/>
      <c r="M65" s="9"/>
      <c r="N65" s="9"/>
      <c r="O65" s="9"/>
      <c r="P65" s="9"/>
      <c r="Q65" s="9"/>
      <c r="R65" s="9"/>
      <c r="S65" s="9"/>
      <c r="T65" s="9"/>
      <c r="U65" s="9"/>
      <c r="V65" s="9"/>
      <c r="W65" s="9"/>
      <c r="X65" s="9"/>
    </row>
    <row r="66" spans="2:24">
      <c r="B66" s="269"/>
      <c r="C66" s="269"/>
      <c r="D66" s="270"/>
      <c r="E66" s="269"/>
      <c r="F66" s="269"/>
      <c r="G66" s="269"/>
      <c r="H66" s="269"/>
      <c r="I66" s="269"/>
      <c r="J66" s="269"/>
      <c r="K66" s="269"/>
      <c r="L66" s="269"/>
      <c r="M66" s="269"/>
      <c r="N66" s="269"/>
      <c r="O66" s="269"/>
      <c r="P66" s="269"/>
      <c r="Q66" s="269"/>
      <c r="R66" s="269"/>
      <c r="S66" s="269"/>
      <c r="T66" s="269"/>
      <c r="U66" s="269"/>
      <c r="V66" s="269"/>
      <c r="W66" s="269"/>
      <c r="X66" s="9"/>
    </row>
    <row r="67" spans="2:24">
      <c r="B67" s="9"/>
      <c r="C67" s="9"/>
      <c r="D67" s="43"/>
      <c r="E67" s="9"/>
      <c r="F67" s="9"/>
      <c r="G67" s="9"/>
      <c r="H67" s="9"/>
      <c r="I67" s="9"/>
      <c r="J67" s="9"/>
      <c r="K67" s="9"/>
      <c r="L67" s="9"/>
      <c r="M67" s="9"/>
      <c r="N67" s="9"/>
      <c r="O67" s="9"/>
      <c r="P67" s="9"/>
      <c r="Q67" s="9"/>
      <c r="R67" s="9"/>
      <c r="S67" s="9"/>
      <c r="T67" s="9"/>
      <c r="U67" s="9"/>
      <c r="V67" s="9"/>
      <c r="W67" s="9"/>
      <c r="X67" s="9"/>
    </row>
    <row r="68" spans="2:24" ht="18">
      <c r="B68" s="271" t="str">
        <f>'Mkt share'!B79</f>
        <v>Alternative scenario 3:</v>
      </c>
      <c r="C68" s="140">
        <f>cen_prop3</f>
        <v>0</v>
      </c>
      <c r="D68" s="140"/>
      <c r="E68" s="140"/>
      <c r="F68" s="140"/>
      <c r="G68" s="140"/>
      <c r="H68" s="140"/>
      <c r="I68" s="140"/>
      <c r="J68" s="9"/>
      <c r="K68" s="9"/>
      <c r="L68" s="9"/>
      <c r="M68" s="9"/>
      <c r="N68" s="9"/>
      <c r="O68" s="9"/>
      <c r="P68" s="9"/>
      <c r="Q68" s="9"/>
      <c r="R68" s="9"/>
      <c r="S68" s="9"/>
      <c r="T68" s="9"/>
      <c r="U68" s="9"/>
      <c r="V68" s="9"/>
      <c r="W68" s="9"/>
      <c r="X68" s="9"/>
    </row>
    <row r="69" spans="2:24" ht="15.6">
      <c r="B69" s="275" t="s">
        <v>188</v>
      </c>
      <c r="C69" s="277">
        <f>SUM('Mkt share'!C82:C85)</f>
        <v>0</v>
      </c>
      <c r="D69" s="278" t="s">
        <v>186</v>
      </c>
      <c r="E69" s="277">
        <f>SUM('Mkt share'!G82:G85)</f>
        <v>0</v>
      </c>
      <c r="F69" s="9"/>
      <c r="G69" s="9"/>
      <c r="H69" s="9"/>
      <c r="I69" s="9"/>
      <c r="J69" s="9"/>
      <c r="K69" s="9"/>
      <c r="L69" s="9"/>
      <c r="M69" s="9"/>
      <c r="N69" s="9"/>
      <c r="O69" s="9"/>
      <c r="P69" s="9"/>
      <c r="Q69" s="9"/>
      <c r="R69" s="9"/>
      <c r="S69" s="9"/>
      <c r="T69" s="9"/>
      <c r="U69" s="9"/>
      <c r="V69" s="9"/>
      <c r="W69" s="9"/>
      <c r="X69" s="9"/>
    </row>
    <row r="70" spans="2:24" ht="14.55" customHeight="1">
      <c r="B70" s="9"/>
      <c r="C70" s="9"/>
      <c r="D70" s="9"/>
      <c r="E70" s="9"/>
      <c r="F70" s="9"/>
      <c r="G70" s="9"/>
      <c r="H70" s="9"/>
      <c r="I70" s="9"/>
      <c r="J70" s="9"/>
      <c r="K70" s="9"/>
      <c r="L70" s="9"/>
      <c r="M70" s="9"/>
      <c r="N70" s="9"/>
      <c r="O70" s="9"/>
      <c r="P70" s="9"/>
      <c r="Q70" s="9"/>
      <c r="R70" s="9"/>
      <c r="S70" s="9"/>
      <c r="T70" s="9"/>
      <c r="U70" s="9"/>
      <c r="V70" s="9"/>
      <c r="W70" s="9"/>
      <c r="X70" s="9"/>
    </row>
    <row r="72" spans="2:24">
      <c r="B72" s="491" t="s">
        <v>191</v>
      </c>
      <c r="C72" s="492"/>
      <c r="D72" s="189">
        <f>ano_1</f>
        <v>2024</v>
      </c>
      <c r="E72" s="189">
        <f>D72+1</f>
        <v>2025</v>
      </c>
      <c r="F72" s="189">
        <f t="shared" ref="F72:H72" si="7">E72+1</f>
        <v>2026</v>
      </c>
      <c r="G72" s="189">
        <f t="shared" si="7"/>
        <v>2027</v>
      </c>
      <c r="H72" s="189">
        <f t="shared" si="7"/>
        <v>2028</v>
      </c>
      <c r="I72" s="189" t="s">
        <v>313</v>
      </c>
      <c r="J72" s="9"/>
      <c r="K72" s="189" t="s">
        <v>190</v>
      </c>
      <c r="L72" s="9"/>
      <c r="M72" s="9"/>
      <c r="N72" s="9"/>
      <c r="O72" s="9"/>
      <c r="P72" s="9"/>
      <c r="Q72" s="9"/>
      <c r="R72" s="9"/>
      <c r="S72" s="9"/>
      <c r="T72" s="9"/>
      <c r="U72" s="9"/>
      <c r="V72" s="9"/>
      <c r="W72" s="9"/>
      <c r="X72" s="9"/>
    </row>
    <row r="73" spans="2:24">
      <c r="B73" s="9"/>
      <c r="C73" s="279" t="str">
        <f>'Mkt share'!B69</f>
        <v>Do not fill this line</v>
      </c>
      <c r="D73" s="318">
        <f>IF($E$69&gt;0,Calculations3!C25,0)</f>
        <v>0</v>
      </c>
      <c r="E73" s="318">
        <f>IF($E$69&gt;0,Calculations3!D25,0)</f>
        <v>0</v>
      </c>
      <c r="F73" s="318">
        <f>IF($E$69&gt;0,Calculations3!E25,0)</f>
        <v>0</v>
      </c>
      <c r="G73" s="318">
        <f>IF($E$69&gt;0,Calculations3!F25,0)</f>
        <v>0</v>
      </c>
      <c r="H73" s="318">
        <f>IF($E$69&gt;0,Calculations3!G25,0)</f>
        <v>0</v>
      </c>
      <c r="I73" s="319"/>
      <c r="J73" s="319"/>
      <c r="K73" s="318">
        <f>AVERAGE(D73:H73)</f>
        <v>0</v>
      </c>
      <c r="L73" s="9"/>
      <c r="M73" s="9"/>
      <c r="N73" s="9"/>
      <c r="O73" s="9"/>
      <c r="P73" s="9"/>
      <c r="Q73" s="9"/>
      <c r="R73" s="9"/>
      <c r="S73" s="9"/>
      <c r="T73" s="9"/>
      <c r="U73" s="9"/>
      <c r="V73" s="9"/>
      <c r="W73" s="9"/>
      <c r="X73" s="9"/>
    </row>
    <row r="74" spans="2:24" ht="15" thickBot="1">
      <c r="B74" s="280"/>
      <c r="C74" s="281" t="str">
        <f>B68</f>
        <v>Alternative scenario 3:</v>
      </c>
      <c r="D74" s="320">
        <f ca="1">Calculations3!C82</f>
        <v>0</v>
      </c>
      <c r="E74" s="320">
        <f ca="1">Calculations3!D82</f>
        <v>0</v>
      </c>
      <c r="F74" s="320">
        <f ca="1">Calculations3!E82</f>
        <v>0</v>
      </c>
      <c r="G74" s="320">
        <f ca="1">Calculations3!F82</f>
        <v>0</v>
      </c>
      <c r="H74" s="320">
        <f ca="1">Calculations3!G82</f>
        <v>0</v>
      </c>
      <c r="I74" s="321"/>
      <c r="J74" s="319"/>
      <c r="K74" s="318">
        <f ca="1">AVERAGE(D74:H74)</f>
        <v>0</v>
      </c>
      <c r="L74" s="9"/>
      <c r="M74" s="9"/>
      <c r="N74" s="9"/>
      <c r="O74" s="9"/>
      <c r="P74" s="9"/>
      <c r="Q74" s="9"/>
      <c r="R74" s="9"/>
      <c r="S74" s="9"/>
      <c r="T74" s="9"/>
      <c r="U74" s="9"/>
      <c r="V74" s="9"/>
      <c r="W74" s="9"/>
      <c r="X74" s="9"/>
    </row>
    <row r="75" spans="2:24">
      <c r="B75" s="9"/>
      <c r="C75" s="282" t="s">
        <v>187</v>
      </c>
      <c r="D75" s="322">
        <f ca="1">D74-D73</f>
        <v>0</v>
      </c>
      <c r="E75" s="322">
        <f t="shared" ref="E75:H75" ca="1" si="8">E74-E73</f>
        <v>0</v>
      </c>
      <c r="F75" s="322">
        <f t="shared" ca="1" si="8"/>
        <v>0</v>
      </c>
      <c r="G75" s="322">
        <f t="shared" ca="1" si="8"/>
        <v>0</v>
      </c>
      <c r="H75" s="322">
        <f t="shared" ca="1" si="8"/>
        <v>0</v>
      </c>
      <c r="I75" s="322">
        <f ca="1">SUM(D75:H75)</f>
        <v>0</v>
      </c>
      <c r="J75" s="319"/>
      <c r="K75" s="318">
        <f ca="1">AVERAGE(D75:H75)</f>
        <v>0</v>
      </c>
      <c r="L75" s="9"/>
      <c r="M75" s="9"/>
      <c r="N75" s="9"/>
      <c r="O75" s="9"/>
      <c r="P75" s="9"/>
      <c r="Q75" s="9"/>
      <c r="R75" s="9"/>
      <c r="S75" s="9"/>
      <c r="T75" s="9"/>
      <c r="U75" s="9"/>
      <c r="V75" s="9"/>
      <c r="W75" s="9"/>
      <c r="X75" s="9"/>
    </row>
    <row r="76" spans="2:24">
      <c r="D76" s="323"/>
      <c r="E76" s="323"/>
      <c r="F76" s="323"/>
      <c r="G76" s="323"/>
      <c r="H76" s="323"/>
      <c r="I76" s="323"/>
      <c r="J76" s="323"/>
      <c r="K76" s="323"/>
    </row>
    <row r="81" spans="2:24">
      <c r="B81" s="491" t="s">
        <v>192</v>
      </c>
      <c r="C81" s="492"/>
      <c r="D81" s="189">
        <f>ano_1</f>
        <v>2024</v>
      </c>
      <c r="E81" s="189">
        <f>D81+1</f>
        <v>2025</v>
      </c>
      <c r="F81" s="189">
        <f t="shared" ref="F81:H81" si="9">E81+1</f>
        <v>2026</v>
      </c>
      <c r="G81" s="189">
        <f t="shared" si="9"/>
        <v>2027</v>
      </c>
      <c r="H81" s="189">
        <f t="shared" si="9"/>
        <v>2028</v>
      </c>
      <c r="I81" s="189" t="s">
        <v>313</v>
      </c>
      <c r="J81" s="9"/>
      <c r="K81" s="189" t="s">
        <v>190</v>
      </c>
      <c r="L81" s="9"/>
      <c r="M81" s="9"/>
      <c r="N81" s="9"/>
      <c r="O81" s="9"/>
      <c r="P81" s="9"/>
      <c r="Q81" s="9"/>
      <c r="R81" s="9"/>
      <c r="S81" s="9"/>
      <c r="T81" s="9"/>
      <c r="U81" s="9"/>
      <c r="V81" s="9"/>
      <c r="W81" s="9"/>
      <c r="X81" s="9"/>
    </row>
    <row r="82" spans="2:24">
      <c r="B82" s="9"/>
      <c r="C82" s="279" t="str">
        <f>C73</f>
        <v>Do not fill this line</v>
      </c>
      <c r="D82" s="318">
        <f>IF($E$69&gt;0,Calculations3!K25,0)</f>
        <v>0</v>
      </c>
      <c r="E82" s="318">
        <f>IF($E$69&gt;0,Calculations3!L25,0)</f>
        <v>0</v>
      </c>
      <c r="F82" s="318">
        <f>IF($E$69&gt;0,Calculations3!M25,0)</f>
        <v>0</v>
      </c>
      <c r="G82" s="318">
        <f>IF($E$69&gt;0,Calculations3!N25,0)</f>
        <v>0</v>
      </c>
      <c r="H82" s="318">
        <f>IF($E$69&gt;0,Calculations3!O25,0)</f>
        <v>0</v>
      </c>
      <c r="I82" s="319"/>
      <c r="J82" s="319"/>
      <c r="K82" s="318">
        <f>AVERAGE(D82:H82)</f>
        <v>0</v>
      </c>
      <c r="L82" s="9"/>
      <c r="M82" s="9"/>
      <c r="N82" s="9"/>
      <c r="O82" s="9"/>
      <c r="P82" s="9"/>
      <c r="Q82" s="9"/>
      <c r="R82" s="9"/>
      <c r="S82" s="9"/>
      <c r="T82" s="9"/>
      <c r="U82" s="9"/>
      <c r="V82" s="9"/>
      <c r="W82" s="9"/>
      <c r="X82" s="9"/>
    </row>
    <row r="83" spans="2:24" ht="15" thickBot="1">
      <c r="B83" s="280"/>
      <c r="C83" s="281" t="str">
        <f>C74</f>
        <v>Alternative scenario 3:</v>
      </c>
      <c r="D83" s="320">
        <f ca="1">Calculations3!K82</f>
        <v>0</v>
      </c>
      <c r="E83" s="320">
        <f ca="1">Calculations3!L82</f>
        <v>0</v>
      </c>
      <c r="F83" s="320">
        <f ca="1">Calculations3!M82</f>
        <v>0</v>
      </c>
      <c r="G83" s="320">
        <f ca="1">Calculations3!N82</f>
        <v>0</v>
      </c>
      <c r="H83" s="320">
        <f ca="1">Calculations3!O82</f>
        <v>0</v>
      </c>
      <c r="I83" s="321"/>
      <c r="J83" s="319"/>
      <c r="K83" s="318">
        <f ca="1">AVERAGE(D83:H83)</f>
        <v>0</v>
      </c>
      <c r="L83" s="9"/>
      <c r="M83" s="9"/>
      <c r="N83" s="9"/>
      <c r="O83" s="9"/>
      <c r="P83" s="9"/>
      <c r="Q83" s="9"/>
      <c r="R83" s="9"/>
      <c r="S83" s="9"/>
      <c r="T83" s="9"/>
      <c r="U83" s="9"/>
      <c r="V83" s="9"/>
      <c r="W83" s="9"/>
      <c r="X83" s="9"/>
    </row>
    <row r="84" spans="2:24">
      <c r="B84" s="9"/>
      <c r="C84" s="282" t="str">
        <f>C75</f>
        <v>Incremental budget impact</v>
      </c>
      <c r="D84" s="322">
        <f ca="1">D83-D82</f>
        <v>0</v>
      </c>
      <c r="E84" s="322">
        <f t="shared" ref="E84:H84" ca="1" si="10">E83-E82</f>
        <v>0</v>
      </c>
      <c r="F84" s="322">
        <f t="shared" ca="1" si="10"/>
        <v>0</v>
      </c>
      <c r="G84" s="322">
        <f t="shared" ca="1" si="10"/>
        <v>0</v>
      </c>
      <c r="H84" s="322">
        <f t="shared" ca="1" si="10"/>
        <v>0</v>
      </c>
      <c r="I84" s="322">
        <f ca="1">SUM(D84:H84)</f>
        <v>0</v>
      </c>
      <c r="J84" s="319"/>
      <c r="K84" s="318">
        <f ca="1">AVERAGE(D84:H84)</f>
        <v>0</v>
      </c>
      <c r="L84" s="9"/>
      <c r="M84" s="9"/>
      <c r="N84" s="9"/>
      <c r="O84" s="9"/>
      <c r="P84" s="9"/>
      <c r="Q84" s="9"/>
      <c r="R84" s="9"/>
      <c r="S84" s="9"/>
      <c r="T84" s="9"/>
      <c r="U84" s="9"/>
      <c r="V84" s="9"/>
      <c r="W84" s="9"/>
      <c r="X84" s="9"/>
    </row>
    <row r="92" spans="2:24" ht="64.95" customHeight="1">
      <c r="B92" s="490"/>
      <c r="C92" s="490"/>
      <c r="D92" s="490"/>
      <c r="E92" s="490"/>
      <c r="F92" s="490"/>
      <c r="G92" s="490"/>
      <c r="H92" s="490"/>
      <c r="I92" s="490"/>
      <c r="J92" s="9"/>
      <c r="K92" s="9"/>
      <c r="L92" s="9"/>
      <c r="M92" s="9"/>
      <c r="N92" s="9"/>
      <c r="O92" s="9"/>
      <c r="P92" s="9"/>
      <c r="Q92" s="9"/>
      <c r="R92" s="9"/>
      <c r="S92" s="9"/>
      <c r="T92" s="9"/>
      <c r="U92" s="9"/>
      <c r="V92" s="9"/>
      <c r="W92" s="9"/>
      <c r="X92" s="9"/>
    </row>
    <row r="94" spans="2:24" ht="13.95" customHeight="1">
      <c r="B94" s="7"/>
      <c r="C94" s="7"/>
      <c r="D94" s="7"/>
      <c r="E94" s="7"/>
      <c r="F94" s="7"/>
      <c r="G94" s="7"/>
      <c r="H94" s="7"/>
      <c r="I94" s="7"/>
      <c r="J94" s="7"/>
      <c r="K94" s="7"/>
      <c r="L94" s="142"/>
      <c r="M94" s="142"/>
      <c r="N94" s="9"/>
      <c r="O94" s="9"/>
      <c r="P94" s="9"/>
      <c r="Q94" s="9"/>
      <c r="R94" s="9"/>
      <c r="S94" s="9"/>
      <c r="T94" s="9"/>
      <c r="U94" s="9"/>
      <c r="V94" s="9"/>
      <c r="W94" s="9"/>
      <c r="X94" s="9"/>
    </row>
    <row r="95" spans="2:24">
      <c r="B95" s="65"/>
      <c r="C95" s="65"/>
      <c r="D95" s="65"/>
      <c r="E95" s="65"/>
      <c r="F95" s="65"/>
      <c r="G95" s="65"/>
      <c r="H95" s="65"/>
      <c r="I95" s="65"/>
      <c r="J95" s="65"/>
      <c r="K95" s="65"/>
      <c r="L95" s="65"/>
      <c r="M95" s="65"/>
    </row>
    <row r="96" spans="2:24">
      <c r="B96" s="406" t="s">
        <v>77</v>
      </c>
      <c r="C96" s="406"/>
      <c r="D96" s="406"/>
      <c r="E96" s="406"/>
      <c r="F96" s="406"/>
      <c r="G96" s="406"/>
      <c r="H96" s="406"/>
      <c r="I96" s="406"/>
      <c r="J96" s="406"/>
      <c r="K96" s="406"/>
      <c r="L96" s="406"/>
      <c r="M96" s="406"/>
    </row>
    <row r="97" spans="2:13">
      <c r="B97" s="406"/>
      <c r="C97" s="406"/>
      <c r="D97" s="406"/>
      <c r="E97" s="406"/>
      <c r="F97" s="406"/>
      <c r="G97" s="406"/>
      <c r="H97" s="406"/>
      <c r="I97" s="406"/>
      <c r="J97" s="406"/>
      <c r="K97" s="406"/>
      <c r="L97" s="406"/>
      <c r="M97" s="406"/>
    </row>
    <row r="98" spans="2:13" s="1" customFormat="1" ht="85.95" customHeight="1">
      <c r="B98" s="405" t="e" vm="1">
        <v>#VALUE!</v>
      </c>
      <c r="C98" s="405"/>
      <c r="D98" s="405"/>
      <c r="E98" s="405"/>
      <c r="F98" s="405"/>
      <c r="G98" s="405"/>
      <c r="H98" s="405"/>
      <c r="I98" s="405"/>
      <c r="J98" s="405"/>
      <c r="K98" s="405"/>
      <c r="L98" s="405"/>
      <c r="M98" s="405"/>
    </row>
  </sheetData>
  <sheetProtection formatColumns="0" formatRows="0" autoFilter="0" pivotTables="0"/>
  <mergeCells count="11">
    <mergeCell ref="B12:C13"/>
    <mergeCell ref="B96:M97"/>
    <mergeCell ref="B98:M98"/>
    <mergeCell ref="T19:W21"/>
    <mergeCell ref="B92:I92"/>
    <mergeCell ref="B21:C21"/>
    <mergeCell ref="B30:C30"/>
    <mergeCell ref="B47:C47"/>
    <mergeCell ref="B56:C56"/>
    <mergeCell ref="B72:C72"/>
    <mergeCell ref="B81:C81"/>
  </mergeCells>
  <conditionalFormatting sqref="D13">
    <cfRule type="expression" dxfId="0" priority="1">
      <formula>IF($H$45=2,TRUE,FALSE)</formula>
    </cfRule>
  </conditionalFormatting>
  <dataValidations count="1">
    <dataValidation type="list" allowBlank="1" showInputMessage="1" showErrorMessage="1" sqref="D13" xr:uid="{B564552F-24C9-0649-8D40-7D35E97FF8B9}">
      <formula1>"Yes,No"</formula1>
    </dataValidation>
  </dataValidation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77"/>
  <sheetViews>
    <sheetView showGridLines="0" showRowColHeaders="0" tabSelected="1" zoomScaleNormal="100" workbookViewId="0">
      <selection activeCell="J11" sqref="J11"/>
    </sheetView>
  </sheetViews>
  <sheetFormatPr defaultColWidth="8.77734375" defaultRowHeight="14.4"/>
  <cols>
    <col min="1" max="1" width="8.33203125" style="1" customWidth="1"/>
    <col min="2" max="2" width="31.6640625" style="1" customWidth="1"/>
    <col min="3" max="3" width="20.6640625" style="1" customWidth="1"/>
    <col min="4" max="7" width="18.109375" style="1" customWidth="1"/>
    <col min="8" max="8" width="25.6640625" style="1" customWidth="1"/>
    <col min="9" max="9" width="21.44140625" style="1" customWidth="1"/>
    <col min="10" max="21" width="8.77734375" style="1" customWidth="1"/>
    <col min="22" max="22" width="17.33203125" style="1" customWidth="1"/>
    <col min="23" max="23" width="21.77734375" style="1" customWidth="1"/>
    <col min="24" max="24" width="17.6640625" style="1" customWidth="1"/>
    <col min="25" max="44" width="8.77734375" style="1" customWidth="1"/>
    <col min="45" max="16384" width="8.77734375" style="1"/>
  </cols>
  <sheetData>
    <row r="1" spans="1:26" s="33" customFormat="1" ht="33.6">
      <c r="A1" s="36"/>
      <c r="B1" s="34" t="str">
        <f>Introduction!$B$1</f>
        <v>Budget impact analysis of PET-CT for treatment of small-cell lung cancer</v>
      </c>
      <c r="C1" s="34"/>
      <c r="D1" s="35"/>
      <c r="E1" s="36"/>
      <c r="F1" s="36"/>
      <c r="G1" s="36"/>
      <c r="H1" s="36"/>
      <c r="I1" s="36"/>
      <c r="J1" s="36"/>
      <c r="K1" s="36"/>
      <c r="L1" s="36"/>
      <c r="M1" s="36"/>
      <c r="N1" s="36"/>
      <c r="O1" s="36"/>
      <c r="P1" s="36"/>
      <c r="Q1" s="36"/>
      <c r="R1" s="36"/>
      <c r="S1" s="36"/>
      <c r="T1" s="36"/>
      <c r="U1" s="36"/>
      <c r="V1" s="36"/>
      <c r="W1" s="36"/>
      <c r="X1" s="36"/>
      <c r="Y1" s="36"/>
      <c r="Z1" s="36"/>
    </row>
    <row r="2" spans="1:26" s="33" customFormat="1" ht="18">
      <c r="A2" s="36"/>
      <c r="B2" s="37"/>
      <c r="C2" s="37"/>
      <c r="D2" s="38"/>
      <c r="E2" s="39"/>
      <c r="F2" s="39"/>
      <c r="G2" s="39"/>
      <c r="H2" s="39"/>
      <c r="I2" s="39"/>
      <c r="J2" s="39"/>
      <c r="K2" s="39"/>
      <c r="L2" s="39"/>
      <c r="M2" s="36"/>
      <c r="N2" s="36"/>
      <c r="O2" s="36"/>
      <c r="P2" s="36"/>
      <c r="Q2" s="36"/>
      <c r="R2" s="36"/>
      <c r="S2" s="36"/>
      <c r="T2" s="36"/>
      <c r="U2" s="36"/>
      <c r="V2" s="36"/>
      <c r="W2" s="36"/>
      <c r="X2" s="36"/>
      <c r="Y2" s="36"/>
      <c r="Z2" s="36"/>
    </row>
    <row r="3" spans="1:26" s="45" customFormat="1" ht="2.25" customHeight="1">
      <c r="D3" s="46"/>
    </row>
    <row r="4" spans="1:26">
      <c r="A4" s="8"/>
      <c r="B4" s="8"/>
      <c r="C4" s="8"/>
      <c r="D4" s="8"/>
      <c r="E4" s="8"/>
      <c r="F4" s="8"/>
      <c r="G4" s="8"/>
      <c r="H4" s="8"/>
      <c r="I4" s="8"/>
      <c r="J4" s="8"/>
      <c r="K4" s="8"/>
      <c r="L4" s="8"/>
      <c r="M4" s="8"/>
      <c r="N4" s="8"/>
      <c r="O4" s="8"/>
      <c r="P4" s="8"/>
      <c r="Q4" s="8"/>
      <c r="R4" s="8"/>
      <c r="S4" s="8"/>
      <c r="T4" s="8"/>
      <c r="U4" s="8"/>
      <c r="V4" s="8"/>
      <c r="W4" s="8"/>
      <c r="X4" s="8"/>
      <c r="Y4" s="8"/>
      <c r="Z4" s="8"/>
    </row>
    <row r="5" spans="1:26" s="40" customFormat="1" ht="18">
      <c r="A5" s="31"/>
      <c r="B5" s="47" t="s">
        <v>312</v>
      </c>
      <c r="D5" s="41"/>
      <c r="F5" s="272"/>
    </row>
    <row r="6" spans="1:26" s="40" customFormat="1" ht="15" customHeight="1">
      <c r="A6" s="31"/>
      <c r="B6" s="31"/>
      <c r="D6" s="31"/>
      <c r="E6" s="31"/>
      <c r="F6" s="272"/>
    </row>
    <row r="7" spans="1:26">
      <c r="A7" s="8"/>
      <c r="B7" s="58"/>
      <c r="C7" s="58"/>
      <c r="D7" s="273"/>
      <c r="E7" s="58"/>
      <c r="F7" s="58"/>
      <c r="G7" s="58"/>
      <c r="H7" s="58"/>
      <c r="I7" s="58"/>
      <c r="J7" s="8"/>
      <c r="K7" s="8"/>
      <c r="L7" s="8"/>
      <c r="M7" s="8"/>
      <c r="N7" s="8"/>
      <c r="O7" s="8"/>
      <c r="P7" s="8"/>
      <c r="Q7" s="8"/>
      <c r="R7" s="8"/>
      <c r="S7" s="8"/>
      <c r="T7" s="8"/>
      <c r="U7" s="8"/>
      <c r="V7" s="8"/>
      <c r="W7" s="8"/>
      <c r="X7" s="8"/>
      <c r="Y7" s="8"/>
      <c r="Z7" s="8"/>
    </row>
    <row r="8" spans="1:26" ht="18">
      <c r="A8" s="8"/>
      <c r="B8" s="57" t="str">
        <f>'Mkt share'!B39</f>
        <v>Alternative scenario 1:</v>
      </c>
      <c r="C8" s="47" t="str">
        <f>cen_prop1</f>
        <v>With PET-CT 20-100%</v>
      </c>
      <c r="D8" s="47"/>
      <c r="E8" s="47"/>
      <c r="F8" s="47"/>
      <c r="G8" s="47"/>
      <c r="H8" s="47"/>
      <c r="I8" s="47"/>
      <c r="J8" s="8"/>
      <c r="K8" s="8"/>
      <c r="L8" s="8"/>
      <c r="M8" s="8"/>
      <c r="N8" s="8"/>
      <c r="O8" s="8"/>
      <c r="P8" s="8"/>
      <c r="Q8" s="8"/>
      <c r="R8" s="8"/>
      <c r="S8" s="8"/>
      <c r="T8" s="8"/>
      <c r="U8" s="8"/>
      <c r="V8" s="8"/>
      <c r="W8" s="8"/>
      <c r="X8" s="8"/>
      <c r="Y8" s="8"/>
      <c r="Z8" s="8"/>
    </row>
    <row r="9" spans="1:26">
      <c r="A9" s="8"/>
      <c r="B9" s="8"/>
      <c r="C9" s="8"/>
      <c r="D9" s="8"/>
      <c r="E9" s="8"/>
      <c r="F9" s="8"/>
      <c r="G9" s="8"/>
      <c r="H9" s="8"/>
      <c r="I9" s="8"/>
      <c r="J9" s="8"/>
      <c r="K9" s="8"/>
      <c r="L9" s="8"/>
      <c r="M9" s="8"/>
      <c r="N9" s="8"/>
      <c r="O9" s="8"/>
      <c r="P9" s="8"/>
      <c r="Q9" s="8"/>
      <c r="R9" s="8"/>
      <c r="S9" s="8"/>
      <c r="T9" s="8"/>
      <c r="U9" s="8"/>
      <c r="V9" s="8"/>
      <c r="W9" s="8"/>
      <c r="X9" s="8"/>
      <c r="Y9" s="8"/>
      <c r="Z9" s="8"/>
    </row>
    <row r="10" spans="1:26" ht="14.55" customHeight="1">
      <c r="A10" s="8"/>
      <c r="B10" s="8"/>
      <c r="C10" s="8"/>
      <c r="D10" s="8"/>
      <c r="E10" s="8"/>
      <c r="F10" s="8"/>
      <c r="G10" s="8"/>
      <c r="H10" s="8"/>
      <c r="I10" s="8"/>
      <c r="J10" s="8"/>
      <c r="K10" s="8"/>
      <c r="L10" s="8"/>
      <c r="M10" s="8"/>
      <c r="N10" s="8"/>
      <c r="O10" s="8"/>
      <c r="P10" s="8"/>
      <c r="Q10" s="8"/>
      <c r="R10" s="8"/>
      <c r="S10" s="8"/>
      <c r="T10" s="493"/>
      <c r="U10" s="493"/>
      <c r="V10" s="493"/>
      <c r="W10" s="493"/>
      <c r="X10" s="8"/>
      <c r="Y10" s="8"/>
      <c r="Z10" s="8"/>
    </row>
    <row r="11" spans="1:26">
      <c r="A11" s="8"/>
      <c r="B11" s="8"/>
      <c r="C11" s="8"/>
      <c r="D11" s="8"/>
      <c r="E11" s="8"/>
      <c r="F11" s="8"/>
      <c r="G11" s="8"/>
      <c r="H11" s="8"/>
      <c r="I11" s="8"/>
      <c r="J11" s="8"/>
      <c r="K11" s="8"/>
      <c r="L11" s="8"/>
      <c r="M11" s="8"/>
      <c r="N11" s="8"/>
      <c r="O11" s="8"/>
      <c r="P11" s="8"/>
      <c r="Q11" s="8"/>
      <c r="R11" s="8"/>
      <c r="S11" s="8"/>
      <c r="T11" s="493"/>
      <c r="U11" s="493"/>
      <c r="V11" s="493"/>
      <c r="W11" s="493"/>
      <c r="X11" s="8"/>
      <c r="Y11" s="8"/>
      <c r="Z11" s="8"/>
    </row>
    <row r="12" spans="1:26">
      <c r="A12" s="8"/>
      <c r="B12" s="8"/>
      <c r="C12" s="8"/>
      <c r="D12" s="8"/>
      <c r="E12" s="8"/>
      <c r="F12" s="8"/>
      <c r="G12" s="8"/>
      <c r="H12" s="8"/>
      <c r="I12" s="8"/>
      <c r="J12" s="8"/>
      <c r="K12" s="8"/>
      <c r="L12" s="8"/>
      <c r="M12" s="8"/>
      <c r="N12" s="8"/>
      <c r="O12" s="8"/>
      <c r="P12" s="8"/>
      <c r="Q12" s="8"/>
      <c r="R12" s="8"/>
      <c r="S12" s="8"/>
      <c r="T12" s="493"/>
      <c r="U12" s="493"/>
      <c r="V12" s="493"/>
      <c r="W12" s="493"/>
      <c r="X12" s="8"/>
      <c r="Y12" s="8"/>
      <c r="Z12" s="8"/>
    </row>
    <row r="13" spans="1:26">
      <c r="A13" s="8"/>
      <c r="B13" s="8"/>
      <c r="C13" s="8"/>
      <c r="D13" s="8"/>
      <c r="E13" s="8"/>
      <c r="F13" s="8"/>
      <c r="G13" s="8"/>
      <c r="H13" s="8"/>
      <c r="I13" s="8"/>
      <c r="J13" s="8"/>
      <c r="K13" s="8"/>
      <c r="L13" s="8"/>
      <c r="M13" s="8"/>
      <c r="N13" s="8"/>
      <c r="O13" s="8"/>
      <c r="P13" s="8"/>
      <c r="Q13" s="8"/>
      <c r="R13" s="8"/>
      <c r="S13" s="8"/>
      <c r="T13" s="8"/>
      <c r="U13" s="8"/>
      <c r="V13" s="8"/>
      <c r="W13" s="8"/>
      <c r="X13" s="8"/>
      <c r="Y13" s="8"/>
      <c r="Z13" s="8"/>
    </row>
    <row r="14" spans="1:26">
      <c r="A14" s="8"/>
      <c r="B14" s="8"/>
      <c r="C14" s="8"/>
      <c r="D14" s="8"/>
      <c r="E14" s="8"/>
      <c r="F14" s="8"/>
      <c r="G14" s="8"/>
      <c r="H14" s="8"/>
      <c r="I14" s="8"/>
      <c r="J14" s="8"/>
      <c r="K14" s="8"/>
      <c r="L14" s="8"/>
      <c r="M14" s="8"/>
      <c r="N14" s="8"/>
      <c r="O14" s="8"/>
      <c r="P14" s="8"/>
      <c r="Q14" s="8"/>
      <c r="R14" s="8"/>
      <c r="S14" s="8"/>
      <c r="T14" s="8"/>
      <c r="U14" s="8"/>
      <c r="V14" s="8"/>
      <c r="W14" s="8"/>
      <c r="X14" s="8"/>
      <c r="Y14" s="8"/>
      <c r="Z14" s="8"/>
    </row>
    <row r="15" spans="1:26">
      <c r="A15" s="8"/>
      <c r="B15" s="8"/>
      <c r="C15" s="8"/>
      <c r="D15" s="8"/>
      <c r="E15" s="8"/>
      <c r="F15" s="8"/>
      <c r="G15" s="8"/>
      <c r="H15" s="8"/>
      <c r="I15" s="8"/>
      <c r="J15" s="8"/>
      <c r="K15" s="8"/>
      <c r="L15" s="8"/>
      <c r="M15" s="8"/>
      <c r="N15" s="8"/>
      <c r="O15" s="8"/>
      <c r="P15" s="8"/>
      <c r="Q15" s="8"/>
      <c r="R15" s="8"/>
      <c r="S15" s="8"/>
      <c r="T15" s="8"/>
      <c r="U15" s="8"/>
      <c r="V15" s="8"/>
      <c r="W15" s="8"/>
      <c r="X15" s="8"/>
      <c r="Y15" s="8"/>
      <c r="Z15" s="8"/>
    </row>
    <row r="18" spans="8:23">
      <c r="H18" s="8"/>
      <c r="I18" s="8"/>
      <c r="J18" s="8"/>
      <c r="K18" s="8"/>
      <c r="L18" s="8"/>
      <c r="M18" s="8"/>
      <c r="N18" s="8"/>
      <c r="O18" s="8"/>
      <c r="P18" s="8"/>
      <c r="Q18" s="8"/>
      <c r="R18" s="8"/>
      <c r="S18" s="8"/>
      <c r="T18" s="8"/>
      <c r="U18" s="8"/>
      <c r="V18" s="8"/>
      <c r="W18" s="8"/>
    </row>
    <row r="19" spans="8:23">
      <c r="H19" s="8"/>
      <c r="I19" s="119"/>
      <c r="J19" s="8"/>
      <c r="K19" s="8"/>
      <c r="L19" s="8"/>
      <c r="M19" s="8"/>
      <c r="N19" s="8"/>
      <c r="O19" s="8"/>
      <c r="P19" s="8"/>
      <c r="Q19" s="8"/>
      <c r="R19" s="8"/>
      <c r="S19" s="8"/>
      <c r="T19" s="8"/>
      <c r="U19" s="8"/>
      <c r="V19" s="8"/>
      <c r="W19" s="8"/>
    </row>
    <row r="20" spans="8:23">
      <c r="H20" s="52" t="s">
        <v>311</v>
      </c>
      <c r="I20" s="317">
        <f ca="1">Results!I24</f>
        <v>30671940.117296368</v>
      </c>
      <c r="J20" s="8"/>
      <c r="K20" s="8"/>
      <c r="L20" s="8"/>
      <c r="M20" s="8"/>
      <c r="N20" s="8"/>
      <c r="O20" s="8"/>
      <c r="P20" s="8"/>
      <c r="Q20" s="8"/>
      <c r="R20" s="8"/>
      <c r="S20" s="8"/>
      <c r="T20" s="8"/>
      <c r="U20" s="8"/>
      <c r="V20" s="8"/>
      <c r="W20" s="8"/>
    </row>
    <row r="21" spans="8:23">
      <c r="H21" s="52" t="s">
        <v>309</v>
      </c>
      <c r="I21" s="317">
        <f>MIN(DSA!C70:D129)*0.8</f>
        <v>16782675.904048529</v>
      </c>
      <c r="J21" s="8"/>
      <c r="K21" s="8"/>
      <c r="L21" s="8"/>
      <c r="M21" s="8"/>
      <c r="N21" s="8"/>
      <c r="O21" s="8"/>
      <c r="P21" s="8"/>
      <c r="Q21" s="8"/>
      <c r="R21" s="8"/>
      <c r="S21" s="8"/>
      <c r="T21" s="8"/>
      <c r="U21" s="8"/>
      <c r="V21" s="8"/>
      <c r="W21" s="8"/>
    </row>
    <row r="22" spans="8:23">
      <c r="H22" s="52" t="s">
        <v>310</v>
      </c>
      <c r="I22" s="317">
        <f>MAX(DSA!C70:D129)*1.2</f>
        <v>48438642.425438493</v>
      </c>
      <c r="J22" s="8"/>
      <c r="K22" s="8"/>
      <c r="L22" s="8"/>
      <c r="M22" s="8"/>
      <c r="N22" s="8"/>
      <c r="O22" s="8"/>
      <c r="P22" s="8"/>
      <c r="Q22" s="8"/>
      <c r="R22" s="8"/>
      <c r="S22" s="8"/>
      <c r="T22" s="8"/>
      <c r="U22" s="8"/>
      <c r="V22" s="8"/>
      <c r="W22" s="8"/>
    </row>
    <row r="39" spans="2:24">
      <c r="B39" s="8"/>
      <c r="C39" s="8"/>
      <c r="D39" s="272"/>
      <c r="E39" s="8"/>
      <c r="F39" s="8"/>
      <c r="G39" s="8"/>
      <c r="H39" s="8"/>
      <c r="I39" s="8"/>
      <c r="J39" s="8"/>
      <c r="K39" s="8"/>
      <c r="L39" s="8"/>
      <c r="M39" s="8"/>
      <c r="N39" s="8"/>
      <c r="O39" s="8"/>
      <c r="P39" s="8"/>
      <c r="Q39" s="8"/>
      <c r="R39" s="8"/>
      <c r="S39" s="8"/>
      <c r="T39" s="8"/>
      <c r="U39" s="8"/>
      <c r="V39" s="8"/>
      <c r="W39" s="8"/>
      <c r="X39" s="8"/>
    </row>
    <row r="40" spans="2:24">
      <c r="B40" s="58"/>
      <c r="C40" s="58"/>
      <c r="D40" s="273"/>
      <c r="E40" s="58"/>
      <c r="F40" s="58"/>
      <c r="G40" s="58"/>
      <c r="H40" s="58"/>
      <c r="I40" s="58"/>
      <c r="J40" s="8"/>
      <c r="K40" s="8"/>
      <c r="L40" s="8"/>
      <c r="M40" s="8"/>
      <c r="N40" s="8"/>
      <c r="O40" s="8"/>
      <c r="P40" s="8"/>
      <c r="Q40" s="8"/>
      <c r="R40" s="8"/>
      <c r="S40" s="8"/>
      <c r="T40" s="8"/>
      <c r="U40" s="8"/>
      <c r="V40" s="8"/>
      <c r="W40" s="8"/>
      <c r="X40" s="8"/>
    </row>
    <row r="41" spans="2:24" ht="18">
      <c r="B41" s="57" t="str">
        <f>'Mkt share'!B59</f>
        <v>Alternative scenario 2:</v>
      </c>
      <c r="C41" s="47" t="str">
        <f>cen_prop2</f>
        <v>With PET-CT 10-50%</v>
      </c>
      <c r="D41" s="47"/>
      <c r="E41" s="47"/>
      <c r="F41" s="47"/>
      <c r="G41" s="47"/>
      <c r="H41" s="47"/>
      <c r="I41" s="47"/>
      <c r="J41" s="8"/>
      <c r="K41" s="8"/>
      <c r="L41" s="8"/>
      <c r="M41" s="8"/>
      <c r="N41" s="8"/>
      <c r="O41" s="8"/>
      <c r="P41" s="8"/>
      <c r="Q41" s="8"/>
      <c r="R41" s="8"/>
      <c r="S41" s="8"/>
      <c r="T41" s="8"/>
      <c r="U41" s="8"/>
      <c r="V41" s="8"/>
      <c r="W41" s="8"/>
      <c r="X41" s="8"/>
    </row>
    <row r="42" spans="2:24">
      <c r="B42" s="8"/>
      <c r="C42" s="8"/>
      <c r="D42" s="8"/>
      <c r="E42" s="8"/>
      <c r="F42" s="8"/>
      <c r="G42" s="8"/>
      <c r="H42" s="8"/>
      <c r="I42" s="8"/>
      <c r="J42" s="8"/>
      <c r="K42" s="8"/>
      <c r="L42" s="8"/>
      <c r="M42" s="8"/>
      <c r="N42" s="8"/>
      <c r="O42" s="8"/>
      <c r="P42" s="8"/>
      <c r="Q42" s="8"/>
      <c r="R42" s="8"/>
      <c r="S42" s="8"/>
      <c r="T42" s="8"/>
      <c r="U42" s="8"/>
      <c r="V42" s="8"/>
      <c r="W42" s="8"/>
      <c r="X42" s="8"/>
    </row>
    <row r="43" spans="2:24" ht="14.55" customHeight="1">
      <c r="B43" s="8"/>
      <c r="C43" s="8"/>
      <c r="D43" s="8"/>
      <c r="E43" s="8"/>
      <c r="F43" s="8"/>
      <c r="G43" s="8"/>
      <c r="H43" s="8"/>
      <c r="I43" s="8"/>
      <c r="J43" s="8"/>
      <c r="K43" s="8"/>
      <c r="L43" s="8"/>
      <c r="M43" s="8"/>
      <c r="N43" s="8"/>
      <c r="O43" s="8"/>
      <c r="P43" s="8"/>
      <c r="Q43" s="8"/>
      <c r="R43" s="8"/>
      <c r="S43" s="8"/>
      <c r="T43" s="493"/>
      <c r="U43" s="493"/>
      <c r="V43" s="493"/>
      <c r="W43" s="493"/>
      <c r="X43" s="8"/>
    </row>
    <row r="44" spans="2:24">
      <c r="B44" s="8"/>
      <c r="C44" s="8"/>
      <c r="D44" s="8"/>
      <c r="E44" s="8"/>
      <c r="F44" s="8"/>
      <c r="G44" s="8"/>
      <c r="H44" s="8"/>
      <c r="I44" s="8"/>
      <c r="J44" s="8"/>
      <c r="K44" s="8"/>
      <c r="L44" s="8"/>
      <c r="M44" s="8"/>
      <c r="N44" s="8"/>
      <c r="O44" s="8"/>
      <c r="P44" s="8"/>
      <c r="Q44" s="8"/>
      <c r="R44" s="8"/>
      <c r="S44" s="8"/>
      <c r="T44" s="493"/>
      <c r="U44" s="493"/>
      <c r="V44" s="493"/>
      <c r="W44" s="493"/>
      <c r="X44" s="8"/>
    </row>
    <row r="45" spans="2:24">
      <c r="B45" s="8"/>
      <c r="C45" s="8"/>
      <c r="D45" s="8"/>
      <c r="E45" s="8"/>
      <c r="F45" s="8"/>
      <c r="G45" s="8"/>
      <c r="H45" s="8"/>
      <c r="I45" s="8"/>
      <c r="J45" s="8"/>
      <c r="K45" s="8"/>
      <c r="L45" s="8"/>
      <c r="M45" s="8"/>
      <c r="N45" s="8"/>
      <c r="O45" s="8"/>
      <c r="P45" s="8"/>
      <c r="Q45" s="8"/>
      <c r="R45" s="8"/>
      <c r="S45" s="8"/>
      <c r="T45" s="493"/>
      <c r="U45" s="493"/>
      <c r="V45" s="493"/>
      <c r="W45" s="493"/>
      <c r="X45" s="8"/>
    </row>
    <row r="46" spans="2:24">
      <c r="B46" s="8"/>
      <c r="C46" s="8"/>
      <c r="D46" s="8"/>
      <c r="E46" s="8"/>
      <c r="F46" s="8"/>
      <c r="G46" s="8"/>
      <c r="H46" s="8"/>
      <c r="I46" s="8"/>
      <c r="J46" s="8"/>
      <c r="K46" s="8"/>
      <c r="L46" s="8"/>
      <c r="M46" s="8"/>
      <c r="N46" s="8"/>
      <c r="O46" s="8"/>
      <c r="P46" s="8"/>
      <c r="Q46" s="8"/>
      <c r="R46" s="8"/>
      <c r="S46" s="8"/>
      <c r="T46" s="8"/>
      <c r="U46" s="8"/>
      <c r="V46" s="8"/>
      <c r="W46" s="8"/>
      <c r="X46" s="8"/>
    </row>
    <row r="47" spans="2:24">
      <c r="B47" s="8"/>
      <c r="C47" s="8"/>
      <c r="D47" s="8"/>
      <c r="E47" s="8"/>
      <c r="F47" s="8"/>
      <c r="G47" s="8"/>
      <c r="H47" s="8"/>
      <c r="I47" s="8"/>
      <c r="J47" s="8"/>
      <c r="K47" s="8"/>
      <c r="L47" s="8"/>
      <c r="M47" s="8"/>
      <c r="N47" s="8"/>
      <c r="O47" s="8"/>
      <c r="P47" s="8"/>
      <c r="Q47" s="8"/>
      <c r="R47" s="8"/>
      <c r="S47" s="8"/>
      <c r="T47" s="8"/>
      <c r="U47" s="8"/>
      <c r="V47" s="8"/>
      <c r="W47" s="8"/>
      <c r="X47" s="8"/>
    </row>
    <row r="48" spans="2:24">
      <c r="B48" s="8"/>
      <c r="C48" s="8"/>
      <c r="D48" s="8"/>
      <c r="E48" s="8"/>
      <c r="F48" s="8"/>
      <c r="G48" s="8"/>
      <c r="H48" s="8"/>
      <c r="I48" s="8"/>
      <c r="J48" s="8"/>
      <c r="K48" s="8"/>
      <c r="L48" s="8"/>
      <c r="M48" s="8"/>
      <c r="N48" s="8"/>
      <c r="O48" s="8"/>
      <c r="P48" s="8"/>
      <c r="Q48" s="8"/>
      <c r="R48" s="8"/>
      <c r="S48" s="8"/>
      <c r="T48" s="8"/>
      <c r="U48" s="8"/>
      <c r="V48" s="8"/>
      <c r="W48" s="8"/>
      <c r="X48" s="8"/>
    </row>
    <row r="50" spans="8:23">
      <c r="H50" s="52" t="s">
        <v>311</v>
      </c>
      <c r="I50" s="317">
        <f ca="1">Results!I33</f>
        <v>30671940.117296368</v>
      </c>
      <c r="J50" s="8"/>
      <c r="K50" s="8"/>
      <c r="L50" s="8"/>
      <c r="M50" s="8"/>
      <c r="N50" s="8"/>
      <c r="O50" s="8"/>
      <c r="P50" s="8"/>
      <c r="Q50" s="8"/>
      <c r="R50" s="8"/>
      <c r="S50" s="8"/>
      <c r="T50" s="8"/>
      <c r="U50" s="8"/>
      <c r="V50" s="8"/>
      <c r="W50" s="8"/>
    </row>
    <row r="51" spans="8:23">
      <c r="H51" s="52" t="s">
        <v>309</v>
      </c>
      <c r="I51" s="317">
        <f>MIN(DSA!I70:J123)*0.8</f>
        <v>16782675.904048529</v>
      </c>
      <c r="J51" s="8"/>
      <c r="K51" s="8"/>
      <c r="L51" s="8"/>
      <c r="M51" s="8"/>
      <c r="N51" s="8"/>
      <c r="O51" s="8"/>
      <c r="P51" s="8"/>
      <c r="Q51" s="8"/>
      <c r="R51" s="8"/>
      <c r="S51" s="8"/>
      <c r="T51" s="8"/>
      <c r="U51" s="8"/>
      <c r="V51" s="8"/>
      <c r="W51" s="8"/>
    </row>
    <row r="52" spans="8:23">
      <c r="H52" s="52" t="s">
        <v>310</v>
      </c>
      <c r="I52" s="317">
        <f>MAX(DSA!I70:J123)*1.2</f>
        <v>48438642.425438493</v>
      </c>
      <c r="J52" s="8"/>
      <c r="K52" s="8"/>
      <c r="L52" s="8"/>
      <c r="M52" s="8"/>
      <c r="N52" s="8"/>
      <c r="O52" s="8"/>
      <c r="P52" s="8"/>
      <c r="Q52" s="8"/>
      <c r="R52" s="8"/>
      <c r="S52" s="8"/>
      <c r="T52" s="8"/>
      <c r="U52" s="8"/>
      <c r="V52" s="8"/>
      <c r="W52" s="8"/>
    </row>
    <row r="53" spans="8:23">
      <c r="H53" s="8"/>
      <c r="I53" s="8"/>
      <c r="J53" s="8"/>
      <c r="K53" s="8"/>
      <c r="L53" s="8"/>
      <c r="M53" s="8"/>
      <c r="N53" s="8"/>
      <c r="O53" s="8"/>
      <c r="P53" s="8"/>
      <c r="Q53" s="8"/>
      <c r="R53" s="8"/>
      <c r="S53" s="8"/>
      <c r="T53" s="8"/>
      <c r="U53" s="8"/>
      <c r="V53" s="8"/>
      <c r="W53" s="8"/>
    </row>
    <row r="54" spans="8:23">
      <c r="H54" s="8"/>
      <c r="I54" s="8"/>
      <c r="J54" s="8"/>
      <c r="K54" s="8"/>
      <c r="L54" s="8"/>
      <c r="M54" s="8"/>
      <c r="N54" s="8"/>
      <c r="O54" s="8"/>
      <c r="P54" s="8"/>
      <c r="Q54" s="8"/>
      <c r="R54" s="8"/>
      <c r="S54" s="8"/>
      <c r="T54" s="8"/>
      <c r="U54" s="8"/>
      <c r="V54" s="8"/>
      <c r="W54" s="8"/>
    </row>
    <row r="72" spans="2:24">
      <c r="B72" s="8"/>
      <c r="C72" s="8"/>
      <c r="D72" s="272"/>
      <c r="E72" s="8"/>
      <c r="F72" s="8"/>
      <c r="G72" s="8"/>
      <c r="H72" s="8"/>
      <c r="I72" s="8"/>
      <c r="J72" s="8"/>
      <c r="K72" s="8"/>
      <c r="L72" s="8"/>
      <c r="M72" s="8"/>
      <c r="N72" s="8"/>
      <c r="O72" s="8"/>
      <c r="P72" s="8"/>
      <c r="Q72" s="8"/>
      <c r="R72" s="8"/>
      <c r="S72" s="8"/>
      <c r="T72" s="8"/>
      <c r="U72" s="8"/>
      <c r="V72" s="8"/>
      <c r="W72" s="8"/>
      <c r="X72" s="8"/>
    </row>
    <row r="73" spans="2:24"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24" s="3" customFormat="1">
      <c r="B74" s="65"/>
      <c r="C74" s="65"/>
      <c r="D74" s="65"/>
      <c r="E74" s="65"/>
      <c r="F74" s="65"/>
      <c r="G74" s="65"/>
      <c r="H74" s="65"/>
      <c r="I74" s="65"/>
      <c r="J74" s="65"/>
      <c r="K74" s="65"/>
      <c r="L74" s="65"/>
      <c r="M74" s="65"/>
    </row>
    <row r="75" spans="2:24" s="3" customFormat="1">
      <c r="B75" s="406" t="s">
        <v>77</v>
      </c>
      <c r="C75" s="406"/>
      <c r="D75" s="406"/>
      <c r="E75" s="406"/>
      <c r="F75" s="406"/>
      <c r="G75" s="406"/>
      <c r="H75" s="406"/>
      <c r="I75" s="406"/>
      <c r="J75" s="406"/>
      <c r="K75" s="406"/>
      <c r="L75" s="406"/>
      <c r="M75" s="406"/>
    </row>
    <row r="76" spans="2:24" s="3" customFormat="1">
      <c r="B76" s="406"/>
      <c r="C76" s="406"/>
      <c r="D76" s="406"/>
      <c r="E76" s="406"/>
      <c r="F76" s="406"/>
      <c r="G76" s="406"/>
      <c r="H76" s="406"/>
      <c r="I76" s="406"/>
      <c r="J76" s="406"/>
      <c r="K76" s="406"/>
      <c r="L76" s="406"/>
      <c r="M76" s="406"/>
    </row>
    <row r="77" spans="2:24" ht="85.95" customHeight="1">
      <c r="B77" s="405" t="e" vm="1">
        <v>#VALUE!</v>
      </c>
      <c r="C77" s="405"/>
      <c r="D77" s="405"/>
      <c r="E77" s="405"/>
      <c r="F77" s="405"/>
      <c r="G77" s="405"/>
      <c r="H77" s="405"/>
      <c r="I77" s="405"/>
      <c r="J77" s="405"/>
      <c r="K77" s="405"/>
      <c r="L77" s="405"/>
      <c r="M77" s="405"/>
    </row>
  </sheetData>
  <sheetProtection sort="0" autoFilter="0" pivotTables="0"/>
  <mergeCells count="4">
    <mergeCell ref="B77:M77"/>
    <mergeCell ref="T10:W12"/>
    <mergeCell ref="T43:W45"/>
    <mergeCell ref="B75:M76"/>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7514B-B031-49EE-B417-12410A586E2E}">
  <sheetPr codeName="Planilha3">
    <tabColor rgb="FF726C5A"/>
  </sheetPr>
  <dimension ref="A1:ED1029"/>
  <sheetViews>
    <sheetView showGridLines="0" showRowColHeaders="0" topLeftCell="B1" zoomScaleNormal="100" workbookViewId="0">
      <selection activeCell="AF1015" sqref="AF1015:AR1015"/>
    </sheetView>
  </sheetViews>
  <sheetFormatPr defaultColWidth="0" defaultRowHeight="14.4" zeroHeight="1"/>
  <cols>
    <col min="1" max="1" width="10.33203125" style="327" customWidth="1"/>
    <col min="2" max="2" width="6.6640625" customWidth="1"/>
    <col min="3" max="3" width="22.109375" style="325" customWidth="1"/>
    <col min="4" max="4" width="20.44140625" style="325" customWidth="1"/>
    <col min="5" max="5" width="18.6640625" style="325" customWidth="1"/>
    <col min="6" max="7" width="19.109375" style="325" customWidth="1"/>
    <col min="8" max="8" width="19.6640625" style="325" customWidth="1"/>
    <col min="9" max="9" width="5.109375" customWidth="1"/>
    <col min="10" max="10" width="20" style="325" customWidth="1"/>
    <col min="11" max="12" width="19.109375" style="325" customWidth="1"/>
    <col min="13" max="14" width="18.77734375" style="325" customWidth="1"/>
    <col min="15" max="15" width="18.109375" style="325" customWidth="1"/>
    <col min="16" max="16" width="5.6640625" customWidth="1"/>
    <col min="17" max="17" width="18.109375" customWidth="1"/>
    <col min="18" max="21" width="18.44140625" customWidth="1"/>
    <col min="22" max="22" width="18.6640625" customWidth="1"/>
    <col min="23" max="29" width="5.44140625" style="328" customWidth="1"/>
    <col min="30" max="30" width="4.44140625" style="328" customWidth="1"/>
    <col min="31" max="31" width="6.77734375" customWidth="1"/>
    <col min="32" max="32" width="24" customWidth="1"/>
    <col min="33" max="33" width="18.44140625" customWidth="1"/>
    <col min="34" max="34" width="25.44140625" customWidth="1"/>
    <col min="35" max="35" width="19" customWidth="1"/>
    <col min="36" max="36" width="22.109375" customWidth="1"/>
    <col min="37" max="37" width="19.6640625" customWidth="1"/>
    <col min="38" max="38" width="5.44140625" customWidth="1"/>
    <col min="39" max="40" width="23.109375" customWidth="1"/>
    <col min="41" max="41" width="18.109375" customWidth="1"/>
    <col min="42" max="42" width="24" customWidth="1"/>
    <col min="43" max="43" width="13.109375" customWidth="1"/>
    <col min="44" max="44" width="21.109375" customWidth="1"/>
    <col min="45" max="45" width="6.109375" customWidth="1"/>
    <col min="46" max="48" width="27.77734375" customWidth="1"/>
    <col min="49" max="49" width="27.77734375" style="324" customWidth="1"/>
    <col min="50" max="51" width="27.77734375" customWidth="1"/>
    <col min="52" max="52" width="8.77734375" customWidth="1"/>
    <col min="53" max="53" width="6.77734375" customWidth="1"/>
    <col min="54" max="57" width="7.109375" customWidth="1"/>
    <col min="58" max="58" width="6.6640625" customWidth="1"/>
    <col min="59" max="59" width="8.77734375" customWidth="1"/>
    <col min="60" max="134" width="0" hidden="1" customWidth="1"/>
    <col min="135" max="16384" width="8.77734375" hidden="1"/>
  </cols>
  <sheetData>
    <row r="1" spans="1:134" s="328" customFormat="1" ht="33.6">
      <c r="A1" s="333"/>
      <c r="B1" s="334" t="str">
        <f>Introduction!$B$1</f>
        <v>Budget impact analysis of PET-CT for treatment of small-cell lung cancer</v>
      </c>
      <c r="C1" s="334"/>
      <c r="D1" s="335"/>
      <c r="E1" s="336"/>
      <c r="F1" s="336"/>
      <c r="G1" s="336"/>
      <c r="H1" s="336"/>
      <c r="I1" s="336"/>
      <c r="J1" s="336"/>
      <c r="K1" s="336"/>
      <c r="L1" s="336"/>
      <c r="M1" s="336"/>
      <c r="N1" s="336"/>
      <c r="O1" s="336"/>
      <c r="P1" s="336"/>
      <c r="Q1" s="336"/>
      <c r="R1" s="336"/>
      <c r="S1" s="336"/>
      <c r="T1" s="337"/>
      <c r="U1" s="337"/>
      <c r="V1" s="337"/>
      <c r="W1" s="337"/>
      <c r="X1" s="337"/>
      <c r="Y1" s="337"/>
      <c r="Z1" s="337"/>
      <c r="AA1" s="337"/>
      <c r="AB1" s="337"/>
      <c r="AC1" s="337"/>
      <c r="AD1" s="337"/>
      <c r="AE1" s="337"/>
      <c r="AF1" s="337"/>
      <c r="AG1" s="337"/>
      <c r="AH1" s="337"/>
      <c r="AI1" s="337"/>
      <c r="AJ1" s="337"/>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338"/>
      <c r="BN1" s="338"/>
      <c r="BO1" s="338"/>
      <c r="BP1" s="338"/>
      <c r="BQ1" s="338"/>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row>
    <row r="2" spans="1:134" s="328" customFormat="1" ht="18.600000000000001" thickBot="1">
      <c r="A2" s="339"/>
      <c r="B2" s="37"/>
      <c r="C2" s="37"/>
      <c r="D2" s="38"/>
      <c r="E2" s="39"/>
      <c r="F2" s="39"/>
      <c r="G2" s="39"/>
      <c r="H2" s="39"/>
      <c r="I2" s="39"/>
      <c r="J2" s="39"/>
      <c r="K2" s="133"/>
      <c r="L2" s="133"/>
      <c r="M2" s="133"/>
      <c r="N2" s="133"/>
      <c r="O2" s="133"/>
      <c r="P2" s="133"/>
      <c r="Q2" s="133"/>
      <c r="R2" s="133"/>
      <c r="S2" s="39"/>
      <c r="T2" s="33"/>
      <c r="U2" s="33"/>
      <c r="V2" s="33"/>
      <c r="W2" s="33"/>
      <c r="X2" s="33"/>
      <c r="Y2" s="33"/>
      <c r="Z2" s="33"/>
      <c r="AA2" s="33"/>
      <c r="AB2" s="33"/>
      <c r="AC2" s="33"/>
      <c r="AD2" s="340"/>
      <c r="AE2" s="340"/>
      <c r="AF2" s="340"/>
      <c r="AG2" s="340"/>
      <c r="AH2" s="340"/>
      <c r="AI2" s="340"/>
      <c r="AJ2" s="340"/>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c r="BJ2" s="341"/>
      <c r="BK2" s="341"/>
      <c r="BL2" s="341"/>
      <c r="BM2" s="341"/>
      <c r="BN2" s="341"/>
      <c r="BO2" s="341"/>
      <c r="BP2" s="341"/>
      <c r="BQ2" s="341"/>
      <c r="BR2" s="341"/>
      <c r="BS2" s="341"/>
      <c r="BT2" s="341"/>
      <c r="BU2" s="341"/>
      <c r="BV2" s="341"/>
      <c r="BW2" s="34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c r="DA2" s="341"/>
      <c r="DB2" s="341"/>
      <c r="DC2" s="341"/>
      <c r="DD2" s="341"/>
      <c r="DE2" s="341"/>
      <c r="DF2" s="341"/>
      <c r="DG2" s="341"/>
      <c r="DH2" s="341"/>
      <c r="DI2" s="341"/>
      <c r="DJ2" s="341"/>
      <c r="DK2" s="341"/>
      <c r="DL2" s="341"/>
      <c r="DM2" s="341"/>
      <c r="DN2" s="341"/>
      <c r="DO2" s="341"/>
      <c r="DP2" s="341"/>
      <c r="DQ2" s="341"/>
      <c r="DR2" s="341"/>
      <c r="DS2" s="341"/>
      <c r="DT2" s="341"/>
      <c r="DU2" s="341"/>
      <c r="DV2" s="341"/>
      <c r="DW2" s="341"/>
      <c r="DX2" s="341"/>
      <c r="DY2" s="341"/>
      <c r="DZ2" s="341"/>
      <c r="EA2" s="341"/>
      <c r="EB2" s="341"/>
      <c r="EC2" s="341"/>
      <c r="ED2" s="341"/>
    </row>
    <row r="3" spans="1:134" ht="18">
      <c r="A3" s="326"/>
      <c r="B3" s="342"/>
      <c r="C3" s="496" t="s">
        <v>324</v>
      </c>
      <c r="D3" s="496"/>
      <c r="E3" s="496"/>
      <c r="F3" s="496"/>
      <c r="G3" s="496"/>
      <c r="H3" s="496"/>
      <c r="I3" s="343"/>
      <c r="J3" s="496" t="s">
        <v>325</v>
      </c>
      <c r="K3" s="496"/>
      <c r="L3" s="496"/>
      <c r="M3" s="496"/>
      <c r="N3" s="496"/>
      <c r="O3" s="496"/>
      <c r="P3" s="343"/>
      <c r="Q3" s="497" t="s">
        <v>327</v>
      </c>
      <c r="R3" s="497"/>
      <c r="S3" s="497"/>
      <c r="T3" s="497"/>
      <c r="U3" s="497"/>
      <c r="V3" s="497"/>
      <c r="W3" s="343"/>
      <c r="X3" s="343"/>
      <c r="Y3" s="343"/>
      <c r="Z3" s="343"/>
      <c r="AA3" s="343"/>
      <c r="AB3" s="343"/>
      <c r="AC3" s="358"/>
      <c r="AD3" s="360"/>
      <c r="AE3" s="342"/>
      <c r="AF3" s="496" t="s">
        <v>324</v>
      </c>
      <c r="AG3" s="496"/>
      <c r="AH3" s="496"/>
      <c r="AI3" s="496"/>
      <c r="AJ3" s="496"/>
      <c r="AK3" s="496"/>
      <c r="AL3" s="343"/>
      <c r="AM3" s="496" t="s">
        <v>325</v>
      </c>
      <c r="AN3" s="496"/>
      <c r="AO3" s="496"/>
      <c r="AP3" s="496"/>
      <c r="AQ3" s="496"/>
      <c r="AR3" s="496"/>
      <c r="AS3" s="343"/>
      <c r="AT3" s="497" t="s">
        <v>327</v>
      </c>
      <c r="AU3" s="497"/>
      <c r="AV3" s="497"/>
      <c r="AW3" s="497"/>
      <c r="AX3" s="497"/>
      <c r="AY3" s="497"/>
      <c r="AZ3" s="343"/>
      <c r="BA3" s="343"/>
      <c r="BB3" s="343"/>
      <c r="BC3" s="343"/>
      <c r="BD3" s="343"/>
      <c r="BE3" s="343"/>
      <c r="BF3" s="358"/>
      <c r="BG3" s="360"/>
    </row>
    <row r="4" spans="1:134" ht="18">
      <c r="A4" s="326"/>
      <c r="B4" s="344"/>
      <c r="C4" s="345">
        <f>ano_1</f>
        <v>2024</v>
      </c>
      <c r="D4" s="345">
        <f>C4+1</f>
        <v>2025</v>
      </c>
      <c r="E4" s="345">
        <f t="shared" ref="E4:G4" si="0">D4+1</f>
        <v>2026</v>
      </c>
      <c r="F4" s="345">
        <f t="shared" si="0"/>
        <v>2027</v>
      </c>
      <c r="G4" s="345">
        <f t="shared" si="0"/>
        <v>2028</v>
      </c>
      <c r="H4" s="345" t="s">
        <v>313</v>
      </c>
      <c r="I4" s="346"/>
      <c r="J4" s="345">
        <f>ano_1</f>
        <v>2024</v>
      </c>
      <c r="K4" s="345">
        <f>J4+1</f>
        <v>2025</v>
      </c>
      <c r="L4" s="345">
        <f t="shared" ref="L4:N4" si="1">K4+1</f>
        <v>2026</v>
      </c>
      <c r="M4" s="345">
        <f t="shared" si="1"/>
        <v>2027</v>
      </c>
      <c r="N4" s="345">
        <f t="shared" si="1"/>
        <v>2028</v>
      </c>
      <c r="O4" s="347" t="s">
        <v>313</v>
      </c>
      <c r="P4" s="365"/>
      <c r="Q4" s="345">
        <f>ano_1</f>
        <v>2024</v>
      </c>
      <c r="R4" s="345">
        <f>Q4+1</f>
        <v>2025</v>
      </c>
      <c r="S4" s="345">
        <f t="shared" ref="S4:U4" si="2">R4+1</f>
        <v>2026</v>
      </c>
      <c r="T4" s="345">
        <f t="shared" si="2"/>
        <v>2027</v>
      </c>
      <c r="U4" s="345">
        <f t="shared" si="2"/>
        <v>2028</v>
      </c>
      <c r="V4" s="347" t="s">
        <v>313</v>
      </c>
      <c r="W4" s="365"/>
      <c r="X4" s="365"/>
      <c r="Y4" s="365"/>
      <c r="Z4" s="365"/>
      <c r="AA4" s="365"/>
      <c r="AB4" s="365"/>
      <c r="AC4" s="366"/>
      <c r="AD4" s="367"/>
      <c r="AE4" s="344"/>
      <c r="AF4" s="345">
        <f>ano_1</f>
        <v>2024</v>
      </c>
      <c r="AG4" s="345">
        <f>AF4+1</f>
        <v>2025</v>
      </c>
      <c r="AH4" s="345">
        <f t="shared" ref="AH4:AJ4" si="3">AG4+1</f>
        <v>2026</v>
      </c>
      <c r="AI4" s="345">
        <f t="shared" si="3"/>
        <v>2027</v>
      </c>
      <c r="AJ4" s="345">
        <f t="shared" si="3"/>
        <v>2028</v>
      </c>
      <c r="AK4" s="345" t="s">
        <v>313</v>
      </c>
      <c r="AL4" s="346"/>
      <c r="AM4" s="345">
        <f>ano_1</f>
        <v>2024</v>
      </c>
      <c r="AN4" s="345">
        <f>AM4+1</f>
        <v>2025</v>
      </c>
      <c r="AO4" s="345">
        <f t="shared" ref="AO4:AQ4" si="4">AN4+1</f>
        <v>2026</v>
      </c>
      <c r="AP4" s="345">
        <f t="shared" si="4"/>
        <v>2027</v>
      </c>
      <c r="AQ4" s="345">
        <f t="shared" si="4"/>
        <v>2028</v>
      </c>
      <c r="AR4" s="347" t="s">
        <v>313</v>
      </c>
      <c r="AS4" s="365"/>
      <c r="AT4" s="345">
        <f>ano_1</f>
        <v>2024</v>
      </c>
      <c r="AU4" s="345">
        <f>AT4+1</f>
        <v>2025</v>
      </c>
      <c r="AV4" s="345">
        <f t="shared" ref="AV4:AX4" si="5">AU4+1</f>
        <v>2026</v>
      </c>
      <c r="AW4" s="345">
        <f t="shared" si="5"/>
        <v>2027</v>
      </c>
      <c r="AX4" s="345">
        <f t="shared" si="5"/>
        <v>2028</v>
      </c>
      <c r="AY4" s="347" t="s">
        <v>313</v>
      </c>
      <c r="AZ4" s="365"/>
      <c r="BA4" s="365"/>
      <c r="BB4" s="365"/>
      <c r="BC4" s="365"/>
      <c r="BD4" s="365"/>
      <c r="BE4" s="365"/>
      <c r="BF4" s="366"/>
      <c r="BG4" s="359"/>
    </row>
    <row r="5" spans="1:134" ht="18">
      <c r="A5" s="326"/>
      <c r="B5" s="344"/>
      <c r="C5" s="348">
        <f ca="1">Results!D22</f>
        <v>5840477.6854851758</v>
      </c>
      <c r="D5" s="348">
        <f ca="1">Results!E22</f>
        <v>5876554.1572671244</v>
      </c>
      <c r="E5" s="348">
        <f ca="1">Results!F22</f>
        <v>5911096.1130910916</v>
      </c>
      <c r="F5" s="348">
        <f ca="1">Results!G22</f>
        <v>5944062.261561838</v>
      </c>
      <c r="G5" s="348">
        <f ca="1">Results!H22</f>
        <v>5975411.3917741701</v>
      </c>
      <c r="H5" s="348">
        <f ca="1">SUM(C5:G5)</f>
        <v>29547601.6091794</v>
      </c>
      <c r="I5" s="349"/>
      <c r="J5" s="350">
        <f ca="1">Results!D23</f>
        <v>7853721.3216772359</v>
      </c>
      <c r="K5" s="350">
        <f ca="1">Results!E23</f>
        <v>9927912.9319983106</v>
      </c>
      <c r="L5" s="350">
        <f ca="1">Results!F23</f>
        <v>12023854.661339017</v>
      </c>
      <c r="M5" s="350">
        <f ca="1">Results!G23</f>
        <v>14139861.417482864</v>
      </c>
      <c r="N5" s="350">
        <f ca="1">Results!H23</f>
        <v>16274191.393978339</v>
      </c>
      <c r="O5" s="348">
        <f ca="1">SUM(J5:N5)</f>
        <v>60219541.726475775</v>
      </c>
      <c r="P5" s="368"/>
      <c r="Q5" s="350">
        <f ca="1">J5-C5</f>
        <v>2013243.6361920601</v>
      </c>
      <c r="R5" s="350">
        <f t="shared" ref="R5:U5" ca="1" si="6">K5-D5</f>
        <v>4051358.7747311862</v>
      </c>
      <c r="S5" s="350">
        <f t="shared" ca="1" si="6"/>
        <v>6112758.548247925</v>
      </c>
      <c r="T5" s="350">
        <f t="shared" ca="1" si="6"/>
        <v>8195799.1559210261</v>
      </c>
      <c r="U5" s="350">
        <f t="shared" ca="1" si="6"/>
        <v>10298780.002204169</v>
      </c>
      <c r="V5" s="350">
        <f ca="1">O5-H5</f>
        <v>30671940.117296375</v>
      </c>
      <c r="W5" s="365"/>
      <c r="X5" s="365"/>
      <c r="Y5" s="365"/>
      <c r="Z5" s="365"/>
      <c r="AA5" s="365"/>
      <c r="AB5" s="365"/>
      <c r="AC5" s="366"/>
      <c r="AD5" s="367"/>
      <c r="AE5" s="344"/>
      <c r="AF5" s="348">
        <f ca="1">Results!D31</f>
        <v>5840477.6854851758</v>
      </c>
      <c r="AG5" s="348">
        <f ca="1">Results!E31</f>
        <v>5876554.1572671244</v>
      </c>
      <c r="AH5" s="348">
        <f ca="1">Results!F31</f>
        <v>5911096.1130910916</v>
      </c>
      <c r="AI5" s="348">
        <f ca="1">Results!G31</f>
        <v>5944062.261561838</v>
      </c>
      <c r="AJ5" s="348">
        <f ca="1">Results!H31</f>
        <v>5975411.3917741701</v>
      </c>
      <c r="AK5" s="348">
        <f ca="1">SUM(AF5:AJ5)</f>
        <v>29547601.6091794</v>
      </c>
      <c r="AL5" s="349"/>
      <c r="AM5" s="350">
        <f ca="1">Results!D32</f>
        <v>7853721.3216772359</v>
      </c>
      <c r="AN5" s="350">
        <f ca="1">Results!E32</f>
        <v>9927912.9319983106</v>
      </c>
      <c r="AO5" s="350">
        <f ca="1">Results!F32</f>
        <v>12023854.661339017</v>
      </c>
      <c r="AP5" s="350">
        <f ca="1">Results!G32</f>
        <v>14139861.417482864</v>
      </c>
      <c r="AQ5" s="350">
        <f ca="1">Results!H32</f>
        <v>16274191.393978339</v>
      </c>
      <c r="AR5" s="348">
        <f ca="1">SUM(AM5:AQ5)</f>
        <v>60219541.726475775</v>
      </c>
      <c r="AS5" s="368"/>
      <c r="AT5" s="350">
        <f ca="1">AM5-AF5</f>
        <v>2013243.6361920601</v>
      </c>
      <c r="AU5" s="350">
        <f t="shared" ref="AU5" ca="1" si="7">AN5-AG5</f>
        <v>4051358.7747311862</v>
      </c>
      <c r="AV5" s="350">
        <f t="shared" ref="AV5" ca="1" si="8">AO5-AH5</f>
        <v>6112758.548247925</v>
      </c>
      <c r="AW5" s="350">
        <f t="shared" ref="AW5" ca="1" si="9">AP5-AI5</f>
        <v>8195799.1559210261</v>
      </c>
      <c r="AX5" s="350">
        <f t="shared" ref="AX5" ca="1" si="10">AQ5-AJ5</f>
        <v>10298780.002204169</v>
      </c>
      <c r="AY5" s="350">
        <f t="shared" ref="AY5" ca="1" si="11">AR5-AK5</f>
        <v>30671940.117296375</v>
      </c>
      <c r="AZ5" s="365"/>
      <c r="BA5" s="365"/>
      <c r="BB5" s="365"/>
      <c r="BC5" s="365"/>
      <c r="BD5" s="365"/>
      <c r="BE5" s="365"/>
      <c r="BF5" s="366"/>
      <c r="BG5" s="359"/>
    </row>
    <row r="6" spans="1:134" ht="18">
      <c r="A6" s="326"/>
      <c r="B6" s="344"/>
      <c r="C6" s="369"/>
      <c r="D6" s="369"/>
      <c r="E6" s="369"/>
      <c r="F6" s="369"/>
      <c r="G6" s="369"/>
      <c r="H6" s="369"/>
      <c r="I6" s="369"/>
      <c r="J6" s="369"/>
      <c r="K6" s="369"/>
      <c r="L6" s="369"/>
      <c r="M6" s="369"/>
      <c r="N6" s="369"/>
      <c r="O6" s="369"/>
      <c r="P6" s="369"/>
      <c r="Q6" s="369"/>
      <c r="R6" s="369"/>
      <c r="S6" s="369"/>
      <c r="T6" s="369"/>
      <c r="U6" s="369"/>
      <c r="V6" s="369"/>
      <c r="W6" s="365"/>
      <c r="X6" s="365"/>
      <c r="Y6" s="365"/>
      <c r="Z6" s="365"/>
      <c r="AA6" s="365"/>
      <c r="AB6" s="365"/>
      <c r="AC6" s="366"/>
      <c r="AD6" s="367"/>
      <c r="AE6" s="344"/>
      <c r="AF6" s="369"/>
      <c r="AG6" s="369"/>
      <c r="AH6" s="369"/>
      <c r="AI6" s="369"/>
      <c r="AJ6" s="369"/>
      <c r="AK6" s="369"/>
      <c r="AL6" s="369"/>
      <c r="AM6" s="369"/>
      <c r="AN6" s="369"/>
      <c r="AO6" s="369"/>
      <c r="AP6" s="369"/>
      <c r="AQ6" s="369"/>
      <c r="AR6" s="369"/>
      <c r="AS6" s="369"/>
      <c r="AT6" s="369"/>
      <c r="AU6" s="369"/>
      <c r="AV6" s="369"/>
      <c r="AW6" s="369"/>
      <c r="AX6" s="369"/>
      <c r="AY6" s="369"/>
      <c r="AZ6" s="365"/>
      <c r="BA6" s="365"/>
      <c r="BB6" s="365"/>
      <c r="BC6" s="365"/>
      <c r="BD6" s="365"/>
      <c r="BE6" s="365"/>
      <c r="BF6" s="366"/>
      <c r="BG6" s="359"/>
    </row>
    <row r="7" spans="1:134" ht="18">
      <c r="A7" s="326"/>
      <c r="B7" s="351" t="s">
        <v>326</v>
      </c>
      <c r="C7" s="350">
        <f>AVERAGEIF(C16:C1015,"&gt;0")</f>
        <v>5847016.0389357517</v>
      </c>
      <c r="D7" s="350">
        <f t="shared" ref="D7:O7" si="12">AVERAGEIF(D16:D1015,"&gt;0")</f>
        <v>36116.859013346642</v>
      </c>
      <c r="E7" s="350">
        <f t="shared" si="12"/>
        <v>34580.625180860741</v>
      </c>
      <c r="F7" s="350">
        <f t="shared" si="12"/>
        <v>33003.053727851802</v>
      </c>
      <c r="G7" s="350">
        <f t="shared" si="12"/>
        <v>31384.225234476718</v>
      </c>
      <c r="H7" s="350">
        <f t="shared" si="12"/>
        <v>5982100.8020922858</v>
      </c>
      <c r="I7" s="369"/>
      <c r="J7" s="350">
        <f>AVERAGEIF(J16:J1015,"&gt;0")</f>
        <v>7872808.5942491964</v>
      </c>
      <c r="K7" s="350">
        <f t="shared" si="12"/>
        <v>2086935.9453379458</v>
      </c>
      <c r="L7" s="350">
        <f t="shared" si="12"/>
        <v>2108829.4839099846</v>
      </c>
      <c r="M7" s="350">
        <f t="shared" si="12"/>
        <v>2129027.6379263769</v>
      </c>
      <c r="N7" s="350">
        <f t="shared" si="12"/>
        <v>2147473.3392302012</v>
      </c>
      <c r="O7" s="350">
        <f t="shared" si="12"/>
        <v>16345075.000653712</v>
      </c>
      <c r="P7" s="368"/>
      <c r="Q7" s="370">
        <f t="shared" ref="Q7:V7" si="13">AVERAGE(Q16:Q1015)</f>
        <v>2025792.5553134542</v>
      </c>
      <c r="R7" s="370">
        <f t="shared" si="13"/>
        <v>2050819.0863245965</v>
      </c>
      <c r="S7" s="370">
        <f t="shared" si="13"/>
        <v>2074248.8587291264</v>
      </c>
      <c r="T7" s="370">
        <f t="shared" si="13"/>
        <v>2096024.5841985212</v>
      </c>
      <c r="U7" s="370">
        <f t="shared" si="13"/>
        <v>2116089.1139957239</v>
      </c>
      <c r="V7" s="370">
        <f t="shared" si="13"/>
        <v>10362974.198561415</v>
      </c>
      <c r="W7" s="365"/>
      <c r="X7" s="365"/>
      <c r="Y7" s="365"/>
      <c r="Z7" s="365"/>
      <c r="AA7" s="365"/>
      <c r="AB7" s="365"/>
      <c r="AC7" s="366"/>
      <c r="AD7" s="367"/>
      <c r="AE7" s="351" t="s">
        <v>326</v>
      </c>
      <c r="AF7" s="350">
        <f>AVERAGEIF(AF16:AF1015,"&gt;0")</f>
        <v>5870696.0629989337</v>
      </c>
      <c r="AG7" s="350">
        <f t="shared" ref="AG7:AK7" si="14">AVERAGEIF(AG16:AG1015,"&gt;0")</f>
        <v>36263.129877806015</v>
      </c>
      <c r="AH7" s="350">
        <f t="shared" si="14"/>
        <v>34720.674401001408</v>
      </c>
      <c r="AI7" s="350">
        <f t="shared" si="14"/>
        <v>33136.71388907425</v>
      </c>
      <c r="AJ7" s="350">
        <f t="shared" si="14"/>
        <v>31511.329248525657</v>
      </c>
      <c r="AK7" s="350">
        <f t="shared" si="14"/>
        <v>6006327.9104153542</v>
      </c>
      <c r="AL7" s="369"/>
      <c r="AM7" s="350">
        <f>AVERAGEIF(AM16:AM1015,"&gt;0")</f>
        <v>7892924.1446154593</v>
      </c>
      <c r="AN7" s="350">
        <f t="shared" ref="AN7:AR7" si="15">AVERAGEIF(AN16:AN1015,"&gt;0")</f>
        <v>2083473.7071913439</v>
      </c>
      <c r="AO7" s="350">
        <f t="shared" si="15"/>
        <v>2105319.7983739921</v>
      </c>
      <c r="AP7" s="350">
        <f t="shared" si="15"/>
        <v>2125473.2479568389</v>
      </c>
      <c r="AQ7" s="350">
        <f t="shared" si="15"/>
        <v>2143877.0886651087</v>
      </c>
      <c r="AR7" s="350">
        <f t="shared" si="15"/>
        <v>16351067.986802762</v>
      </c>
      <c r="AS7" s="368"/>
      <c r="AT7" s="370">
        <f t="shared" ref="AT7:AY7" si="16">AVERAGE(AT16:AT1015)</f>
        <v>2022228.0816165195</v>
      </c>
      <c r="AU7" s="370">
        <f t="shared" si="16"/>
        <v>2047210.5773135424</v>
      </c>
      <c r="AV7" s="370">
        <f t="shared" si="16"/>
        <v>2070599.1239729906</v>
      </c>
      <c r="AW7" s="370">
        <f t="shared" si="16"/>
        <v>2092336.5340677644</v>
      </c>
      <c r="AX7" s="370">
        <f t="shared" si="16"/>
        <v>2112365.7594165811</v>
      </c>
      <c r="AY7" s="370">
        <f t="shared" si="16"/>
        <v>10344740.076387389</v>
      </c>
      <c r="AZ7" s="365"/>
      <c r="BA7" s="365"/>
      <c r="BB7" s="365"/>
      <c r="BC7" s="365"/>
      <c r="BD7" s="365"/>
      <c r="BE7" s="365"/>
      <c r="BF7" s="366"/>
      <c r="BG7" s="359"/>
    </row>
    <row r="8" spans="1:134" ht="18">
      <c r="A8" s="326"/>
      <c r="B8" s="344"/>
      <c r="C8" s="371"/>
      <c r="D8" s="371"/>
      <c r="E8" s="371"/>
      <c r="F8" s="371"/>
      <c r="G8" s="371"/>
      <c r="H8" s="371"/>
      <c r="I8" s="365"/>
      <c r="J8" s="371"/>
      <c r="K8" s="371"/>
      <c r="L8" s="371"/>
      <c r="M8" s="371"/>
      <c r="N8" s="371"/>
      <c r="O8" s="371"/>
      <c r="P8" s="365"/>
      <c r="Q8" s="372">
        <v>0</v>
      </c>
      <c r="R8" s="372">
        <v>0</v>
      </c>
      <c r="S8" s="372">
        <v>0</v>
      </c>
      <c r="T8" s="372">
        <v>0</v>
      </c>
      <c r="U8" s="372">
        <v>0</v>
      </c>
      <c r="V8" s="372">
        <v>0</v>
      </c>
      <c r="W8" s="365"/>
      <c r="X8" s="365"/>
      <c r="Y8" s="365"/>
      <c r="Z8" s="365"/>
      <c r="AA8" s="365"/>
      <c r="AB8" s="365"/>
      <c r="AC8" s="366"/>
      <c r="AD8" s="367"/>
      <c r="AE8" s="344"/>
      <c r="AF8" s="371"/>
      <c r="AG8" s="371"/>
      <c r="AH8" s="371"/>
      <c r="AI8" s="371"/>
      <c r="AJ8" s="371"/>
      <c r="AK8" s="371"/>
      <c r="AL8" s="365"/>
      <c r="AM8" s="371"/>
      <c r="AN8" s="371"/>
      <c r="AO8" s="371"/>
      <c r="AP8" s="371"/>
      <c r="AQ8" s="371"/>
      <c r="AR8" s="371"/>
      <c r="AS8" s="365"/>
      <c r="AT8" s="372">
        <v>0</v>
      </c>
      <c r="AU8" s="372">
        <v>0</v>
      </c>
      <c r="AV8" s="372">
        <v>0</v>
      </c>
      <c r="AW8" s="372">
        <v>0</v>
      </c>
      <c r="AX8" s="372">
        <v>0</v>
      </c>
      <c r="AY8" s="372">
        <v>0</v>
      </c>
      <c r="AZ8" s="365"/>
      <c r="BA8" s="365"/>
      <c r="BB8" s="365"/>
      <c r="BC8" s="365"/>
      <c r="BD8" s="365"/>
      <c r="BE8" s="365"/>
      <c r="BF8" s="366"/>
      <c r="BG8" s="359"/>
    </row>
    <row r="9" spans="1:134" ht="18">
      <c r="A9" s="326"/>
      <c r="B9" s="344"/>
      <c r="C9" s="371"/>
      <c r="D9" s="371"/>
      <c r="E9" s="371"/>
      <c r="F9" s="371"/>
      <c r="G9" s="371"/>
      <c r="H9" s="371"/>
      <c r="I9" s="365"/>
      <c r="J9" s="371"/>
      <c r="K9" s="371"/>
      <c r="L9" s="371"/>
      <c r="M9" s="371"/>
      <c r="N9" s="371"/>
      <c r="O9" s="371"/>
      <c r="P9" s="365"/>
      <c r="Q9" s="370">
        <f t="shared" ref="Q9:V9" si="17">MIN(Q16:Q1015)</f>
        <v>699378.98472457193</v>
      </c>
      <c r="R9" s="370">
        <f t="shared" si="17"/>
        <v>708019.07465077878</v>
      </c>
      <c r="S9" s="370">
        <f t="shared" si="17"/>
        <v>716107.90407885914</v>
      </c>
      <c r="T9" s="370">
        <f t="shared" si="17"/>
        <v>723625.69494568789</v>
      </c>
      <c r="U9" s="370">
        <f t="shared" si="17"/>
        <v>730552.71738030948</v>
      </c>
      <c r="V9" s="370">
        <f t="shared" si="17"/>
        <v>3577684.3757802062</v>
      </c>
      <c r="W9" s="365"/>
      <c r="X9" s="365"/>
      <c r="Y9" s="365"/>
      <c r="Z9" s="365"/>
      <c r="AA9" s="365"/>
      <c r="AB9" s="365"/>
      <c r="AC9" s="366"/>
      <c r="AD9" s="367"/>
      <c r="AE9" s="344"/>
      <c r="AF9" s="371"/>
      <c r="AG9" s="371"/>
      <c r="AH9" s="371"/>
      <c r="AI9" s="371"/>
      <c r="AJ9" s="371"/>
      <c r="AK9" s="371"/>
      <c r="AL9" s="365"/>
      <c r="AM9" s="371"/>
      <c r="AN9" s="371"/>
      <c r="AO9" s="371"/>
      <c r="AP9" s="371"/>
      <c r="AQ9" s="371"/>
      <c r="AR9" s="371"/>
      <c r="AS9" s="365"/>
      <c r="AT9" s="370">
        <f t="shared" ref="AT9:AY9" si="18">MIN(AT16:AT1015)</f>
        <v>929382.22348922398</v>
      </c>
      <c r="AU9" s="370">
        <f t="shared" si="18"/>
        <v>940863.76091335446</v>
      </c>
      <c r="AV9" s="370">
        <f t="shared" si="18"/>
        <v>951612.74600368412</v>
      </c>
      <c r="AW9" s="370">
        <f t="shared" si="18"/>
        <v>961602.89632868103</v>
      </c>
      <c r="AX9" s="370">
        <f t="shared" si="18"/>
        <v>970807.99349782302</v>
      </c>
      <c r="AY9" s="370">
        <f t="shared" si="18"/>
        <v>4754269.6202327674</v>
      </c>
      <c r="AZ9" s="365"/>
      <c r="BA9" s="365"/>
      <c r="BB9" s="365"/>
      <c r="BC9" s="365"/>
      <c r="BD9" s="365"/>
      <c r="BE9" s="365"/>
      <c r="BF9" s="366"/>
      <c r="BG9" s="359"/>
    </row>
    <row r="10" spans="1:134" ht="18">
      <c r="A10" s="326"/>
      <c r="B10" s="344"/>
      <c r="C10" s="371"/>
      <c r="D10" s="371"/>
      <c r="E10" s="371"/>
      <c r="F10" s="371"/>
      <c r="G10" s="371"/>
      <c r="H10" s="371"/>
      <c r="I10" s="365"/>
      <c r="J10" s="371"/>
      <c r="K10" s="371"/>
      <c r="L10" s="371"/>
      <c r="M10" s="371"/>
      <c r="N10" s="371"/>
      <c r="O10" s="371"/>
      <c r="P10" s="365"/>
      <c r="Q10" s="370">
        <f t="shared" ref="Q10:V10" si="19">MAX(Q16:Q1015)</f>
        <v>4431138.166954563</v>
      </c>
      <c r="R10" s="370">
        <f t="shared" si="19"/>
        <v>4485880.2067843974</v>
      </c>
      <c r="S10" s="370">
        <f t="shared" si="19"/>
        <v>4537129.5602645632</v>
      </c>
      <c r="T10" s="370">
        <f t="shared" si="19"/>
        <v>4584760.917180893</v>
      </c>
      <c r="U10" s="370">
        <f t="shared" si="19"/>
        <v>4628649.2726559704</v>
      </c>
      <c r="V10" s="370">
        <f t="shared" si="19"/>
        <v>22667558.12384038</v>
      </c>
      <c r="W10" s="365"/>
      <c r="X10" s="365"/>
      <c r="Y10" s="365"/>
      <c r="Z10" s="365"/>
      <c r="AA10" s="365"/>
      <c r="AB10" s="365"/>
      <c r="AC10" s="366"/>
      <c r="AD10" s="367"/>
      <c r="AE10" s="344"/>
      <c r="AF10" s="371"/>
      <c r="AG10" s="371"/>
      <c r="AH10" s="371"/>
      <c r="AI10" s="371"/>
      <c r="AJ10" s="371"/>
      <c r="AK10" s="371"/>
      <c r="AL10" s="365"/>
      <c r="AM10" s="371"/>
      <c r="AN10" s="371"/>
      <c r="AO10" s="371"/>
      <c r="AP10" s="371"/>
      <c r="AQ10" s="371"/>
      <c r="AR10" s="371"/>
      <c r="AS10" s="365"/>
      <c r="AT10" s="370">
        <f t="shared" ref="AT10:AY10" si="20">MAX(AT16:AT1015)</f>
        <v>3781692.6539743468</v>
      </c>
      <c r="AU10" s="370">
        <f t="shared" si="20"/>
        <v>3828411.4792711739</v>
      </c>
      <c r="AV10" s="370">
        <f t="shared" si="20"/>
        <v>3872149.5204413231</v>
      </c>
      <c r="AW10" s="370">
        <f t="shared" si="20"/>
        <v>3912799.8332419097</v>
      </c>
      <c r="AX10" s="370">
        <f t="shared" si="20"/>
        <v>3950255.7340154089</v>
      </c>
      <c r="AY10" s="370">
        <f t="shared" si="20"/>
        <v>19345309.220944166</v>
      </c>
      <c r="AZ10" s="365"/>
      <c r="BA10" s="365"/>
      <c r="BB10" s="365"/>
      <c r="BC10" s="365"/>
      <c r="BD10" s="365"/>
      <c r="BE10" s="365"/>
      <c r="BF10" s="366"/>
      <c r="BG10" s="359"/>
    </row>
    <row r="11" spans="1:134" ht="18">
      <c r="A11" s="326"/>
      <c r="B11" s="344"/>
      <c r="C11" s="371"/>
      <c r="D11" s="371"/>
      <c r="E11" s="371"/>
      <c r="F11" s="371"/>
      <c r="G11" s="371"/>
      <c r="H11" s="371"/>
      <c r="I11" s="365"/>
      <c r="J11" s="371"/>
      <c r="K11" s="371"/>
      <c r="L11" s="371"/>
      <c r="M11" s="371"/>
      <c r="N11" s="371"/>
      <c r="O11" s="371"/>
      <c r="P11" s="362" t="s">
        <v>323</v>
      </c>
      <c r="Q11" s="357">
        <f t="shared" ref="Q11:V11" si="21">SUM(X16:X1015)/1000</f>
        <v>0</v>
      </c>
      <c r="R11" s="357">
        <f t="shared" si="21"/>
        <v>0</v>
      </c>
      <c r="S11" s="357">
        <f t="shared" si="21"/>
        <v>0</v>
      </c>
      <c r="T11" s="357">
        <f t="shared" si="21"/>
        <v>0</v>
      </c>
      <c r="U11" s="357">
        <f t="shared" si="21"/>
        <v>0</v>
      </c>
      <c r="V11" s="357">
        <f t="shared" si="21"/>
        <v>0</v>
      </c>
      <c r="W11" s="365"/>
      <c r="X11" s="365"/>
      <c r="Y11" s="365"/>
      <c r="Z11" s="365"/>
      <c r="AA11" s="365"/>
      <c r="AB11" s="365"/>
      <c r="AC11" s="366"/>
      <c r="AD11" s="367"/>
      <c r="AE11" s="344"/>
      <c r="AF11" s="371"/>
      <c r="AG11" s="371"/>
      <c r="AH11" s="371"/>
      <c r="AI11" s="371"/>
      <c r="AJ11" s="371"/>
      <c r="AK11" s="371"/>
      <c r="AL11" s="365"/>
      <c r="AM11" s="371"/>
      <c r="AN11" s="371"/>
      <c r="AO11" s="371"/>
      <c r="AP11" s="371"/>
      <c r="AQ11" s="371"/>
      <c r="AR11" s="371"/>
      <c r="AS11" s="362" t="s">
        <v>323</v>
      </c>
      <c r="AT11" s="357">
        <f t="shared" ref="AT11:AY11" si="22">SUM(BA16:BA1015)/1000</f>
        <v>0</v>
      </c>
      <c r="AU11" s="357">
        <f t="shared" si="22"/>
        <v>0</v>
      </c>
      <c r="AV11" s="357">
        <f t="shared" si="22"/>
        <v>0</v>
      </c>
      <c r="AW11" s="357">
        <f t="shared" si="22"/>
        <v>0</v>
      </c>
      <c r="AX11" s="357">
        <f t="shared" si="22"/>
        <v>0</v>
      </c>
      <c r="AY11" s="357">
        <f t="shared" si="22"/>
        <v>0</v>
      </c>
      <c r="AZ11" s="365"/>
      <c r="BA11" s="365"/>
      <c r="BB11" s="365"/>
      <c r="BC11" s="365"/>
      <c r="BD11" s="365"/>
      <c r="BE11" s="365"/>
      <c r="BF11" s="366"/>
      <c r="BG11" s="359"/>
    </row>
    <row r="12" spans="1:134" ht="18">
      <c r="A12" s="326"/>
      <c r="B12" s="344"/>
      <c r="C12" s="371"/>
      <c r="D12" s="371"/>
      <c r="E12" s="371"/>
      <c r="F12" s="371"/>
      <c r="G12" s="371"/>
      <c r="H12" s="371"/>
      <c r="I12" s="365"/>
      <c r="J12" s="371"/>
      <c r="K12" s="371"/>
      <c r="L12" s="371"/>
      <c r="M12" s="371"/>
      <c r="N12" s="371"/>
      <c r="O12" s="371"/>
      <c r="P12" s="362" t="s">
        <v>328</v>
      </c>
      <c r="Q12" s="370">
        <f>_xlfn.STDEV.P(Q16:Q1015)*(-1.96)+Q7</f>
        <v>1103465.3331297887</v>
      </c>
      <c r="R12" s="370">
        <f t="shared" ref="R12:V12" si="23">_xlfn.STDEV.P(R16:R1015)*(-1.96)+R7</f>
        <v>1117097.4838190661</v>
      </c>
      <c r="S12" s="370">
        <f t="shared" si="23"/>
        <v>1129859.8673828728</v>
      </c>
      <c r="T12" s="370">
        <f t="shared" si="23"/>
        <v>1141721.2784124231</v>
      </c>
      <c r="U12" s="370">
        <f t="shared" si="23"/>
        <v>1152650.5875357694</v>
      </c>
      <c r="V12" s="370">
        <f t="shared" si="23"/>
        <v>5644794.5502798175</v>
      </c>
      <c r="W12" s="365"/>
      <c r="X12" s="365"/>
      <c r="Y12" s="365"/>
      <c r="Z12" s="365"/>
      <c r="AA12" s="365"/>
      <c r="AB12" s="365"/>
      <c r="AC12" s="366"/>
      <c r="AD12" s="367"/>
      <c r="AE12" s="344"/>
      <c r="AF12" s="371"/>
      <c r="AG12" s="371"/>
      <c r="AH12" s="371"/>
      <c r="AI12" s="371"/>
      <c r="AJ12" s="371"/>
      <c r="AK12" s="371"/>
      <c r="AL12" s="365"/>
      <c r="AM12" s="371"/>
      <c r="AN12" s="371"/>
      <c r="AO12" s="371"/>
      <c r="AP12" s="371"/>
      <c r="AQ12" s="371"/>
      <c r="AR12" s="371"/>
      <c r="AS12" s="362" t="s">
        <v>328</v>
      </c>
      <c r="AT12" s="370">
        <f t="shared" ref="AT12:AY12" si="24">_xlfn.STDEV.P(AT16:AT1015)*(-1.96)+AT7</f>
        <v>1126719.1747734426</v>
      </c>
      <c r="AU12" s="370">
        <f t="shared" si="24"/>
        <v>1140638.6021572207</v>
      </c>
      <c r="AV12" s="370">
        <f t="shared" si="24"/>
        <v>1153669.9334055609</v>
      </c>
      <c r="AW12" s="370">
        <f t="shared" si="24"/>
        <v>1165781.305503685</v>
      </c>
      <c r="AX12" s="370">
        <f t="shared" si="24"/>
        <v>1176940.9330756159</v>
      </c>
      <c r="AY12" s="370">
        <f t="shared" si="24"/>
        <v>5763749.94891534</v>
      </c>
      <c r="AZ12" s="365"/>
      <c r="BA12" s="365"/>
      <c r="BB12" s="365"/>
      <c r="BC12" s="365"/>
      <c r="BD12" s="365"/>
      <c r="BE12" s="365"/>
      <c r="BF12" s="366"/>
      <c r="BG12" s="359"/>
    </row>
    <row r="13" spans="1:134" ht="18">
      <c r="A13" s="326"/>
      <c r="B13" s="344"/>
      <c r="C13" s="371"/>
      <c r="D13" s="371"/>
      <c r="E13" s="371"/>
      <c r="F13" s="371"/>
      <c r="G13" s="371"/>
      <c r="H13" s="371"/>
      <c r="I13" s="365"/>
      <c r="J13" s="371"/>
      <c r="K13" s="349"/>
      <c r="L13" s="349"/>
      <c r="M13" s="349"/>
      <c r="N13" s="349"/>
      <c r="O13" s="349"/>
      <c r="P13" s="362" t="s">
        <v>329</v>
      </c>
      <c r="Q13" s="370">
        <f t="shared" ref="Q13:V13" si="25">(_xlfn.STDEV.P(Q16:Q1015)*(1.96)+Q7)</f>
        <v>2948119.7774971197</v>
      </c>
      <c r="R13" s="370">
        <f t="shared" si="25"/>
        <v>2984540.688830127</v>
      </c>
      <c r="S13" s="370">
        <f t="shared" si="25"/>
        <v>3018637.8500753799</v>
      </c>
      <c r="T13" s="370">
        <f t="shared" si="25"/>
        <v>3050327.8899846193</v>
      </c>
      <c r="U13" s="370">
        <f t="shared" si="25"/>
        <v>3079527.6404556781</v>
      </c>
      <c r="V13" s="370">
        <f t="shared" si="25"/>
        <v>15081153.846843012</v>
      </c>
      <c r="W13" s="349"/>
      <c r="X13" s="365"/>
      <c r="Y13" s="365"/>
      <c r="Z13" s="365"/>
      <c r="AA13" s="365"/>
      <c r="AB13" s="365"/>
      <c r="AC13" s="366"/>
      <c r="AD13" s="367"/>
      <c r="AE13" s="344"/>
      <c r="AF13" s="371"/>
      <c r="AG13" s="371"/>
      <c r="AH13" s="371"/>
      <c r="AI13" s="371"/>
      <c r="AJ13" s="371"/>
      <c r="AK13" s="371"/>
      <c r="AL13" s="365"/>
      <c r="AM13" s="371"/>
      <c r="AN13" s="371"/>
      <c r="AO13" s="371"/>
      <c r="AP13" s="371"/>
      <c r="AQ13" s="371"/>
      <c r="AR13" s="371"/>
      <c r="AS13" s="362" t="s">
        <v>329</v>
      </c>
      <c r="AT13" s="370">
        <f t="shared" ref="AT13:AY13" si="26">(_xlfn.STDEV.P(AT16:AT1015)*(1.96)+AT7)</f>
        <v>2917736.9884595964</v>
      </c>
      <c r="AU13" s="370">
        <f t="shared" si="26"/>
        <v>2953782.552469864</v>
      </c>
      <c r="AV13" s="370">
        <f t="shared" si="26"/>
        <v>2987528.3145404202</v>
      </c>
      <c r="AW13" s="370">
        <f t="shared" si="26"/>
        <v>3018891.7626318438</v>
      </c>
      <c r="AX13" s="370">
        <f t="shared" si="26"/>
        <v>3047790.5857575461</v>
      </c>
      <c r="AY13" s="370">
        <f t="shared" si="26"/>
        <v>14925730.203859437</v>
      </c>
      <c r="AZ13" s="365"/>
      <c r="BA13" s="365"/>
      <c r="BB13" s="365"/>
      <c r="BC13" s="365"/>
      <c r="BD13" s="365"/>
      <c r="BE13" s="365"/>
      <c r="BF13" s="366"/>
      <c r="BG13" s="359"/>
    </row>
    <row r="14" spans="1:134" ht="18.600000000000001" thickBot="1">
      <c r="A14" s="326"/>
      <c r="B14" s="352"/>
      <c r="C14" s="373"/>
      <c r="D14" s="373"/>
      <c r="E14" s="373"/>
      <c r="F14" s="373"/>
      <c r="G14" s="373"/>
      <c r="H14" s="373"/>
      <c r="I14" s="374"/>
      <c r="J14" s="373"/>
      <c r="K14" s="373"/>
      <c r="L14" s="373"/>
      <c r="M14" s="373"/>
      <c r="N14" s="373"/>
      <c r="O14" s="373"/>
      <c r="P14" s="374"/>
      <c r="Q14" s="374"/>
      <c r="R14" s="374"/>
      <c r="S14" s="374"/>
      <c r="T14" s="374"/>
      <c r="U14" s="374"/>
      <c r="V14" s="374"/>
      <c r="W14" s="374"/>
      <c r="X14" s="374"/>
      <c r="Y14" s="374"/>
      <c r="Z14" s="374"/>
      <c r="AA14" s="374"/>
      <c r="AB14" s="374"/>
      <c r="AC14" s="375"/>
      <c r="AD14" s="376"/>
      <c r="AE14" s="352"/>
      <c r="AF14" s="373"/>
      <c r="AG14" s="373"/>
      <c r="AH14" s="373"/>
      <c r="AI14" s="373"/>
      <c r="AJ14" s="373"/>
      <c r="AK14" s="373"/>
      <c r="AL14" s="374"/>
      <c r="AM14" s="373"/>
      <c r="AN14" s="373"/>
      <c r="AO14" s="373"/>
      <c r="AP14" s="373"/>
      <c r="AQ14" s="373"/>
      <c r="AR14" s="373"/>
      <c r="AS14" s="374"/>
      <c r="AT14" s="374"/>
      <c r="AU14" s="374"/>
      <c r="AV14" s="374"/>
      <c r="AW14" s="374"/>
      <c r="AX14" s="374"/>
      <c r="AY14" s="374"/>
      <c r="AZ14" s="374"/>
      <c r="BA14" s="374"/>
      <c r="BB14" s="374"/>
      <c r="BC14" s="374"/>
      <c r="BD14" s="374"/>
      <c r="BE14" s="374"/>
      <c r="BF14" s="375"/>
      <c r="BG14" s="328"/>
    </row>
    <row r="15" spans="1:134" ht="18">
      <c r="A15" s="326"/>
      <c r="B15" s="332"/>
      <c r="C15" s="371"/>
      <c r="D15" s="371"/>
      <c r="E15" s="371"/>
      <c r="F15" s="371"/>
      <c r="G15" s="371"/>
      <c r="H15" s="371"/>
      <c r="I15" s="365"/>
      <c r="J15" s="371"/>
      <c r="K15" s="371"/>
      <c r="L15" s="371"/>
      <c r="M15" s="371"/>
      <c r="N15" s="371"/>
      <c r="O15" s="371"/>
      <c r="P15" s="365"/>
      <c r="Q15" s="365"/>
      <c r="R15" s="365"/>
      <c r="S15" s="365"/>
      <c r="T15" s="365"/>
      <c r="U15" s="365"/>
      <c r="V15" s="365"/>
      <c r="W15" s="365"/>
      <c r="X15" s="365"/>
      <c r="Y15" s="365"/>
      <c r="Z15" s="365"/>
      <c r="AA15" s="365"/>
      <c r="AB15" s="365"/>
      <c r="AC15" s="365"/>
      <c r="AD15" s="376"/>
      <c r="AE15" s="332"/>
      <c r="AF15" s="371"/>
      <c r="AG15" s="371"/>
      <c r="AH15" s="371"/>
      <c r="AI15" s="371"/>
      <c r="AJ15" s="371"/>
      <c r="AK15" s="371"/>
      <c r="AL15" s="365"/>
      <c r="AM15" s="371"/>
      <c r="AN15" s="371"/>
      <c r="AO15" s="371"/>
      <c r="AP15" s="371"/>
      <c r="AQ15" s="371"/>
      <c r="AR15" s="371"/>
      <c r="AS15" s="365"/>
      <c r="AT15" s="365"/>
      <c r="AU15" s="365"/>
      <c r="AV15" s="365"/>
      <c r="AW15" s="365"/>
      <c r="AX15" s="365"/>
      <c r="AY15" s="365"/>
      <c r="AZ15" s="365"/>
      <c r="BA15" s="365"/>
      <c r="BB15" s="365"/>
      <c r="BC15" s="365"/>
      <c r="BD15" s="365"/>
      <c r="BE15" s="365"/>
      <c r="BF15" s="365"/>
      <c r="BG15" s="328"/>
    </row>
    <row r="16" spans="1:134" ht="18">
      <c r="A16" s="326"/>
      <c r="B16" s="332">
        <v>1</v>
      </c>
      <c r="C16" s="348">
        <v>4999143.3566780752</v>
      </c>
      <c r="D16" s="348">
        <v>30879.572520125315</v>
      </c>
      <c r="E16" s="348">
        <v>29566.10713764008</v>
      </c>
      <c r="F16" s="348">
        <v>28217.29848097276</v>
      </c>
      <c r="G16" s="348">
        <v>26833.215445390957</v>
      </c>
      <c r="H16" s="348">
        <v>5114639.5502622044</v>
      </c>
      <c r="I16" s="349"/>
      <c r="J16" s="350">
        <v>7560703.8937020777</v>
      </c>
      <c r="K16" s="350">
        <v>2624085.4890518226</v>
      </c>
      <c r="L16" s="350">
        <v>2652398.3446001098</v>
      </c>
      <c r="M16" s="350">
        <v>2678584.3587372052</v>
      </c>
      <c r="N16" s="350">
        <v>2702571.3373079249</v>
      </c>
      <c r="O16" s="348">
        <v>18218343.423399143</v>
      </c>
      <c r="P16" s="369"/>
      <c r="Q16" s="350">
        <f>J16-C16</f>
        <v>2561560.5370240025</v>
      </c>
      <c r="R16" s="350">
        <f t="shared" ref="R16:V16" si="27">K16-D16</f>
        <v>2593205.9165316974</v>
      </c>
      <c r="S16" s="350">
        <f t="shared" si="27"/>
        <v>2622832.2374624698</v>
      </c>
      <c r="T16" s="350">
        <f t="shared" si="27"/>
        <v>2650367.0602562325</v>
      </c>
      <c r="U16" s="350">
        <f t="shared" si="27"/>
        <v>2675738.121862534</v>
      </c>
      <c r="V16" s="350">
        <f t="shared" si="27"/>
        <v>13103703.873136938</v>
      </c>
      <c r="W16" s="365"/>
      <c r="X16" s="377">
        <f t="shared" ref="X16:X79" si="28">IF(Q16&lt;Q$8,1,0)</f>
        <v>0</v>
      </c>
      <c r="Y16" s="377">
        <f t="shared" ref="Y16:Y79" si="29">IF(R16&lt;R$8,1,0)</f>
        <v>0</v>
      </c>
      <c r="Z16" s="377">
        <f t="shared" ref="Z16:Z79" si="30">IF(S16&lt;S$8,1,0)</f>
        <v>0</v>
      </c>
      <c r="AA16" s="377">
        <f t="shared" ref="AA16:AA79" si="31">IF(T16&lt;T$8,1,0)</f>
        <v>0</v>
      </c>
      <c r="AB16" s="377">
        <f t="shared" ref="AB16:AB79" si="32">IF(U16&lt;U$8,1,0)</f>
        <v>0</v>
      </c>
      <c r="AC16" s="377">
        <f t="shared" ref="AC16:AC79" si="33">IF(V16&lt;V$8,1,0)</f>
        <v>0</v>
      </c>
      <c r="AD16" s="376"/>
      <c r="AE16" s="332">
        <v>1</v>
      </c>
      <c r="AF16" s="348">
        <v>5319001.9207262909</v>
      </c>
      <c r="AG16" s="348">
        <v>32855.330168986286</v>
      </c>
      <c r="AH16" s="348">
        <v>31457.825757972834</v>
      </c>
      <c r="AI16" s="348">
        <v>30022.716715554525</v>
      </c>
      <c r="AJ16" s="348">
        <v>28550.076345108668</v>
      </c>
      <c r="AK16" s="348">
        <v>5441887.8697139136</v>
      </c>
      <c r="AL16" s="349"/>
      <c r="AM16" s="350">
        <v>6828680.7246990278</v>
      </c>
      <c r="AN16" s="350">
        <v>1561184.6239489801</v>
      </c>
      <c r="AO16" s="350">
        <v>1577247.6589640011</v>
      </c>
      <c r="AP16" s="350">
        <v>1592040.446058355</v>
      </c>
      <c r="AQ16" s="350">
        <v>1605520.4696549429</v>
      </c>
      <c r="AR16" s="348">
        <v>13164673.923325308</v>
      </c>
      <c r="AS16" s="369"/>
      <c r="AT16" s="350">
        <f>AM16-AF16</f>
        <v>1509678.8039727369</v>
      </c>
      <c r="AU16" s="350">
        <f t="shared" ref="AU16:AU79" si="34">AN16-AG16</f>
        <v>1528329.2937799939</v>
      </c>
      <c r="AV16" s="350">
        <f t="shared" ref="AV16:AV79" si="35">AO16-AH16</f>
        <v>1545789.8332060282</v>
      </c>
      <c r="AW16" s="350">
        <f t="shared" ref="AW16:AW79" si="36">AP16-AI16</f>
        <v>1562017.7293428006</v>
      </c>
      <c r="AX16" s="350">
        <f t="shared" ref="AX16:AX79" si="37">AQ16-AJ16</f>
        <v>1576970.3933098342</v>
      </c>
      <c r="AY16" s="350">
        <f t="shared" ref="AY16:AY79" si="38">AR16-AK16</f>
        <v>7722786.053611394</v>
      </c>
      <c r="AZ16" s="365"/>
      <c r="BA16" s="377">
        <f>IF(AT16&lt;AT$8,1,0)</f>
        <v>0</v>
      </c>
      <c r="BB16" s="377">
        <f t="shared" ref="BB16:BB79" si="39">IF(AU16&lt;AU$8,1,0)</f>
        <v>0</v>
      </c>
      <c r="BC16" s="377">
        <f t="shared" ref="BC16:BC79" si="40">IF(AV16&lt;AV$8,1,0)</f>
        <v>0</v>
      </c>
      <c r="BD16" s="377">
        <f t="shared" ref="BD16:BD79" si="41">IF(AW16&lt;AW$8,1,0)</f>
        <v>0</v>
      </c>
      <c r="BE16" s="377">
        <f t="shared" ref="BE16:BE79" si="42">IF(AX16&lt;AX$8,1,0)</f>
        <v>0</v>
      </c>
      <c r="BF16" s="377">
        <f t="shared" ref="BF16:BF79" si="43">IF(AY16&lt;AY$8,1,0)</f>
        <v>0</v>
      </c>
      <c r="BG16" s="328"/>
    </row>
    <row r="17" spans="2:59">
      <c r="B17" s="332">
        <v>2</v>
      </c>
      <c r="C17" s="350">
        <v>6907541.5944353445</v>
      </c>
      <c r="D17" s="350">
        <v>42667.696519686411</v>
      </c>
      <c r="E17" s="350">
        <v>40852.822227225079</v>
      </c>
      <c r="F17" s="350">
        <v>38989.112540559472</v>
      </c>
      <c r="G17" s="350">
        <v>37076.66265538954</v>
      </c>
      <c r="H17" s="348">
        <v>7067127.8883782057</v>
      </c>
      <c r="I17" s="369"/>
      <c r="J17" s="350">
        <v>8251403.3795601381</v>
      </c>
      <c r="K17" s="350">
        <v>1403131.4770224865</v>
      </c>
      <c r="L17" s="350">
        <v>1416859.3470678052</v>
      </c>
      <c r="M17" s="350">
        <v>1429441.1269871404</v>
      </c>
      <c r="N17" s="350">
        <v>1440839.0008862237</v>
      </c>
      <c r="O17" s="348">
        <v>13941674.331523795</v>
      </c>
      <c r="P17" s="369"/>
      <c r="Q17" s="350">
        <f t="shared" ref="Q17:Q80" si="44">J17-C17</f>
        <v>1343861.7851247936</v>
      </c>
      <c r="R17" s="350">
        <f t="shared" ref="R17:R80" si="45">K17-D17</f>
        <v>1360463.7805028001</v>
      </c>
      <c r="S17" s="350">
        <f t="shared" ref="S17:S80" si="46">L17-E17</f>
        <v>1376006.5248405801</v>
      </c>
      <c r="T17" s="350">
        <f t="shared" ref="T17:T80" si="47">M17-F17</f>
        <v>1390452.014446581</v>
      </c>
      <c r="U17" s="350">
        <f t="shared" ref="U17:U80" si="48">N17-G17</f>
        <v>1403762.3382308341</v>
      </c>
      <c r="V17" s="350">
        <f t="shared" ref="V17:V80" si="49">O17-H17</f>
        <v>6874546.443145589</v>
      </c>
      <c r="W17" s="365"/>
      <c r="X17" s="377">
        <f t="shared" si="28"/>
        <v>0</v>
      </c>
      <c r="Y17" s="377">
        <f t="shared" si="29"/>
        <v>0</v>
      </c>
      <c r="Z17" s="377">
        <f t="shared" si="30"/>
        <v>0</v>
      </c>
      <c r="AA17" s="377">
        <f t="shared" si="31"/>
        <v>0</v>
      </c>
      <c r="AB17" s="377">
        <f t="shared" si="32"/>
        <v>0</v>
      </c>
      <c r="AC17" s="377">
        <f t="shared" si="33"/>
        <v>0</v>
      </c>
      <c r="AD17" s="376"/>
      <c r="AE17" s="332">
        <v>2</v>
      </c>
      <c r="AF17" s="350">
        <v>5113464.6395544382</v>
      </c>
      <c r="AG17" s="350">
        <v>31585.731974516406</v>
      </c>
      <c r="AH17" s="350">
        <v>30242.230036400095</v>
      </c>
      <c r="AI17" s="350">
        <v>28862.576587938136</v>
      </c>
      <c r="AJ17" s="350">
        <v>27446.8420999097</v>
      </c>
      <c r="AK17" s="348">
        <v>5231602.0202532019</v>
      </c>
      <c r="AL17" s="369"/>
      <c r="AM17" s="350">
        <v>6458581.5803200472</v>
      </c>
      <c r="AN17" s="350">
        <v>1393320.174242632</v>
      </c>
      <c r="AO17" s="350">
        <v>1407533.9334352002</v>
      </c>
      <c r="AP17" s="350">
        <v>1420613.2615589234</v>
      </c>
      <c r="AQ17" s="350">
        <v>1432520.2825859755</v>
      </c>
      <c r="AR17" s="348">
        <v>12112569.232142778</v>
      </c>
      <c r="AS17" s="369"/>
      <c r="AT17" s="350">
        <f t="shared" ref="AT17:AT80" si="50">AM17-AF17</f>
        <v>1345116.940765609</v>
      </c>
      <c r="AU17" s="350">
        <f t="shared" si="34"/>
        <v>1361734.4422681157</v>
      </c>
      <c r="AV17" s="350">
        <f t="shared" si="35"/>
        <v>1377291.7033988002</v>
      </c>
      <c r="AW17" s="350">
        <f t="shared" si="36"/>
        <v>1391750.6849709852</v>
      </c>
      <c r="AX17" s="350">
        <f t="shared" si="37"/>
        <v>1405073.4404860658</v>
      </c>
      <c r="AY17" s="350">
        <f t="shared" si="38"/>
        <v>6880967.2118895762</v>
      </c>
      <c r="AZ17" s="365"/>
      <c r="BA17" s="377">
        <f t="shared" ref="BA17:BA79" si="51">IF(AT17&lt;AT$8,1,0)</f>
        <v>0</v>
      </c>
      <c r="BB17" s="377">
        <f t="shared" si="39"/>
        <v>0</v>
      </c>
      <c r="BC17" s="377">
        <f t="shared" si="40"/>
        <v>0</v>
      </c>
      <c r="BD17" s="377">
        <f t="shared" si="41"/>
        <v>0</v>
      </c>
      <c r="BE17" s="377">
        <f t="shared" si="42"/>
        <v>0</v>
      </c>
      <c r="BF17" s="377">
        <f t="shared" si="43"/>
        <v>0</v>
      </c>
      <c r="BG17" s="328"/>
    </row>
    <row r="18" spans="2:59">
      <c r="B18" s="332">
        <v>3</v>
      </c>
      <c r="C18" s="350">
        <v>5412438.1447278718</v>
      </c>
      <c r="D18" s="350">
        <v>33432.483182853488</v>
      </c>
      <c r="E18" s="350">
        <v>32010.429516710999</v>
      </c>
      <c r="F18" s="350">
        <v>30550.110637569142</v>
      </c>
      <c r="G18" s="350">
        <v>29051.601136488916</v>
      </c>
      <c r="H18" s="348">
        <v>5537482.7692014938</v>
      </c>
      <c r="I18" s="369"/>
      <c r="J18" s="350">
        <v>7381051.6968358224</v>
      </c>
      <c r="K18" s="350">
        <v>2026366.1800072826</v>
      </c>
      <c r="L18" s="350">
        <v>2047712.5817574537</v>
      </c>
      <c r="M18" s="350">
        <v>2067413.357657538</v>
      </c>
      <c r="N18" s="350">
        <v>2085413.0466130762</v>
      </c>
      <c r="O18" s="348">
        <v>15607956.862871176</v>
      </c>
      <c r="P18" s="369"/>
      <c r="Q18" s="350">
        <f t="shared" si="44"/>
        <v>1968613.5521079507</v>
      </c>
      <c r="R18" s="350">
        <f t="shared" si="45"/>
        <v>1992933.6968244291</v>
      </c>
      <c r="S18" s="350">
        <f t="shared" si="46"/>
        <v>2015702.1522407427</v>
      </c>
      <c r="T18" s="350">
        <f t="shared" si="47"/>
        <v>2036863.2470199689</v>
      </c>
      <c r="U18" s="350">
        <f t="shared" si="48"/>
        <v>2056361.4454765874</v>
      </c>
      <c r="V18" s="350">
        <f t="shared" si="49"/>
        <v>10070474.093669683</v>
      </c>
      <c r="W18" s="365"/>
      <c r="X18" s="377">
        <f t="shared" si="28"/>
        <v>0</v>
      </c>
      <c r="Y18" s="377">
        <f t="shared" si="29"/>
        <v>0</v>
      </c>
      <c r="Z18" s="377">
        <f t="shared" si="30"/>
        <v>0</v>
      </c>
      <c r="AA18" s="377">
        <f t="shared" si="31"/>
        <v>0</v>
      </c>
      <c r="AB18" s="377">
        <f t="shared" si="32"/>
        <v>0</v>
      </c>
      <c r="AC18" s="377">
        <f t="shared" si="33"/>
        <v>0</v>
      </c>
      <c r="AD18" s="376"/>
      <c r="AE18" s="332">
        <v>3</v>
      </c>
      <c r="AF18" s="350">
        <v>6093528.8437280878</v>
      </c>
      <c r="AG18" s="350">
        <v>37639.561902544418</v>
      </c>
      <c r="AH18" s="350">
        <v>36038.559766304315</v>
      </c>
      <c r="AI18" s="350">
        <v>34394.477197017266</v>
      </c>
      <c r="AJ18" s="350">
        <v>32707.398172137753</v>
      </c>
      <c r="AK18" s="348">
        <v>6234308.8407660918</v>
      </c>
      <c r="AL18" s="369"/>
      <c r="AM18" s="350">
        <v>7924147.6880232133</v>
      </c>
      <c r="AN18" s="350">
        <v>1890873.7718017024</v>
      </c>
      <c r="AO18" s="350">
        <v>1910445.2153676497</v>
      </c>
      <c r="AP18" s="350">
        <v>1928478.8896782161</v>
      </c>
      <c r="AQ18" s="350">
        <v>1944923.2359329576</v>
      </c>
      <c r="AR18" s="348">
        <v>15598868.800803738</v>
      </c>
      <c r="AS18" s="369"/>
      <c r="AT18" s="350">
        <f t="shared" si="50"/>
        <v>1830618.8442951255</v>
      </c>
      <c r="AU18" s="350">
        <f t="shared" si="34"/>
        <v>1853234.209899158</v>
      </c>
      <c r="AV18" s="350">
        <f t="shared" si="35"/>
        <v>1874406.6556013455</v>
      </c>
      <c r="AW18" s="350">
        <f t="shared" si="36"/>
        <v>1894084.4124811988</v>
      </c>
      <c r="AX18" s="350">
        <f t="shared" si="37"/>
        <v>1912215.8377608198</v>
      </c>
      <c r="AY18" s="350">
        <f t="shared" si="38"/>
        <v>9364559.960037645</v>
      </c>
      <c r="AZ18" s="365"/>
      <c r="BA18" s="377">
        <f t="shared" si="51"/>
        <v>0</v>
      </c>
      <c r="BB18" s="377">
        <f t="shared" si="39"/>
        <v>0</v>
      </c>
      <c r="BC18" s="377">
        <f t="shared" si="40"/>
        <v>0</v>
      </c>
      <c r="BD18" s="377">
        <f t="shared" si="41"/>
        <v>0</v>
      </c>
      <c r="BE18" s="377">
        <f t="shared" si="42"/>
        <v>0</v>
      </c>
      <c r="BF18" s="377">
        <f t="shared" si="43"/>
        <v>0</v>
      </c>
      <c r="BG18" s="328"/>
    </row>
    <row r="19" spans="2:59">
      <c r="B19" s="332">
        <v>4</v>
      </c>
      <c r="C19" s="350">
        <v>5365080.5701260604</v>
      </c>
      <c r="D19" s="350">
        <v>33139.956732828905</v>
      </c>
      <c r="E19" s="350">
        <v>31730.345705433239</v>
      </c>
      <c r="F19" s="350">
        <v>30282.804276752177</v>
      </c>
      <c r="G19" s="350">
        <v>28797.406385189752</v>
      </c>
      <c r="H19" s="348">
        <v>5489031.0832262645</v>
      </c>
      <c r="I19" s="369"/>
      <c r="J19" s="350">
        <v>7539549.6260345932</v>
      </c>
      <c r="K19" s="350">
        <v>2234472.2850518208</v>
      </c>
      <c r="L19" s="350">
        <v>2258211.9988884106</v>
      </c>
      <c r="M19" s="350">
        <v>2280138.3419569191</v>
      </c>
      <c r="N19" s="350">
        <v>2300190.0452117375</v>
      </c>
      <c r="O19" s="348">
        <v>16612562.297143482</v>
      </c>
      <c r="P19" s="369"/>
      <c r="Q19" s="350">
        <f t="shared" si="44"/>
        <v>2174469.0559085328</v>
      </c>
      <c r="R19" s="350">
        <f t="shared" si="45"/>
        <v>2201332.3283189917</v>
      </c>
      <c r="S19" s="350">
        <f t="shared" si="46"/>
        <v>2226481.6531829773</v>
      </c>
      <c r="T19" s="350">
        <f t="shared" si="47"/>
        <v>2249855.5376801668</v>
      </c>
      <c r="U19" s="350">
        <f t="shared" si="48"/>
        <v>2271392.6388265477</v>
      </c>
      <c r="V19" s="350">
        <f t="shared" si="49"/>
        <v>11123531.213917218</v>
      </c>
      <c r="W19" s="365"/>
      <c r="X19" s="377">
        <f t="shared" si="28"/>
        <v>0</v>
      </c>
      <c r="Y19" s="377">
        <f t="shared" si="29"/>
        <v>0</v>
      </c>
      <c r="Z19" s="377">
        <f t="shared" si="30"/>
        <v>0</v>
      </c>
      <c r="AA19" s="377">
        <f t="shared" si="31"/>
        <v>0</v>
      </c>
      <c r="AB19" s="377">
        <f t="shared" si="32"/>
        <v>0</v>
      </c>
      <c r="AC19" s="377">
        <f t="shared" si="33"/>
        <v>0</v>
      </c>
      <c r="AD19" s="376"/>
      <c r="AE19" s="332">
        <v>4</v>
      </c>
      <c r="AF19" s="350">
        <v>5166782.2132133003</v>
      </c>
      <c r="AG19" s="350">
        <v>31915.073176583577</v>
      </c>
      <c r="AH19" s="350">
        <v>30557.562680944924</v>
      </c>
      <c r="AI19" s="350">
        <v>29163.523726851945</v>
      </c>
      <c r="AJ19" s="350">
        <v>27733.027519877895</v>
      </c>
      <c r="AK19" s="348">
        <v>5286151.4003175581</v>
      </c>
      <c r="AL19" s="369"/>
      <c r="AM19" s="350">
        <v>7345934.1531276554</v>
      </c>
      <c r="AN19" s="350">
        <v>2237988.1375956256</v>
      </c>
      <c r="AO19" s="350">
        <v>2261834.1129421857</v>
      </c>
      <c r="AP19" s="350">
        <v>2283864.2959180307</v>
      </c>
      <c r="AQ19" s="350">
        <v>2304017.2826379524</v>
      </c>
      <c r="AR19" s="348">
        <v>16433637.982221449</v>
      </c>
      <c r="AS19" s="369"/>
      <c r="AT19" s="350">
        <f t="shared" si="50"/>
        <v>2179151.9399143551</v>
      </c>
      <c r="AU19" s="350">
        <f t="shared" si="34"/>
        <v>2206073.0644190419</v>
      </c>
      <c r="AV19" s="350">
        <f t="shared" si="35"/>
        <v>2231276.5502612409</v>
      </c>
      <c r="AW19" s="350">
        <f t="shared" si="36"/>
        <v>2254700.7721911785</v>
      </c>
      <c r="AX19" s="350">
        <f t="shared" si="37"/>
        <v>2276284.2551180744</v>
      </c>
      <c r="AY19" s="350">
        <f t="shared" si="38"/>
        <v>11147486.58190389</v>
      </c>
      <c r="AZ19" s="365"/>
      <c r="BA19" s="377">
        <f t="shared" si="51"/>
        <v>0</v>
      </c>
      <c r="BB19" s="377">
        <f t="shared" si="39"/>
        <v>0</v>
      </c>
      <c r="BC19" s="377">
        <f t="shared" si="40"/>
        <v>0</v>
      </c>
      <c r="BD19" s="377">
        <f t="shared" si="41"/>
        <v>0</v>
      </c>
      <c r="BE19" s="377">
        <f t="shared" si="42"/>
        <v>0</v>
      </c>
      <c r="BF19" s="377">
        <f t="shared" si="43"/>
        <v>0</v>
      </c>
      <c r="BG19" s="328"/>
    </row>
    <row r="20" spans="2:59">
      <c r="B20" s="332">
        <v>5</v>
      </c>
      <c r="C20" s="350">
        <v>9353966.1743663233</v>
      </c>
      <c r="D20" s="350">
        <v>57779.194598667949</v>
      </c>
      <c r="E20" s="350">
        <v>55321.551382146688</v>
      </c>
      <c r="F20" s="350">
        <v>52797.776877195131</v>
      </c>
      <c r="G20" s="350">
        <v>50207.999994716658</v>
      </c>
      <c r="H20" s="348">
        <v>9570072.6972190496</v>
      </c>
      <c r="I20" s="369"/>
      <c r="J20" s="350">
        <v>11378979.581946913</v>
      </c>
      <c r="K20" s="350">
        <v>2107809.507641701</v>
      </c>
      <c r="L20" s="350">
        <v>2128772.6254163692</v>
      </c>
      <c r="M20" s="350">
        <v>2148016.2011367222</v>
      </c>
      <c r="N20" s="350">
        <v>2165483.2369567882</v>
      </c>
      <c r="O20" s="348">
        <v>19929061.153098494</v>
      </c>
      <c r="P20" s="369"/>
      <c r="Q20" s="350">
        <f t="shared" si="44"/>
        <v>2025013.4075805899</v>
      </c>
      <c r="R20" s="350">
        <f t="shared" si="45"/>
        <v>2050030.313043033</v>
      </c>
      <c r="S20" s="350">
        <f t="shared" si="46"/>
        <v>2073451.0740342224</v>
      </c>
      <c r="T20" s="350">
        <f t="shared" si="47"/>
        <v>2095218.4242595271</v>
      </c>
      <c r="U20" s="350">
        <f t="shared" si="48"/>
        <v>2115275.2369620716</v>
      </c>
      <c r="V20" s="350">
        <f t="shared" si="49"/>
        <v>10358988.455879444</v>
      </c>
      <c r="W20" s="365"/>
      <c r="X20" s="377">
        <f t="shared" si="28"/>
        <v>0</v>
      </c>
      <c r="Y20" s="377">
        <f t="shared" si="29"/>
        <v>0</v>
      </c>
      <c r="Z20" s="377">
        <f t="shared" si="30"/>
        <v>0</v>
      </c>
      <c r="AA20" s="377">
        <f t="shared" si="31"/>
        <v>0</v>
      </c>
      <c r="AB20" s="377">
        <f t="shared" si="32"/>
        <v>0</v>
      </c>
      <c r="AC20" s="377">
        <f t="shared" si="33"/>
        <v>0</v>
      </c>
      <c r="AD20" s="376"/>
      <c r="AE20" s="332">
        <v>5</v>
      </c>
      <c r="AF20" s="350">
        <v>6432741.9469954558</v>
      </c>
      <c r="AG20" s="350">
        <v>39734.872013651868</v>
      </c>
      <c r="AH20" s="350">
        <v>38044.745674194484</v>
      </c>
      <c r="AI20" s="350">
        <v>36309.140710471307</v>
      </c>
      <c r="AJ20" s="350">
        <v>34528.14577476649</v>
      </c>
      <c r="AK20" s="348">
        <v>6581358.8511685403</v>
      </c>
      <c r="AL20" s="369"/>
      <c r="AM20" s="350">
        <v>8498713.6511083227</v>
      </c>
      <c r="AN20" s="350">
        <v>2131229.4781559054</v>
      </c>
      <c r="AO20" s="350">
        <v>2153433.8254606472</v>
      </c>
      <c r="AP20" s="350">
        <v>2173905.8411826207</v>
      </c>
      <c r="AQ20" s="350">
        <v>2192587.3317608526</v>
      </c>
      <c r="AR20" s="348">
        <v>17149870.127668347</v>
      </c>
      <c r="AS20" s="369"/>
      <c r="AT20" s="350">
        <f t="shared" si="50"/>
        <v>2065971.7041128669</v>
      </c>
      <c r="AU20" s="350">
        <f t="shared" si="34"/>
        <v>2091494.6061422536</v>
      </c>
      <c r="AV20" s="350">
        <f t="shared" si="35"/>
        <v>2115389.0797864529</v>
      </c>
      <c r="AW20" s="350">
        <f t="shared" si="36"/>
        <v>2137596.7004721495</v>
      </c>
      <c r="AX20" s="350">
        <f t="shared" si="37"/>
        <v>2158059.1859860863</v>
      </c>
      <c r="AY20" s="350">
        <f t="shared" si="38"/>
        <v>10568511.276499808</v>
      </c>
      <c r="AZ20" s="365"/>
      <c r="BA20" s="377">
        <f t="shared" si="51"/>
        <v>0</v>
      </c>
      <c r="BB20" s="377">
        <f t="shared" si="39"/>
        <v>0</v>
      </c>
      <c r="BC20" s="377">
        <f t="shared" si="40"/>
        <v>0</v>
      </c>
      <c r="BD20" s="377">
        <f t="shared" si="41"/>
        <v>0</v>
      </c>
      <c r="BE20" s="377">
        <f t="shared" si="42"/>
        <v>0</v>
      </c>
      <c r="BF20" s="377">
        <f t="shared" si="43"/>
        <v>0</v>
      </c>
      <c r="BG20" s="328"/>
    </row>
    <row r="21" spans="2:59">
      <c r="B21" s="332">
        <v>6</v>
      </c>
      <c r="C21" s="350">
        <v>6306395.0821430888</v>
      </c>
      <c r="D21" s="350">
        <v>38954.430866531249</v>
      </c>
      <c r="E21" s="350">
        <v>37297.500661159269</v>
      </c>
      <c r="F21" s="350">
        <v>35595.985086936256</v>
      </c>
      <c r="G21" s="350">
        <v>33849.971054910311</v>
      </c>
      <c r="H21" s="348">
        <v>6452092.969812626</v>
      </c>
      <c r="I21" s="369"/>
      <c r="J21" s="350">
        <v>8017374.5939781517</v>
      </c>
      <c r="K21" s="350">
        <v>1771071.2905016243</v>
      </c>
      <c r="L21" s="350">
        <v>1789203.0896239185</v>
      </c>
      <c r="M21" s="350">
        <v>1805893.2993207581</v>
      </c>
      <c r="N21" s="350">
        <v>1821093.7388175332</v>
      </c>
      <c r="O21" s="348">
        <v>15204636.012241986</v>
      </c>
      <c r="P21" s="369"/>
      <c r="Q21" s="350">
        <f t="shared" si="44"/>
        <v>1710979.5118350629</v>
      </c>
      <c r="R21" s="350">
        <f t="shared" si="45"/>
        <v>1732116.859635093</v>
      </c>
      <c r="S21" s="350">
        <f t="shared" si="46"/>
        <v>1751905.5889627594</v>
      </c>
      <c r="T21" s="350">
        <f t="shared" si="47"/>
        <v>1770297.3142338218</v>
      </c>
      <c r="U21" s="350">
        <f t="shared" si="48"/>
        <v>1787243.767762623</v>
      </c>
      <c r="V21" s="350">
        <f t="shared" si="49"/>
        <v>8752543.0424293596</v>
      </c>
      <c r="W21" s="365"/>
      <c r="X21" s="377">
        <f t="shared" si="28"/>
        <v>0</v>
      </c>
      <c r="Y21" s="377">
        <f t="shared" si="29"/>
        <v>0</v>
      </c>
      <c r="Z21" s="377">
        <f t="shared" si="30"/>
        <v>0</v>
      </c>
      <c r="AA21" s="377">
        <f t="shared" si="31"/>
        <v>0</v>
      </c>
      <c r="AB21" s="377">
        <f t="shared" si="32"/>
        <v>0</v>
      </c>
      <c r="AC21" s="377">
        <f t="shared" si="33"/>
        <v>0</v>
      </c>
      <c r="AD21" s="376"/>
      <c r="AE21" s="332">
        <v>6</v>
      </c>
      <c r="AF21" s="350">
        <v>5666779.8965825317</v>
      </c>
      <c r="AG21" s="350">
        <v>35003.545265081382</v>
      </c>
      <c r="AH21" s="350">
        <v>33514.666332576067</v>
      </c>
      <c r="AI21" s="350">
        <v>31985.724024945572</v>
      </c>
      <c r="AJ21" s="350">
        <v>30416.796438430643</v>
      </c>
      <c r="AK21" s="348">
        <v>5797700.6286435658</v>
      </c>
      <c r="AL21" s="369"/>
      <c r="AM21" s="350">
        <v>6751244.054052297</v>
      </c>
      <c r="AN21" s="350">
        <v>1132865.1139338377</v>
      </c>
      <c r="AO21" s="350">
        <v>1143918.8560726445</v>
      </c>
      <c r="AP21" s="350">
        <v>1154047.0766430825</v>
      </c>
      <c r="AQ21" s="350">
        <v>1163219.2604030732</v>
      </c>
      <c r="AR21" s="348">
        <v>11345294.361104935</v>
      </c>
      <c r="AS21" s="369"/>
      <c r="AT21" s="350">
        <f t="shared" si="50"/>
        <v>1084464.1574697653</v>
      </c>
      <c r="AU21" s="350">
        <f t="shared" si="34"/>
        <v>1097861.5686687564</v>
      </c>
      <c r="AV21" s="350">
        <f t="shared" si="35"/>
        <v>1110404.1897400685</v>
      </c>
      <c r="AW21" s="350">
        <f t="shared" si="36"/>
        <v>1122061.3526181369</v>
      </c>
      <c r="AX21" s="350">
        <f t="shared" si="37"/>
        <v>1132802.4639646425</v>
      </c>
      <c r="AY21" s="350">
        <f t="shared" si="38"/>
        <v>5547593.7324613696</v>
      </c>
      <c r="AZ21" s="365"/>
      <c r="BA21" s="377">
        <f t="shared" si="51"/>
        <v>0</v>
      </c>
      <c r="BB21" s="377">
        <f t="shared" si="39"/>
        <v>0</v>
      </c>
      <c r="BC21" s="377">
        <f t="shared" si="40"/>
        <v>0</v>
      </c>
      <c r="BD21" s="377">
        <f t="shared" si="41"/>
        <v>0</v>
      </c>
      <c r="BE21" s="377">
        <f t="shared" si="42"/>
        <v>0</v>
      </c>
      <c r="BF21" s="377">
        <f t="shared" si="43"/>
        <v>0</v>
      </c>
      <c r="BG21" s="328"/>
    </row>
    <row r="22" spans="2:59">
      <c r="B22" s="332">
        <v>7</v>
      </c>
      <c r="C22" s="350">
        <v>6480857.7380649038</v>
      </c>
      <c r="D22" s="350">
        <v>40032.081946169114</v>
      </c>
      <c r="E22" s="350">
        <v>38329.313755618976</v>
      </c>
      <c r="F22" s="350">
        <v>36580.726768597706</v>
      </c>
      <c r="G22" s="350">
        <v>34786.410300500989</v>
      </c>
      <c r="H22" s="348">
        <v>6630586.2708357908</v>
      </c>
      <c r="I22" s="369"/>
      <c r="J22" s="350">
        <v>8324482.2578932485</v>
      </c>
      <c r="K22" s="350">
        <v>1906432.6387864801</v>
      </c>
      <c r="L22" s="350">
        <v>1926052.7364469699</v>
      </c>
      <c r="M22" s="350">
        <v>1944121.707436024</v>
      </c>
      <c r="N22" s="350">
        <v>1960587.6313937923</v>
      </c>
      <c r="O22" s="348">
        <v>16061676.971956514</v>
      </c>
      <c r="P22" s="369"/>
      <c r="Q22" s="350">
        <f t="shared" si="44"/>
        <v>1843624.5198283447</v>
      </c>
      <c r="R22" s="350">
        <f t="shared" si="45"/>
        <v>1866400.556840311</v>
      </c>
      <c r="S22" s="350">
        <f t="shared" si="46"/>
        <v>1887723.422691351</v>
      </c>
      <c r="T22" s="350">
        <f t="shared" si="47"/>
        <v>1907540.9806674263</v>
      </c>
      <c r="U22" s="350">
        <f t="shared" si="48"/>
        <v>1925801.2210932914</v>
      </c>
      <c r="V22" s="350">
        <f t="shared" si="49"/>
        <v>9431090.701120723</v>
      </c>
      <c r="W22" s="365"/>
      <c r="X22" s="377">
        <f t="shared" si="28"/>
        <v>0</v>
      </c>
      <c r="Y22" s="377">
        <f t="shared" si="29"/>
        <v>0</v>
      </c>
      <c r="Z22" s="377">
        <f t="shared" si="30"/>
        <v>0</v>
      </c>
      <c r="AA22" s="377">
        <f t="shared" si="31"/>
        <v>0</v>
      </c>
      <c r="AB22" s="377">
        <f t="shared" si="32"/>
        <v>0</v>
      </c>
      <c r="AC22" s="377">
        <f t="shared" si="33"/>
        <v>0</v>
      </c>
      <c r="AD22" s="376"/>
      <c r="AE22" s="332">
        <v>7</v>
      </c>
      <c r="AF22" s="350">
        <v>5292587.2845681906</v>
      </c>
      <c r="AG22" s="350">
        <v>32692.167680007198</v>
      </c>
      <c r="AH22" s="350">
        <v>31301.603400074298</v>
      </c>
      <c r="AI22" s="350">
        <v>29873.621236678093</v>
      </c>
      <c r="AJ22" s="350">
        <v>28408.294129161659</v>
      </c>
      <c r="AK22" s="348">
        <v>5414862.9710141122</v>
      </c>
      <c r="AL22" s="369"/>
      <c r="AM22" s="350">
        <v>7210112.5498955958</v>
      </c>
      <c r="AN22" s="350">
        <v>1973906.4358085622</v>
      </c>
      <c r="AO22" s="350">
        <v>1994693.4535464465</v>
      </c>
      <c r="AP22" s="350">
        <v>2013877.406030003</v>
      </c>
      <c r="AQ22" s="350">
        <v>2031404.2717420969</v>
      </c>
      <c r="AR22" s="348">
        <v>15223994.117022702</v>
      </c>
      <c r="AS22" s="369"/>
      <c r="AT22" s="350">
        <f t="shared" si="50"/>
        <v>1917525.2653274052</v>
      </c>
      <c r="AU22" s="350">
        <f t="shared" si="34"/>
        <v>1941214.268128555</v>
      </c>
      <c r="AV22" s="350">
        <f t="shared" si="35"/>
        <v>1963391.8501463721</v>
      </c>
      <c r="AW22" s="350">
        <f t="shared" si="36"/>
        <v>1984003.784793325</v>
      </c>
      <c r="AX22" s="350">
        <f t="shared" si="37"/>
        <v>2002995.9776129352</v>
      </c>
      <c r="AY22" s="350">
        <f t="shared" si="38"/>
        <v>9809131.1460085902</v>
      </c>
      <c r="AZ22" s="365"/>
      <c r="BA22" s="377">
        <f t="shared" si="51"/>
        <v>0</v>
      </c>
      <c r="BB22" s="377">
        <f t="shared" si="39"/>
        <v>0</v>
      </c>
      <c r="BC22" s="377">
        <f t="shared" si="40"/>
        <v>0</v>
      </c>
      <c r="BD22" s="377">
        <f t="shared" si="41"/>
        <v>0</v>
      </c>
      <c r="BE22" s="377">
        <f t="shared" si="42"/>
        <v>0</v>
      </c>
      <c r="BF22" s="377">
        <f t="shared" si="43"/>
        <v>0</v>
      </c>
      <c r="BG22" s="328"/>
    </row>
    <row r="23" spans="2:59">
      <c r="B23" s="332">
        <v>8</v>
      </c>
      <c r="C23" s="350">
        <v>4953093.8484117668</v>
      </c>
      <c r="D23" s="350">
        <v>30595.125960271067</v>
      </c>
      <c r="E23" s="350">
        <v>29293.759537682075</v>
      </c>
      <c r="F23" s="350">
        <v>27957.375404767965</v>
      </c>
      <c r="G23" s="350">
        <v>26586.041822171988</v>
      </c>
      <c r="H23" s="348">
        <v>5067526.1511366591</v>
      </c>
      <c r="I23" s="369"/>
      <c r="J23" s="350">
        <v>7690080.1808645912</v>
      </c>
      <c r="K23" s="350">
        <v>2801394.0386531339</v>
      </c>
      <c r="L23" s="350">
        <v>2831747.9207778201</v>
      </c>
      <c r="M23" s="350">
        <v>2859832.0529917842</v>
      </c>
      <c r="N23" s="350">
        <v>2885569.2916457634</v>
      </c>
      <c r="O23" s="348">
        <v>19068623.484933093</v>
      </c>
      <c r="P23" s="369"/>
      <c r="Q23" s="350">
        <f t="shared" si="44"/>
        <v>2736986.3324528243</v>
      </c>
      <c r="R23" s="350">
        <f t="shared" si="45"/>
        <v>2770798.912692863</v>
      </c>
      <c r="S23" s="350">
        <f t="shared" si="46"/>
        <v>2802454.1612401381</v>
      </c>
      <c r="T23" s="350">
        <f t="shared" si="47"/>
        <v>2831874.677587016</v>
      </c>
      <c r="U23" s="350">
        <f t="shared" si="48"/>
        <v>2858983.2498235917</v>
      </c>
      <c r="V23" s="350">
        <f t="shared" si="49"/>
        <v>14001097.333796434</v>
      </c>
      <c r="W23" s="365"/>
      <c r="X23" s="377">
        <f t="shared" si="28"/>
        <v>0</v>
      </c>
      <c r="Y23" s="377">
        <f t="shared" si="29"/>
        <v>0</v>
      </c>
      <c r="Z23" s="377">
        <f t="shared" si="30"/>
        <v>0</v>
      </c>
      <c r="AA23" s="377">
        <f t="shared" si="31"/>
        <v>0</v>
      </c>
      <c r="AB23" s="377">
        <f t="shared" si="32"/>
        <v>0</v>
      </c>
      <c r="AC23" s="377">
        <f t="shared" si="33"/>
        <v>0</v>
      </c>
      <c r="AD23" s="376"/>
      <c r="AE23" s="332">
        <v>8</v>
      </c>
      <c r="AF23" s="350">
        <v>5712389.8129496602</v>
      </c>
      <c r="AG23" s="350">
        <v>35285.27647773124</v>
      </c>
      <c r="AH23" s="350">
        <v>33784.414082869029</v>
      </c>
      <c r="AI23" s="350">
        <v>32243.165856874461</v>
      </c>
      <c r="AJ23" s="350">
        <v>30661.610524567135</v>
      </c>
      <c r="AK23" s="348">
        <v>5844364.2798917014</v>
      </c>
      <c r="AL23" s="369"/>
      <c r="AM23" s="350">
        <v>7113665.7435594471</v>
      </c>
      <c r="AN23" s="350">
        <v>1453872.4936951178</v>
      </c>
      <c r="AO23" s="350">
        <v>1468578.4122186748</v>
      </c>
      <c r="AP23" s="350">
        <v>1482099.8118890792</v>
      </c>
      <c r="AQ23" s="350">
        <v>1494397.2406561431</v>
      </c>
      <c r="AR23" s="348">
        <v>13012613.702018462</v>
      </c>
      <c r="AS23" s="369"/>
      <c r="AT23" s="350">
        <f t="shared" si="50"/>
        <v>1401275.9306097869</v>
      </c>
      <c r="AU23" s="350">
        <f t="shared" si="34"/>
        <v>1418587.2172173865</v>
      </c>
      <c r="AV23" s="350">
        <f t="shared" si="35"/>
        <v>1434793.9981358058</v>
      </c>
      <c r="AW23" s="350">
        <f t="shared" si="36"/>
        <v>1449856.6460322046</v>
      </c>
      <c r="AX23" s="350">
        <f t="shared" si="37"/>
        <v>1463735.630131576</v>
      </c>
      <c r="AY23" s="350">
        <f t="shared" si="38"/>
        <v>7168249.4221267607</v>
      </c>
      <c r="AZ23" s="365"/>
      <c r="BA23" s="377">
        <f t="shared" si="51"/>
        <v>0</v>
      </c>
      <c r="BB23" s="377">
        <f t="shared" si="39"/>
        <v>0</v>
      </c>
      <c r="BC23" s="377">
        <f t="shared" si="40"/>
        <v>0</v>
      </c>
      <c r="BD23" s="377">
        <f t="shared" si="41"/>
        <v>0</v>
      </c>
      <c r="BE23" s="377">
        <f t="shared" si="42"/>
        <v>0</v>
      </c>
      <c r="BF23" s="377">
        <f t="shared" si="43"/>
        <v>0</v>
      </c>
      <c r="BG23" s="328"/>
    </row>
    <row r="24" spans="2:59">
      <c r="B24" s="332">
        <v>9</v>
      </c>
      <c r="C24" s="350">
        <v>5976844.1249999655</v>
      </c>
      <c r="D24" s="350">
        <v>36918.803569190182</v>
      </c>
      <c r="E24" s="350">
        <v>35348.458953205329</v>
      </c>
      <c r="F24" s="350">
        <v>33735.85884951245</v>
      </c>
      <c r="G24" s="350">
        <v>32081.085627481618</v>
      </c>
      <c r="H24" s="348">
        <v>6114928.331999355</v>
      </c>
      <c r="I24" s="369"/>
      <c r="J24" s="350">
        <v>7261611.6693499638</v>
      </c>
      <c r="K24" s="350">
        <v>1337558.2962618025</v>
      </c>
      <c r="L24" s="350">
        <v>1350847.2278722436</v>
      </c>
      <c r="M24" s="350">
        <v>1363044.8993407206</v>
      </c>
      <c r="N24" s="350">
        <v>1374115.1490281054</v>
      </c>
      <c r="O24" s="348">
        <v>12687177.241852837</v>
      </c>
      <c r="P24" s="369"/>
      <c r="Q24" s="350">
        <f t="shared" si="44"/>
        <v>1284767.5443499982</v>
      </c>
      <c r="R24" s="350">
        <f t="shared" si="45"/>
        <v>1300639.4926926123</v>
      </c>
      <c r="S24" s="350">
        <f t="shared" si="46"/>
        <v>1315498.7689190384</v>
      </c>
      <c r="T24" s="350">
        <f t="shared" si="47"/>
        <v>1329309.0404912082</v>
      </c>
      <c r="U24" s="350">
        <f t="shared" si="48"/>
        <v>1342034.0634006239</v>
      </c>
      <c r="V24" s="350">
        <f t="shared" si="49"/>
        <v>6572248.9098534817</v>
      </c>
      <c r="W24" s="365"/>
      <c r="X24" s="377">
        <f t="shared" si="28"/>
        <v>0</v>
      </c>
      <c r="Y24" s="377">
        <f t="shared" si="29"/>
        <v>0</v>
      </c>
      <c r="Z24" s="377">
        <f t="shared" si="30"/>
        <v>0</v>
      </c>
      <c r="AA24" s="377">
        <f t="shared" si="31"/>
        <v>0</v>
      </c>
      <c r="AB24" s="377">
        <f t="shared" si="32"/>
        <v>0</v>
      </c>
      <c r="AC24" s="377">
        <f t="shared" si="33"/>
        <v>0</v>
      </c>
      <c r="AD24" s="376"/>
      <c r="AE24" s="332">
        <v>9</v>
      </c>
      <c r="AF24" s="350">
        <v>6874279.6757252235</v>
      </c>
      <c r="AG24" s="350">
        <v>42462.238552655035</v>
      </c>
      <c r="AH24" s="350">
        <v>40656.103433217846</v>
      </c>
      <c r="AI24" s="350">
        <v>38801.368076893363</v>
      </c>
      <c r="AJ24" s="350">
        <v>36898.127220976872</v>
      </c>
      <c r="AK24" s="348">
        <v>7033097.513008967</v>
      </c>
      <c r="AL24" s="369"/>
      <c r="AM24" s="350">
        <v>9213238.1538756527</v>
      </c>
      <c r="AN24" s="350">
        <v>2410316.0824865545</v>
      </c>
      <c r="AO24" s="350">
        <v>2435561.7126937089</v>
      </c>
      <c r="AP24" s="350">
        <v>2458848.9977140217</v>
      </c>
      <c r="AQ24" s="350">
        <v>2480112.0489624785</v>
      </c>
      <c r="AR24" s="348">
        <v>18998076.995732419</v>
      </c>
      <c r="AS24" s="369"/>
      <c r="AT24" s="350">
        <f t="shared" si="50"/>
        <v>2338958.4781504292</v>
      </c>
      <c r="AU24" s="350">
        <f t="shared" si="34"/>
        <v>2367853.8439338994</v>
      </c>
      <c r="AV24" s="350">
        <f t="shared" si="35"/>
        <v>2394905.6092604911</v>
      </c>
      <c r="AW24" s="350">
        <f t="shared" si="36"/>
        <v>2420047.6296371282</v>
      </c>
      <c r="AX24" s="350">
        <f t="shared" si="37"/>
        <v>2443213.9217415014</v>
      </c>
      <c r="AY24" s="350">
        <f t="shared" si="38"/>
        <v>11964979.482723452</v>
      </c>
      <c r="AZ24" s="365"/>
      <c r="BA24" s="377">
        <f t="shared" si="51"/>
        <v>0</v>
      </c>
      <c r="BB24" s="377">
        <f t="shared" si="39"/>
        <v>0</v>
      </c>
      <c r="BC24" s="377">
        <f t="shared" si="40"/>
        <v>0</v>
      </c>
      <c r="BD24" s="377">
        <f t="shared" si="41"/>
        <v>0</v>
      </c>
      <c r="BE24" s="377">
        <f t="shared" si="42"/>
        <v>0</v>
      </c>
      <c r="BF24" s="377">
        <f t="shared" si="43"/>
        <v>0</v>
      </c>
      <c r="BG24" s="328"/>
    </row>
    <row r="25" spans="2:59">
      <c r="B25" s="332">
        <v>10</v>
      </c>
      <c r="C25" s="350">
        <v>5591083.1623134622</v>
      </c>
      <c r="D25" s="350">
        <v>34535.968596714934</v>
      </c>
      <c r="E25" s="350">
        <v>33066.978079673077</v>
      </c>
      <c r="F25" s="350">
        <v>31558.459353278406</v>
      </c>
      <c r="G25" s="350">
        <v>30010.489470569726</v>
      </c>
      <c r="H25" s="348">
        <v>5720255.0578136975</v>
      </c>
      <c r="I25" s="369"/>
      <c r="J25" s="350">
        <v>7489418.0325832013</v>
      </c>
      <c r="K25" s="350">
        <v>1956322.7645711533</v>
      </c>
      <c r="L25" s="350">
        <v>1976809.4051187716</v>
      </c>
      <c r="M25" s="350">
        <v>1995706.5389235558</v>
      </c>
      <c r="N25" s="350">
        <v>2012960.6899538133</v>
      </c>
      <c r="O25" s="348">
        <v>15431217.431150494</v>
      </c>
      <c r="P25" s="369"/>
      <c r="Q25" s="350">
        <f t="shared" si="44"/>
        <v>1898334.8702697391</v>
      </c>
      <c r="R25" s="350">
        <f t="shared" si="45"/>
        <v>1921786.7959744383</v>
      </c>
      <c r="S25" s="350">
        <f t="shared" si="46"/>
        <v>1943742.4270390985</v>
      </c>
      <c r="T25" s="350">
        <f t="shared" si="47"/>
        <v>1964148.0795702774</v>
      </c>
      <c r="U25" s="350">
        <f t="shared" si="48"/>
        <v>1982950.2004832437</v>
      </c>
      <c r="V25" s="350">
        <f t="shared" si="49"/>
        <v>9710962.3733367957</v>
      </c>
      <c r="W25" s="365"/>
      <c r="X25" s="377">
        <f t="shared" si="28"/>
        <v>0</v>
      </c>
      <c r="Y25" s="377">
        <f t="shared" si="29"/>
        <v>0</v>
      </c>
      <c r="Z25" s="377">
        <f t="shared" si="30"/>
        <v>0</v>
      </c>
      <c r="AA25" s="377">
        <f t="shared" si="31"/>
        <v>0</v>
      </c>
      <c r="AB25" s="377">
        <f t="shared" si="32"/>
        <v>0</v>
      </c>
      <c r="AC25" s="377">
        <f t="shared" si="33"/>
        <v>0</v>
      </c>
      <c r="AD25" s="376"/>
      <c r="AE25" s="332">
        <v>10</v>
      </c>
      <c r="AF25" s="350">
        <v>6228107.313252721</v>
      </c>
      <c r="AG25" s="350">
        <v>38470.849447793415</v>
      </c>
      <c r="AH25" s="350">
        <v>36834.488421375179</v>
      </c>
      <c r="AI25" s="350">
        <v>35154.095510147039</v>
      </c>
      <c r="AJ25" s="350">
        <v>33429.756546245218</v>
      </c>
      <c r="AK25" s="348">
        <v>6371996.5031782808</v>
      </c>
      <c r="AL25" s="369"/>
      <c r="AM25" s="350">
        <v>8131210.6932284608</v>
      </c>
      <c r="AN25" s="350">
        <v>1965085.0650376978</v>
      </c>
      <c r="AO25" s="350">
        <v>1985459.486377995</v>
      </c>
      <c r="AP25" s="350">
        <v>2004236.0038416898</v>
      </c>
      <c r="AQ25" s="350">
        <v>2021361.015653868</v>
      </c>
      <c r="AR25" s="348">
        <v>16107352.264139712</v>
      </c>
      <c r="AS25" s="369"/>
      <c r="AT25" s="350">
        <f t="shared" si="50"/>
        <v>1903103.3799757399</v>
      </c>
      <c r="AU25" s="350">
        <f t="shared" si="34"/>
        <v>1926614.2155899045</v>
      </c>
      <c r="AV25" s="350">
        <f t="shared" si="35"/>
        <v>1948624.9979566198</v>
      </c>
      <c r="AW25" s="350">
        <f t="shared" si="36"/>
        <v>1969081.9083315427</v>
      </c>
      <c r="AX25" s="350">
        <f t="shared" si="37"/>
        <v>1987931.2591076228</v>
      </c>
      <c r="AY25" s="350">
        <f t="shared" si="38"/>
        <v>9735355.760961432</v>
      </c>
      <c r="AZ25" s="365"/>
      <c r="BA25" s="377">
        <f t="shared" si="51"/>
        <v>0</v>
      </c>
      <c r="BB25" s="377">
        <f t="shared" si="39"/>
        <v>0</v>
      </c>
      <c r="BC25" s="377">
        <f t="shared" si="40"/>
        <v>0</v>
      </c>
      <c r="BD25" s="377">
        <f t="shared" si="41"/>
        <v>0</v>
      </c>
      <c r="BE25" s="377">
        <f t="shared" si="42"/>
        <v>0</v>
      </c>
      <c r="BF25" s="377">
        <f t="shared" si="43"/>
        <v>0</v>
      </c>
      <c r="BG25" s="328"/>
    </row>
    <row r="26" spans="2:59">
      <c r="B26" s="332">
        <v>11</v>
      </c>
      <c r="C26" s="350">
        <v>6444634.5392435137</v>
      </c>
      <c r="D26" s="350">
        <v>39808.332232447785</v>
      </c>
      <c r="E26" s="350">
        <v>38115.081256006029</v>
      </c>
      <c r="F26" s="350">
        <v>36376.267576261831</v>
      </c>
      <c r="G26" s="350">
        <v>34591.980009400424</v>
      </c>
      <c r="H26" s="348">
        <v>6593526.2003176287</v>
      </c>
      <c r="I26" s="369"/>
      <c r="J26" s="350">
        <v>8502769.0394044109</v>
      </c>
      <c r="K26" s="350">
        <v>2123368.9140315093</v>
      </c>
      <c r="L26" s="350">
        <v>2145479.4937040592</v>
      </c>
      <c r="M26" s="350">
        <v>2165864.0567427473</v>
      </c>
      <c r="N26" s="350">
        <v>2184464.6308424068</v>
      </c>
      <c r="O26" s="348">
        <v>17121946.134725131</v>
      </c>
      <c r="P26" s="369"/>
      <c r="Q26" s="350">
        <f t="shared" si="44"/>
        <v>2058134.5001608972</v>
      </c>
      <c r="R26" s="350">
        <f t="shared" si="45"/>
        <v>2083560.5817990615</v>
      </c>
      <c r="S26" s="350">
        <f t="shared" si="46"/>
        <v>2107364.4124480532</v>
      </c>
      <c r="T26" s="350">
        <f t="shared" si="47"/>
        <v>2129487.7891664854</v>
      </c>
      <c r="U26" s="350">
        <f t="shared" si="48"/>
        <v>2149872.6508330065</v>
      </c>
      <c r="V26" s="350">
        <f t="shared" si="49"/>
        <v>10528419.934407502</v>
      </c>
      <c r="W26" s="365"/>
      <c r="X26" s="377">
        <f t="shared" si="28"/>
        <v>0</v>
      </c>
      <c r="Y26" s="377">
        <f t="shared" si="29"/>
        <v>0</v>
      </c>
      <c r="Z26" s="377">
        <f t="shared" si="30"/>
        <v>0</v>
      </c>
      <c r="AA26" s="377">
        <f t="shared" si="31"/>
        <v>0</v>
      </c>
      <c r="AB26" s="377">
        <f t="shared" si="32"/>
        <v>0</v>
      </c>
      <c r="AC26" s="377">
        <f t="shared" si="33"/>
        <v>0</v>
      </c>
      <c r="AD26" s="376"/>
      <c r="AE26" s="332">
        <v>11</v>
      </c>
      <c r="AF26" s="350">
        <v>4473242.0917847622</v>
      </c>
      <c r="AG26" s="350">
        <v>27631.094713221057</v>
      </c>
      <c r="AH26" s="350">
        <v>26455.803625162545</v>
      </c>
      <c r="AI26" s="350">
        <v>25248.887314448686</v>
      </c>
      <c r="AJ26" s="350">
        <v>24010.407428686482</v>
      </c>
      <c r="AK26" s="348">
        <v>4576588.2848662818</v>
      </c>
      <c r="AL26" s="369"/>
      <c r="AM26" s="350">
        <v>6140467.3324624747</v>
      </c>
      <c r="AN26" s="350">
        <v>1715453.1453056224</v>
      </c>
      <c r="AO26" s="350">
        <v>1733560.5334009274</v>
      </c>
      <c r="AP26" s="350">
        <v>1750275.0173053679</v>
      </c>
      <c r="AQ26" s="350">
        <v>1765549.625313268</v>
      </c>
      <c r="AR26" s="348">
        <v>13105305.653787661</v>
      </c>
      <c r="AS26" s="369"/>
      <c r="AT26" s="350">
        <f t="shared" si="50"/>
        <v>1667225.2406777125</v>
      </c>
      <c r="AU26" s="350">
        <f t="shared" si="34"/>
        <v>1687822.0505924013</v>
      </c>
      <c r="AV26" s="350">
        <f t="shared" si="35"/>
        <v>1707104.729775765</v>
      </c>
      <c r="AW26" s="350">
        <f t="shared" si="36"/>
        <v>1725026.1299909193</v>
      </c>
      <c r="AX26" s="350">
        <f t="shared" si="37"/>
        <v>1741539.2178845815</v>
      </c>
      <c r="AY26" s="350">
        <f t="shared" si="38"/>
        <v>8528717.3689213805</v>
      </c>
      <c r="AZ26" s="365"/>
      <c r="BA26" s="377">
        <f t="shared" si="51"/>
        <v>0</v>
      </c>
      <c r="BB26" s="377">
        <f t="shared" si="39"/>
        <v>0</v>
      </c>
      <c r="BC26" s="377">
        <f t="shared" si="40"/>
        <v>0</v>
      </c>
      <c r="BD26" s="377">
        <f t="shared" si="41"/>
        <v>0</v>
      </c>
      <c r="BE26" s="377">
        <f t="shared" si="42"/>
        <v>0</v>
      </c>
      <c r="BF26" s="377">
        <f t="shared" si="43"/>
        <v>0</v>
      </c>
      <c r="BG26" s="328"/>
    </row>
    <row r="27" spans="2:59">
      <c r="B27" s="332">
        <v>12</v>
      </c>
      <c r="C27" s="350">
        <v>5777327.1883667633</v>
      </c>
      <c r="D27" s="350">
        <v>35686.392879161242</v>
      </c>
      <c r="E27" s="350">
        <v>34168.468962241313</v>
      </c>
      <c r="F27" s="350">
        <v>32609.70011564282</v>
      </c>
      <c r="G27" s="350">
        <v>31010.165959108814</v>
      </c>
      <c r="H27" s="348">
        <v>5910801.9162829164</v>
      </c>
      <c r="I27" s="369"/>
      <c r="J27" s="350">
        <v>7579502.1522215931</v>
      </c>
      <c r="K27" s="350">
        <v>1860125.3281866077</v>
      </c>
      <c r="L27" s="350">
        <v>1879450.8756930085</v>
      </c>
      <c r="M27" s="350">
        <v>1897264.1136976504</v>
      </c>
      <c r="N27" s="350">
        <v>1913514.2814600966</v>
      </c>
      <c r="O27" s="348">
        <v>15129856.751258956</v>
      </c>
      <c r="P27" s="369"/>
      <c r="Q27" s="350">
        <f t="shared" si="44"/>
        <v>1802174.9638548298</v>
      </c>
      <c r="R27" s="350">
        <f t="shared" si="45"/>
        <v>1824438.9353074464</v>
      </c>
      <c r="S27" s="350">
        <f t="shared" si="46"/>
        <v>1845282.4067307673</v>
      </c>
      <c r="T27" s="350">
        <f t="shared" si="47"/>
        <v>1864654.4135820076</v>
      </c>
      <c r="U27" s="350">
        <f t="shared" si="48"/>
        <v>1882504.1155009877</v>
      </c>
      <c r="V27" s="350">
        <f t="shared" si="49"/>
        <v>9219054.8349760398</v>
      </c>
      <c r="W27" s="365"/>
      <c r="X27" s="377">
        <f t="shared" si="28"/>
        <v>0</v>
      </c>
      <c r="Y27" s="377">
        <f t="shared" si="29"/>
        <v>0</v>
      </c>
      <c r="Z27" s="377">
        <f t="shared" si="30"/>
        <v>0</v>
      </c>
      <c r="AA27" s="377">
        <f t="shared" si="31"/>
        <v>0</v>
      </c>
      <c r="AB27" s="377">
        <f t="shared" si="32"/>
        <v>0</v>
      </c>
      <c r="AC27" s="377">
        <f t="shared" si="33"/>
        <v>0</v>
      </c>
      <c r="AD27" s="376"/>
      <c r="AE27" s="332">
        <v>12</v>
      </c>
      <c r="AF27" s="350">
        <v>5452574.2833058322</v>
      </c>
      <c r="AG27" s="350">
        <v>33680.403019007361</v>
      </c>
      <c r="AH27" s="350">
        <v>32247.804060430652</v>
      </c>
      <c r="AI27" s="350">
        <v>30776.656131731899</v>
      </c>
      <c r="AJ27" s="350">
        <v>29267.034377100063</v>
      </c>
      <c r="AK27" s="348">
        <v>5578546.180894102</v>
      </c>
      <c r="AL27" s="369"/>
      <c r="AM27" s="350">
        <v>7334834.8872706247</v>
      </c>
      <c r="AN27" s="350">
        <v>1939194.3520771191</v>
      </c>
      <c r="AO27" s="350">
        <v>1959531.4735379519</v>
      </c>
      <c r="AP27" s="350">
        <v>1978293.192032963</v>
      </c>
      <c r="AQ27" s="350">
        <v>1995426.4830856135</v>
      </c>
      <c r="AR27" s="348">
        <v>15207280.388004273</v>
      </c>
      <c r="AS27" s="369"/>
      <c r="AT27" s="350">
        <f t="shared" si="50"/>
        <v>1882260.6039647926</v>
      </c>
      <c r="AU27" s="350">
        <f t="shared" si="34"/>
        <v>1905513.9490581118</v>
      </c>
      <c r="AV27" s="350">
        <f t="shared" si="35"/>
        <v>1927283.6694775212</v>
      </c>
      <c r="AW27" s="350">
        <f t="shared" si="36"/>
        <v>1947516.5359012312</v>
      </c>
      <c r="AX27" s="350">
        <f t="shared" si="37"/>
        <v>1966159.4487085133</v>
      </c>
      <c r="AY27" s="350">
        <f t="shared" si="38"/>
        <v>9628734.2071101703</v>
      </c>
      <c r="AZ27" s="365"/>
      <c r="BA27" s="377">
        <f t="shared" si="51"/>
        <v>0</v>
      </c>
      <c r="BB27" s="377">
        <f t="shared" si="39"/>
        <v>0</v>
      </c>
      <c r="BC27" s="377">
        <f t="shared" si="40"/>
        <v>0</v>
      </c>
      <c r="BD27" s="377">
        <f t="shared" si="41"/>
        <v>0</v>
      </c>
      <c r="BE27" s="377">
        <f t="shared" si="42"/>
        <v>0</v>
      </c>
      <c r="BF27" s="377">
        <f t="shared" si="43"/>
        <v>0</v>
      </c>
      <c r="BG27" s="328"/>
    </row>
    <row r="28" spans="2:59">
      <c r="B28" s="332">
        <v>13</v>
      </c>
      <c r="C28" s="350">
        <v>5046932.6414213432</v>
      </c>
      <c r="D28" s="350">
        <v>31174.765631948922</v>
      </c>
      <c r="E28" s="350">
        <v>29848.744184018229</v>
      </c>
      <c r="F28" s="350">
        <v>28487.041598058891</v>
      </c>
      <c r="G28" s="350">
        <v>27089.727427946364</v>
      </c>
      <c r="H28" s="348">
        <v>5163532.9202633156</v>
      </c>
      <c r="I28" s="369"/>
      <c r="J28" s="350">
        <v>6386806.3285411075</v>
      </c>
      <c r="K28" s="350">
        <v>1387601.1793839457</v>
      </c>
      <c r="L28" s="350">
        <v>1401771.7770037912</v>
      </c>
      <c r="M28" s="350">
        <v>1414812.6950108744</v>
      </c>
      <c r="N28" s="350">
        <v>1426686.2043755734</v>
      </c>
      <c r="O28" s="348">
        <v>12017678.18431529</v>
      </c>
      <c r="P28" s="369"/>
      <c r="Q28" s="350">
        <f t="shared" si="44"/>
        <v>1339873.6871197643</v>
      </c>
      <c r="R28" s="350">
        <f t="shared" si="45"/>
        <v>1356426.4137519968</v>
      </c>
      <c r="S28" s="350">
        <f t="shared" si="46"/>
        <v>1371923.0328197731</v>
      </c>
      <c r="T28" s="350">
        <f t="shared" si="47"/>
        <v>1386325.6534128154</v>
      </c>
      <c r="U28" s="350">
        <f t="shared" si="48"/>
        <v>1399596.476947627</v>
      </c>
      <c r="V28" s="350">
        <f t="shared" si="49"/>
        <v>6854145.2640519748</v>
      </c>
      <c r="W28" s="365"/>
      <c r="X28" s="377">
        <f t="shared" si="28"/>
        <v>0</v>
      </c>
      <c r="Y28" s="377">
        <f t="shared" si="29"/>
        <v>0</v>
      </c>
      <c r="Z28" s="377">
        <f t="shared" si="30"/>
        <v>0</v>
      </c>
      <c r="AA28" s="377">
        <f t="shared" si="31"/>
        <v>0</v>
      </c>
      <c r="AB28" s="377">
        <f t="shared" si="32"/>
        <v>0</v>
      </c>
      <c r="AC28" s="377">
        <f t="shared" si="33"/>
        <v>0</v>
      </c>
      <c r="AD28" s="376"/>
      <c r="AE28" s="332">
        <v>13</v>
      </c>
      <c r="AF28" s="350">
        <v>7279770.7399728652</v>
      </c>
      <c r="AG28" s="350">
        <v>44966.945825745461</v>
      </c>
      <c r="AH28" s="350">
        <v>43054.272758146537</v>
      </c>
      <c r="AI28" s="350">
        <v>41090.132686123994</v>
      </c>
      <c r="AJ28" s="350">
        <v>39074.625935223965</v>
      </c>
      <c r="AK28" s="348">
        <v>7447956.7171781054</v>
      </c>
      <c r="AL28" s="369"/>
      <c r="AM28" s="350">
        <v>9593023.382312417</v>
      </c>
      <c r="AN28" s="350">
        <v>2386797.3854517341</v>
      </c>
      <c r="AO28" s="350">
        <v>2411639.1709203869</v>
      </c>
      <c r="AP28" s="350">
        <v>2434540.7330886163</v>
      </c>
      <c r="AQ28" s="350">
        <v>2455436.9141356284</v>
      </c>
      <c r="AR28" s="348">
        <v>19281437.585908782</v>
      </c>
      <c r="AS28" s="369"/>
      <c r="AT28" s="350">
        <f t="shared" si="50"/>
        <v>2313252.6423395518</v>
      </c>
      <c r="AU28" s="350">
        <f t="shared" si="34"/>
        <v>2341830.4396259887</v>
      </c>
      <c r="AV28" s="350">
        <f t="shared" si="35"/>
        <v>2368584.8981622402</v>
      </c>
      <c r="AW28" s="350">
        <f t="shared" si="36"/>
        <v>2393450.6004024921</v>
      </c>
      <c r="AX28" s="350">
        <f t="shared" si="37"/>
        <v>2416362.2882004045</v>
      </c>
      <c r="AY28" s="350">
        <f t="shared" si="38"/>
        <v>11833480.868730675</v>
      </c>
      <c r="AZ28" s="365"/>
      <c r="BA28" s="377">
        <f t="shared" si="51"/>
        <v>0</v>
      </c>
      <c r="BB28" s="377">
        <f t="shared" si="39"/>
        <v>0</v>
      </c>
      <c r="BC28" s="377">
        <f t="shared" si="40"/>
        <v>0</v>
      </c>
      <c r="BD28" s="377">
        <f t="shared" si="41"/>
        <v>0</v>
      </c>
      <c r="BE28" s="377">
        <f t="shared" si="42"/>
        <v>0</v>
      </c>
      <c r="BF28" s="377">
        <f t="shared" si="43"/>
        <v>0</v>
      </c>
      <c r="BG28" s="328"/>
    </row>
    <row r="29" spans="2:59">
      <c r="B29" s="332">
        <v>14</v>
      </c>
      <c r="C29" s="350">
        <v>4383153.548382272</v>
      </c>
      <c r="D29" s="350">
        <v>27074.620231345492</v>
      </c>
      <c r="E29" s="350">
        <v>25922.998835206523</v>
      </c>
      <c r="F29" s="350">
        <v>24740.389130353193</v>
      </c>
      <c r="G29" s="350">
        <v>23526.851522843041</v>
      </c>
      <c r="H29" s="348">
        <v>4484418.4081020206</v>
      </c>
      <c r="I29" s="369"/>
      <c r="J29" s="350">
        <v>5519795.2179802284</v>
      </c>
      <c r="K29" s="350">
        <v>1177758.2991743064</v>
      </c>
      <c r="L29" s="350">
        <v>1189752.7699356929</v>
      </c>
      <c r="M29" s="350">
        <v>1200788.1915832222</v>
      </c>
      <c r="N29" s="350">
        <v>1210832.5592279397</v>
      </c>
      <c r="O29" s="348">
        <v>10298927.03790139</v>
      </c>
      <c r="P29" s="369"/>
      <c r="Q29" s="350">
        <f t="shared" si="44"/>
        <v>1136641.6695979564</v>
      </c>
      <c r="R29" s="350">
        <f t="shared" si="45"/>
        <v>1150683.6789429609</v>
      </c>
      <c r="S29" s="350">
        <f t="shared" si="46"/>
        <v>1163829.7711004864</v>
      </c>
      <c r="T29" s="350">
        <f t="shared" si="47"/>
        <v>1176047.802452869</v>
      </c>
      <c r="U29" s="350">
        <f t="shared" si="48"/>
        <v>1187305.7077050966</v>
      </c>
      <c r="V29" s="350">
        <f t="shared" si="49"/>
        <v>5814508.6297993697</v>
      </c>
      <c r="W29" s="365"/>
      <c r="X29" s="377">
        <f t="shared" si="28"/>
        <v>0</v>
      </c>
      <c r="Y29" s="377">
        <f t="shared" si="29"/>
        <v>0</v>
      </c>
      <c r="Z29" s="377">
        <f t="shared" si="30"/>
        <v>0</v>
      </c>
      <c r="AA29" s="377">
        <f t="shared" si="31"/>
        <v>0</v>
      </c>
      <c r="AB29" s="377">
        <f t="shared" si="32"/>
        <v>0</v>
      </c>
      <c r="AC29" s="377">
        <f t="shared" si="33"/>
        <v>0</v>
      </c>
      <c r="AD29" s="376"/>
      <c r="AE29" s="332">
        <v>14</v>
      </c>
      <c r="AF29" s="350">
        <v>7217090.732639119</v>
      </c>
      <c r="AG29" s="350">
        <v>44579.77312555816</v>
      </c>
      <c r="AH29" s="350">
        <v>42683.56848343485</v>
      </c>
      <c r="AI29" s="350">
        <v>40736.339976145799</v>
      </c>
      <c r="AJ29" s="350">
        <v>38738.187065420323</v>
      </c>
      <c r="AK29" s="348">
        <v>7383828.6012896784</v>
      </c>
      <c r="AL29" s="369"/>
      <c r="AM29" s="350">
        <v>9700245.6036956683</v>
      </c>
      <c r="AN29" s="350">
        <v>2558411.4043582529</v>
      </c>
      <c r="AO29" s="350">
        <v>2585234.7017803681</v>
      </c>
      <c r="AP29" s="350">
        <v>2609979.4949355638</v>
      </c>
      <c r="AQ29" s="350">
        <v>2632575.8321026573</v>
      </c>
      <c r="AR29" s="348">
        <v>20086447.03687251</v>
      </c>
      <c r="AS29" s="369"/>
      <c r="AT29" s="350">
        <f t="shared" si="50"/>
        <v>2483154.8710565493</v>
      </c>
      <c r="AU29" s="350">
        <f t="shared" si="34"/>
        <v>2513831.6312326947</v>
      </c>
      <c r="AV29" s="350">
        <f t="shared" si="35"/>
        <v>2542551.133296933</v>
      </c>
      <c r="AW29" s="350">
        <f t="shared" si="36"/>
        <v>2569243.1549594179</v>
      </c>
      <c r="AX29" s="350">
        <f t="shared" si="37"/>
        <v>2593837.6450372371</v>
      </c>
      <c r="AY29" s="350">
        <f t="shared" si="38"/>
        <v>12702618.435582832</v>
      </c>
      <c r="AZ29" s="365"/>
      <c r="BA29" s="377">
        <f t="shared" si="51"/>
        <v>0</v>
      </c>
      <c r="BB29" s="377">
        <f t="shared" si="39"/>
        <v>0</v>
      </c>
      <c r="BC29" s="377">
        <f t="shared" si="40"/>
        <v>0</v>
      </c>
      <c r="BD29" s="377">
        <f t="shared" si="41"/>
        <v>0</v>
      </c>
      <c r="BE29" s="377">
        <f t="shared" si="42"/>
        <v>0</v>
      </c>
      <c r="BF29" s="377">
        <f t="shared" si="43"/>
        <v>0</v>
      </c>
      <c r="BG29" s="328"/>
    </row>
    <row r="30" spans="2:59">
      <c r="B30" s="332">
        <v>15</v>
      </c>
      <c r="C30" s="350">
        <v>7779056.923740251</v>
      </c>
      <c r="D30" s="350">
        <v>48051.023000556968</v>
      </c>
      <c r="E30" s="350">
        <v>46007.16843414132</v>
      </c>
      <c r="F30" s="350">
        <v>43908.316976833921</v>
      </c>
      <c r="G30" s="350">
        <v>41754.575835046264</v>
      </c>
      <c r="H30" s="348">
        <v>7958778.0079868296</v>
      </c>
      <c r="I30" s="369"/>
      <c r="J30" s="350">
        <v>10775333.422193058</v>
      </c>
      <c r="K30" s="350">
        <v>3081343.3582969755</v>
      </c>
      <c r="L30" s="350">
        <v>3113953.6326716733</v>
      </c>
      <c r="M30" s="350">
        <v>3144062.4691583193</v>
      </c>
      <c r="N30" s="350">
        <v>3171585.4483333118</v>
      </c>
      <c r="O30" s="348">
        <v>23286278.330653336</v>
      </c>
      <c r="P30" s="369"/>
      <c r="Q30" s="350">
        <f t="shared" si="44"/>
        <v>2996276.4984528068</v>
      </c>
      <c r="R30" s="350">
        <f t="shared" si="45"/>
        <v>3033292.3352964185</v>
      </c>
      <c r="S30" s="350">
        <f t="shared" si="46"/>
        <v>3067946.4642375321</v>
      </c>
      <c r="T30" s="350">
        <f t="shared" si="47"/>
        <v>3100154.1521814852</v>
      </c>
      <c r="U30" s="350">
        <f t="shared" si="48"/>
        <v>3129830.8724982655</v>
      </c>
      <c r="V30" s="350">
        <f t="shared" si="49"/>
        <v>15327500.322666507</v>
      </c>
      <c r="W30" s="365"/>
      <c r="X30" s="377">
        <f t="shared" si="28"/>
        <v>0</v>
      </c>
      <c r="Y30" s="377">
        <f t="shared" si="29"/>
        <v>0</v>
      </c>
      <c r="Z30" s="377">
        <f t="shared" si="30"/>
        <v>0</v>
      </c>
      <c r="AA30" s="377">
        <f t="shared" si="31"/>
        <v>0</v>
      </c>
      <c r="AB30" s="377">
        <f t="shared" si="32"/>
        <v>0</v>
      </c>
      <c r="AC30" s="377">
        <f t="shared" si="33"/>
        <v>0</v>
      </c>
      <c r="AD30" s="376"/>
      <c r="AE30" s="332">
        <v>15</v>
      </c>
      <c r="AF30" s="350">
        <v>6792198.6195892207</v>
      </c>
      <c r="AG30" s="350">
        <v>41955.226101791792</v>
      </c>
      <c r="AH30" s="350">
        <v>40170.656802359117</v>
      </c>
      <c r="AI30" s="350">
        <v>38338.067568110811</v>
      </c>
      <c r="AJ30" s="350">
        <v>36457.552005156547</v>
      </c>
      <c r="AK30" s="348">
        <v>6949120.1220666394</v>
      </c>
      <c r="AL30" s="369"/>
      <c r="AM30" s="350">
        <v>8834829.9354116023</v>
      </c>
      <c r="AN30" s="350">
        <v>2109821.0980664985</v>
      </c>
      <c r="AO30" s="350">
        <v>2131661.0537513988</v>
      </c>
      <c r="AP30" s="350">
        <v>2151785.193823847</v>
      </c>
      <c r="AQ30" s="350">
        <v>2170135.9881220711</v>
      </c>
      <c r="AR30" s="348">
        <v>17398233.269175418</v>
      </c>
      <c r="AS30" s="369"/>
      <c r="AT30" s="350">
        <f t="shared" si="50"/>
        <v>2042631.3158223815</v>
      </c>
      <c r="AU30" s="350">
        <f t="shared" si="34"/>
        <v>2067865.8719647068</v>
      </c>
      <c r="AV30" s="350">
        <f t="shared" si="35"/>
        <v>2091490.3969490398</v>
      </c>
      <c r="AW30" s="350">
        <f t="shared" si="36"/>
        <v>2113447.1262557362</v>
      </c>
      <c r="AX30" s="350">
        <f t="shared" si="37"/>
        <v>2133678.4361169147</v>
      </c>
      <c r="AY30" s="350">
        <f t="shared" si="38"/>
        <v>10449113.147108778</v>
      </c>
      <c r="AZ30" s="365"/>
      <c r="BA30" s="377">
        <f t="shared" si="51"/>
        <v>0</v>
      </c>
      <c r="BB30" s="377">
        <f t="shared" si="39"/>
        <v>0</v>
      </c>
      <c r="BC30" s="377">
        <f t="shared" si="40"/>
        <v>0</v>
      </c>
      <c r="BD30" s="377">
        <f t="shared" si="41"/>
        <v>0</v>
      </c>
      <c r="BE30" s="377">
        <f t="shared" si="42"/>
        <v>0</v>
      </c>
      <c r="BF30" s="377">
        <f t="shared" si="43"/>
        <v>0</v>
      </c>
      <c r="BG30" s="328"/>
    </row>
    <row r="31" spans="2:59">
      <c r="B31" s="332">
        <v>16</v>
      </c>
      <c r="C31" s="350">
        <v>7825844.0564410686</v>
      </c>
      <c r="D31" s="350">
        <v>48340.025846476652</v>
      </c>
      <c r="E31" s="350">
        <v>46283.878518130354</v>
      </c>
      <c r="F31" s="350">
        <v>44172.403520123626</v>
      </c>
      <c r="G31" s="350">
        <v>42005.708703673074</v>
      </c>
      <c r="H31" s="348">
        <v>8006646.0730294734</v>
      </c>
      <c r="I31" s="369"/>
      <c r="J31" s="350">
        <v>10229060.131898198</v>
      </c>
      <c r="K31" s="350">
        <v>2481245.3019481413</v>
      </c>
      <c r="L31" s="350">
        <v>2506984.1060520979</v>
      </c>
      <c r="M31" s="350">
        <v>2530705.371610635</v>
      </c>
      <c r="N31" s="350">
        <v>2552341.4104100503</v>
      </c>
      <c r="O31" s="348">
        <v>20300336.321919121</v>
      </c>
      <c r="P31" s="369"/>
      <c r="Q31" s="350">
        <f t="shared" si="44"/>
        <v>2403216.0754571296</v>
      </c>
      <c r="R31" s="350">
        <f t="shared" si="45"/>
        <v>2432905.2761016646</v>
      </c>
      <c r="S31" s="350">
        <f t="shared" si="46"/>
        <v>2460700.2275339677</v>
      </c>
      <c r="T31" s="350">
        <f t="shared" si="47"/>
        <v>2486532.9680905114</v>
      </c>
      <c r="U31" s="350">
        <f t="shared" si="48"/>
        <v>2510335.7017063773</v>
      </c>
      <c r="V31" s="350">
        <f t="shared" si="49"/>
        <v>12293690.248889647</v>
      </c>
      <c r="W31" s="365"/>
      <c r="X31" s="377">
        <f t="shared" si="28"/>
        <v>0</v>
      </c>
      <c r="Y31" s="377">
        <f t="shared" si="29"/>
        <v>0</v>
      </c>
      <c r="Z31" s="377">
        <f t="shared" si="30"/>
        <v>0</v>
      </c>
      <c r="AA31" s="377">
        <f t="shared" si="31"/>
        <v>0</v>
      </c>
      <c r="AB31" s="377">
        <f t="shared" si="32"/>
        <v>0</v>
      </c>
      <c r="AC31" s="377">
        <f t="shared" si="33"/>
        <v>0</v>
      </c>
      <c r="AD31" s="376"/>
      <c r="AE31" s="332">
        <v>16</v>
      </c>
      <c r="AF31" s="350">
        <v>8304836.1822616691</v>
      </c>
      <c r="AG31" s="350">
        <v>51298.747177421072</v>
      </c>
      <c r="AH31" s="350">
        <v>49116.750372299706</v>
      </c>
      <c r="AI31" s="350">
        <v>46876.039487327551</v>
      </c>
      <c r="AJ31" s="350">
        <v>44576.728974899786</v>
      </c>
      <c r="AK31" s="348">
        <v>8496704.4482736178</v>
      </c>
      <c r="AL31" s="369"/>
      <c r="AM31" s="350">
        <v>10882724.117823876</v>
      </c>
      <c r="AN31" s="350">
        <v>2661033.770040541</v>
      </c>
      <c r="AO31" s="350">
        <v>2688666.9324708348</v>
      </c>
      <c r="AP31" s="350">
        <v>2714136.5514656114</v>
      </c>
      <c r="AQ31" s="350">
        <v>2737370.0178218037</v>
      </c>
      <c r="AR31" s="348">
        <v>21683931.38962267</v>
      </c>
      <c r="AS31" s="369"/>
      <c r="AT31" s="350">
        <f t="shared" si="50"/>
        <v>2577887.9355622074</v>
      </c>
      <c r="AU31" s="350">
        <f t="shared" si="34"/>
        <v>2609735.0228631198</v>
      </c>
      <c r="AV31" s="350">
        <f t="shared" si="35"/>
        <v>2639550.1820985349</v>
      </c>
      <c r="AW31" s="350">
        <f t="shared" si="36"/>
        <v>2667260.511978284</v>
      </c>
      <c r="AX31" s="350">
        <f t="shared" si="37"/>
        <v>2692793.2888469039</v>
      </c>
      <c r="AY31" s="350">
        <f t="shared" si="38"/>
        <v>13187226.941349052</v>
      </c>
      <c r="AZ31" s="365"/>
      <c r="BA31" s="377">
        <f t="shared" si="51"/>
        <v>0</v>
      </c>
      <c r="BB31" s="377">
        <f t="shared" si="39"/>
        <v>0</v>
      </c>
      <c r="BC31" s="377">
        <f t="shared" si="40"/>
        <v>0</v>
      </c>
      <c r="BD31" s="377">
        <f t="shared" si="41"/>
        <v>0</v>
      </c>
      <c r="BE31" s="377">
        <f t="shared" si="42"/>
        <v>0</v>
      </c>
      <c r="BF31" s="377">
        <f t="shared" si="43"/>
        <v>0</v>
      </c>
      <c r="BG31" s="328"/>
    </row>
    <row r="32" spans="2:59">
      <c r="B32" s="332">
        <v>17</v>
      </c>
      <c r="C32" s="350">
        <v>5951413.6638891855</v>
      </c>
      <c r="D32" s="350">
        <v>36761.720302705871</v>
      </c>
      <c r="E32" s="350">
        <v>35198.057237527602</v>
      </c>
      <c r="F32" s="350">
        <v>33592.318474597385</v>
      </c>
      <c r="G32" s="350">
        <v>31944.586032815885</v>
      </c>
      <c r="H32" s="348">
        <v>6088910.345936832</v>
      </c>
      <c r="I32" s="369"/>
      <c r="J32" s="350">
        <v>9022712.6740236077</v>
      </c>
      <c r="K32" s="350">
        <v>3146003.3913083142</v>
      </c>
      <c r="L32" s="350">
        <v>3179961.5473972964</v>
      </c>
      <c r="M32" s="350">
        <v>3211369.9313804018</v>
      </c>
      <c r="N32" s="350">
        <v>3240141.9822196448</v>
      </c>
      <c r="O32" s="348">
        <v>21800189.526329264</v>
      </c>
      <c r="P32" s="369"/>
      <c r="Q32" s="350">
        <f t="shared" si="44"/>
        <v>3071299.0101344222</v>
      </c>
      <c r="R32" s="350">
        <f t="shared" si="45"/>
        <v>3109241.6710056085</v>
      </c>
      <c r="S32" s="350">
        <f t="shared" si="46"/>
        <v>3144763.4901597686</v>
      </c>
      <c r="T32" s="350">
        <f t="shared" si="47"/>
        <v>3177777.6129058045</v>
      </c>
      <c r="U32" s="350">
        <f t="shared" si="48"/>
        <v>3208197.3961868291</v>
      </c>
      <c r="V32" s="350">
        <f t="shared" si="49"/>
        <v>15711279.180392433</v>
      </c>
      <c r="W32" s="365"/>
      <c r="X32" s="377">
        <f t="shared" si="28"/>
        <v>0</v>
      </c>
      <c r="Y32" s="377">
        <f t="shared" si="29"/>
        <v>0</v>
      </c>
      <c r="Z32" s="377">
        <f t="shared" si="30"/>
        <v>0</v>
      </c>
      <c r="AA32" s="377">
        <f t="shared" si="31"/>
        <v>0</v>
      </c>
      <c r="AB32" s="377">
        <f t="shared" si="32"/>
        <v>0</v>
      </c>
      <c r="AC32" s="377">
        <f t="shared" si="33"/>
        <v>0</v>
      </c>
      <c r="AD32" s="376"/>
      <c r="AE32" s="332">
        <v>17</v>
      </c>
      <c r="AF32" s="350">
        <v>5340711.5646660896</v>
      </c>
      <c r="AG32" s="350">
        <v>32989.430049024755</v>
      </c>
      <c r="AH32" s="350">
        <v>31586.221687604579</v>
      </c>
      <c r="AI32" s="350">
        <v>30145.255210505104</v>
      </c>
      <c r="AJ32" s="350">
        <v>28666.604220288773</v>
      </c>
      <c r="AK32" s="348">
        <v>5464099.0758335125</v>
      </c>
      <c r="AL32" s="369"/>
      <c r="AM32" s="350">
        <v>7309882.1247157473</v>
      </c>
      <c r="AN32" s="350">
        <v>2026487.0160609677</v>
      </c>
      <c r="AO32" s="350">
        <v>2047858.7053200563</v>
      </c>
      <c r="AP32" s="350">
        <v>2067584.8210328843</v>
      </c>
      <c r="AQ32" s="350">
        <v>2085609.8854029875</v>
      </c>
      <c r="AR32" s="348">
        <v>15537422.552532641</v>
      </c>
      <c r="AS32" s="369"/>
      <c r="AT32" s="350">
        <f t="shared" si="50"/>
        <v>1969170.5600496577</v>
      </c>
      <c r="AU32" s="350">
        <f t="shared" si="34"/>
        <v>1993497.5860119429</v>
      </c>
      <c r="AV32" s="350">
        <f t="shared" si="35"/>
        <v>2016272.4836324516</v>
      </c>
      <c r="AW32" s="350">
        <f t="shared" si="36"/>
        <v>2037439.5658223792</v>
      </c>
      <c r="AX32" s="350">
        <f t="shared" si="37"/>
        <v>2056943.2811826987</v>
      </c>
      <c r="AY32" s="350">
        <f t="shared" si="38"/>
        <v>10073323.476699129</v>
      </c>
      <c r="AZ32" s="365"/>
      <c r="BA32" s="377">
        <f t="shared" si="51"/>
        <v>0</v>
      </c>
      <c r="BB32" s="377">
        <f t="shared" si="39"/>
        <v>0</v>
      </c>
      <c r="BC32" s="377">
        <f t="shared" si="40"/>
        <v>0</v>
      </c>
      <c r="BD32" s="377">
        <f t="shared" si="41"/>
        <v>0</v>
      </c>
      <c r="BE32" s="377">
        <f t="shared" si="42"/>
        <v>0</v>
      </c>
      <c r="BF32" s="377">
        <f t="shared" si="43"/>
        <v>0</v>
      </c>
      <c r="BG32" s="328"/>
    </row>
    <row r="33" spans="2:59">
      <c r="B33" s="332">
        <v>18</v>
      </c>
      <c r="C33" s="350">
        <v>5004212.4592735246</v>
      </c>
      <c r="D33" s="350">
        <v>30910.884228959356</v>
      </c>
      <c r="E33" s="350">
        <v>29596.087000135962</v>
      </c>
      <c r="F33" s="350">
        <v>28245.910659251727</v>
      </c>
      <c r="G33" s="350">
        <v>26860.424171437964</v>
      </c>
      <c r="H33" s="348">
        <v>5119825.7653333098</v>
      </c>
      <c r="I33" s="369"/>
      <c r="J33" s="350">
        <v>6610974.2683093362</v>
      </c>
      <c r="K33" s="350">
        <v>1657522.5412345878</v>
      </c>
      <c r="L33" s="350">
        <v>1674791.1193840823</v>
      </c>
      <c r="M33" s="350">
        <v>1690712.4074665937</v>
      </c>
      <c r="N33" s="350">
        <v>1705241.1468010857</v>
      </c>
      <c r="O33" s="348">
        <v>13339241.483195687</v>
      </c>
      <c r="P33" s="369"/>
      <c r="Q33" s="350">
        <f t="shared" si="44"/>
        <v>1606761.8090358116</v>
      </c>
      <c r="R33" s="350">
        <f t="shared" si="45"/>
        <v>1626611.6570056283</v>
      </c>
      <c r="S33" s="350">
        <f t="shared" si="46"/>
        <v>1645195.0323839462</v>
      </c>
      <c r="T33" s="350">
        <f t="shared" si="47"/>
        <v>1662466.4968073419</v>
      </c>
      <c r="U33" s="350">
        <f t="shared" si="48"/>
        <v>1678380.7226296477</v>
      </c>
      <c r="V33" s="350">
        <f t="shared" si="49"/>
        <v>8219415.7178623769</v>
      </c>
      <c r="W33" s="365"/>
      <c r="X33" s="377">
        <f t="shared" si="28"/>
        <v>0</v>
      </c>
      <c r="Y33" s="377">
        <f t="shared" si="29"/>
        <v>0</v>
      </c>
      <c r="Z33" s="377">
        <f t="shared" si="30"/>
        <v>0</v>
      </c>
      <c r="AA33" s="377">
        <f t="shared" si="31"/>
        <v>0</v>
      </c>
      <c r="AB33" s="377">
        <f t="shared" si="32"/>
        <v>0</v>
      </c>
      <c r="AC33" s="377">
        <f t="shared" si="33"/>
        <v>0</v>
      </c>
      <c r="AD33" s="376"/>
      <c r="AE33" s="332">
        <v>18</v>
      </c>
      <c r="AF33" s="350">
        <v>5667200.1517774416</v>
      </c>
      <c r="AG33" s="350">
        <v>35006.141169987139</v>
      </c>
      <c r="AH33" s="350">
        <v>33517.151820435873</v>
      </c>
      <c r="AI33" s="350">
        <v>31988.096124608302</v>
      </c>
      <c r="AJ33" s="350">
        <v>30419.052184543016</v>
      </c>
      <c r="AK33" s="348">
        <v>5798130.5930770151</v>
      </c>
      <c r="AL33" s="369"/>
      <c r="AM33" s="350">
        <v>7984780.3895060197</v>
      </c>
      <c r="AN33" s="350">
        <v>2381217.6390629876</v>
      </c>
      <c r="AO33" s="350">
        <v>2406533.1600552178</v>
      </c>
      <c r="AP33" s="350">
        <v>2429916.324950642</v>
      </c>
      <c r="AQ33" s="350">
        <v>2451301.8316210695</v>
      </c>
      <c r="AR33" s="348">
        <v>17653749.345195938</v>
      </c>
      <c r="AS33" s="369"/>
      <c r="AT33" s="350">
        <f t="shared" si="50"/>
        <v>2317580.237728578</v>
      </c>
      <c r="AU33" s="350">
        <f t="shared" si="34"/>
        <v>2346211.4978930005</v>
      </c>
      <c r="AV33" s="350">
        <f t="shared" si="35"/>
        <v>2373016.0082347821</v>
      </c>
      <c r="AW33" s="350">
        <f t="shared" si="36"/>
        <v>2397928.2288260339</v>
      </c>
      <c r="AX33" s="350">
        <f t="shared" si="37"/>
        <v>2420882.7794365264</v>
      </c>
      <c r="AY33" s="350">
        <f t="shared" si="38"/>
        <v>11855618.752118923</v>
      </c>
      <c r="AZ33" s="365"/>
      <c r="BA33" s="377">
        <f t="shared" si="51"/>
        <v>0</v>
      </c>
      <c r="BB33" s="377">
        <f t="shared" si="39"/>
        <v>0</v>
      </c>
      <c r="BC33" s="377">
        <f t="shared" si="40"/>
        <v>0</v>
      </c>
      <c r="BD33" s="377">
        <f t="shared" si="41"/>
        <v>0</v>
      </c>
      <c r="BE33" s="377">
        <f t="shared" si="42"/>
        <v>0</v>
      </c>
      <c r="BF33" s="377">
        <f t="shared" si="43"/>
        <v>0</v>
      </c>
      <c r="BG33" s="328"/>
    </row>
    <row r="34" spans="2:59">
      <c r="B34" s="332">
        <v>19</v>
      </c>
      <c r="C34" s="350">
        <v>6241640.0063066101</v>
      </c>
      <c r="D34" s="350">
        <v>38554.440524653568</v>
      </c>
      <c r="E34" s="350">
        <v>36914.523944291475</v>
      </c>
      <c r="F34" s="350">
        <v>35230.47980479648</v>
      </c>
      <c r="G34" s="350">
        <v>33502.394124799561</v>
      </c>
      <c r="H34" s="348">
        <v>6385841.8447051505</v>
      </c>
      <c r="I34" s="369"/>
      <c r="J34" s="350">
        <v>7944708.0551858172</v>
      </c>
      <c r="K34" s="350">
        <v>1762662.0994209733</v>
      </c>
      <c r="L34" s="350">
        <v>1780719.4103133846</v>
      </c>
      <c r="M34" s="350">
        <v>1797342.0492500134</v>
      </c>
      <c r="N34" s="350">
        <v>1812482.0577506227</v>
      </c>
      <c r="O34" s="348">
        <v>15097913.671920814</v>
      </c>
      <c r="P34" s="369"/>
      <c r="Q34" s="350">
        <f t="shared" si="44"/>
        <v>1703068.0488792071</v>
      </c>
      <c r="R34" s="350">
        <f t="shared" si="45"/>
        <v>1724107.6588963198</v>
      </c>
      <c r="S34" s="350">
        <f t="shared" si="46"/>
        <v>1743804.8863690931</v>
      </c>
      <c r="T34" s="350">
        <f t="shared" si="47"/>
        <v>1762111.569445217</v>
      </c>
      <c r="U34" s="350">
        <f t="shared" si="48"/>
        <v>1778979.6636258231</v>
      </c>
      <c r="V34" s="350">
        <f t="shared" si="49"/>
        <v>8712071.8272156641</v>
      </c>
      <c r="W34" s="365"/>
      <c r="X34" s="377">
        <f t="shared" si="28"/>
        <v>0</v>
      </c>
      <c r="Y34" s="377">
        <f t="shared" si="29"/>
        <v>0</v>
      </c>
      <c r="Z34" s="377">
        <f t="shared" si="30"/>
        <v>0</v>
      </c>
      <c r="AA34" s="377">
        <f t="shared" si="31"/>
        <v>0</v>
      </c>
      <c r="AB34" s="377">
        <f t="shared" si="32"/>
        <v>0</v>
      </c>
      <c r="AC34" s="377">
        <f t="shared" si="33"/>
        <v>0</v>
      </c>
      <c r="AD34" s="376"/>
      <c r="AE34" s="332">
        <v>19</v>
      </c>
      <c r="AF34" s="350">
        <v>7099709.9006040646</v>
      </c>
      <c r="AG34" s="350">
        <v>43854.71491924367</v>
      </c>
      <c r="AH34" s="350">
        <v>41989.350692857217</v>
      </c>
      <c r="AI34" s="350">
        <v>40073.792468071741</v>
      </c>
      <c r="AJ34" s="350">
        <v>38108.138088937892</v>
      </c>
      <c r="AK34" s="348">
        <v>7263735.8967731753</v>
      </c>
      <c r="AL34" s="369"/>
      <c r="AM34" s="350">
        <v>8741861.2219849117</v>
      </c>
      <c r="AN34" s="350">
        <v>1706293.0843799817</v>
      </c>
      <c r="AO34" s="350">
        <v>1723420.4011232371</v>
      </c>
      <c r="AP34" s="350">
        <v>1739156.7175979628</v>
      </c>
      <c r="AQ34" s="350">
        <v>1753455.805644176</v>
      </c>
      <c r="AR34" s="348">
        <v>15664187.230730269</v>
      </c>
      <c r="AS34" s="369"/>
      <c r="AT34" s="350">
        <f t="shared" si="50"/>
        <v>1642151.3213808471</v>
      </c>
      <c r="AU34" s="350">
        <f t="shared" si="34"/>
        <v>1662438.369460738</v>
      </c>
      <c r="AV34" s="350">
        <f t="shared" si="35"/>
        <v>1681431.0504303798</v>
      </c>
      <c r="AW34" s="350">
        <f t="shared" si="36"/>
        <v>1699082.9251298911</v>
      </c>
      <c r="AX34" s="350">
        <f t="shared" si="37"/>
        <v>1715347.6675552381</v>
      </c>
      <c r="AY34" s="350">
        <f t="shared" si="38"/>
        <v>8400451.3339570947</v>
      </c>
      <c r="AZ34" s="365"/>
      <c r="BA34" s="377">
        <f t="shared" si="51"/>
        <v>0</v>
      </c>
      <c r="BB34" s="377">
        <f t="shared" si="39"/>
        <v>0</v>
      </c>
      <c r="BC34" s="377">
        <f t="shared" si="40"/>
        <v>0</v>
      </c>
      <c r="BD34" s="377">
        <f t="shared" si="41"/>
        <v>0</v>
      </c>
      <c r="BE34" s="377">
        <f t="shared" si="42"/>
        <v>0</v>
      </c>
      <c r="BF34" s="377">
        <f t="shared" si="43"/>
        <v>0</v>
      </c>
      <c r="BG34" s="328"/>
    </row>
    <row r="35" spans="2:59">
      <c r="B35" s="332">
        <v>20</v>
      </c>
      <c r="C35" s="350">
        <v>6592497.1744599249</v>
      </c>
      <c r="D35" s="350">
        <v>40721.675707802264</v>
      </c>
      <c r="E35" s="350">
        <v>38989.575584843798</v>
      </c>
      <c r="F35" s="350">
        <v>37210.86738955068</v>
      </c>
      <c r="G35" s="350">
        <v>35385.641975861305</v>
      </c>
      <c r="H35" s="348">
        <v>6744804.9351179823</v>
      </c>
      <c r="I35" s="369"/>
      <c r="J35" s="350">
        <v>9037791.7953608353</v>
      </c>
      <c r="K35" s="350">
        <v>2516225.3333142968</v>
      </c>
      <c r="L35" s="350">
        <v>2542774.8537745732</v>
      </c>
      <c r="M35" s="350">
        <v>2567281.1984179188</v>
      </c>
      <c r="N35" s="350">
        <v>2589675.4749741172</v>
      </c>
      <c r="O35" s="348">
        <v>19253748.655841742</v>
      </c>
      <c r="P35" s="369"/>
      <c r="Q35" s="350">
        <f t="shared" si="44"/>
        <v>2445294.6209009103</v>
      </c>
      <c r="R35" s="350">
        <f t="shared" si="45"/>
        <v>2475503.6576064946</v>
      </c>
      <c r="S35" s="350">
        <f t="shared" si="46"/>
        <v>2503785.2781897294</v>
      </c>
      <c r="T35" s="350">
        <f t="shared" si="47"/>
        <v>2530070.3310283679</v>
      </c>
      <c r="U35" s="350">
        <f t="shared" si="48"/>
        <v>2554289.8329982557</v>
      </c>
      <c r="V35" s="350">
        <f t="shared" si="49"/>
        <v>12508943.720723759</v>
      </c>
      <c r="W35" s="365"/>
      <c r="X35" s="377">
        <f t="shared" si="28"/>
        <v>0</v>
      </c>
      <c r="Y35" s="377">
        <f t="shared" si="29"/>
        <v>0</v>
      </c>
      <c r="Z35" s="377">
        <f t="shared" si="30"/>
        <v>0</v>
      </c>
      <c r="AA35" s="377">
        <f t="shared" si="31"/>
        <v>0</v>
      </c>
      <c r="AB35" s="377">
        <f t="shared" si="32"/>
        <v>0</v>
      </c>
      <c r="AC35" s="377">
        <f t="shared" si="33"/>
        <v>0</v>
      </c>
      <c r="AD35" s="376"/>
      <c r="AE35" s="332">
        <v>20</v>
      </c>
      <c r="AF35" s="350">
        <v>5722135.1949485708</v>
      </c>
      <c r="AG35" s="350">
        <v>35345.473437232235</v>
      </c>
      <c r="AH35" s="350">
        <v>33842.050559303752</v>
      </c>
      <c r="AI35" s="350">
        <v>32298.172951701326</v>
      </c>
      <c r="AJ35" s="350">
        <v>30713.919473545073</v>
      </c>
      <c r="AK35" s="348">
        <v>5854334.8113703523</v>
      </c>
      <c r="AL35" s="369"/>
      <c r="AM35" s="350">
        <v>8273344.7753709052</v>
      </c>
      <c r="AN35" s="350">
        <v>2618072.5582125704</v>
      </c>
      <c r="AO35" s="350">
        <v>2646075.7398824533</v>
      </c>
      <c r="AP35" s="350">
        <v>2671955.4201768963</v>
      </c>
      <c r="AQ35" s="350">
        <v>2695639.7069108337</v>
      </c>
      <c r="AR35" s="348">
        <v>18905088.200553659</v>
      </c>
      <c r="AS35" s="369"/>
      <c r="AT35" s="350">
        <f t="shared" si="50"/>
        <v>2551209.5804223344</v>
      </c>
      <c r="AU35" s="350">
        <f t="shared" si="34"/>
        <v>2582727.0847753379</v>
      </c>
      <c r="AV35" s="350">
        <f t="shared" si="35"/>
        <v>2612233.6893231496</v>
      </c>
      <c r="AW35" s="350">
        <f t="shared" si="36"/>
        <v>2639657.2472251952</v>
      </c>
      <c r="AX35" s="350">
        <f t="shared" si="37"/>
        <v>2664925.7874372886</v>
      </c>
      <c r="AY35" s="350">
        <f t="shared" si="38"/>
        <v>13050753.389183307</v>
      </c>
      <c r="AZ35" s="365"/>
      <c r="BA35" s="377">
        <f t="shared" si="51"/>
        <v>0</v>
      </c>
      <c r="BB35" s="377">
        <f t="shared" si="39"/>
        <v>0</v>
      </c>
      <c r="BC35" s="377">
        <f t="shared" si="40"/>
        <v>0</v>
      </c>
      <c r="BD35" s="377">
        <f t="shared" si="41"/>
        <v>0</v>
      </c>
      <c r="BE35" s="377">
        <f t="shared" si="42"/>
        <v>0</v>
      </c>
      <c r="BF35" s="377">
        <f t="shared" si="43"/>
        <v>0</v>
      </c>
      <c r="BG35" s="328"/>
    </row>
    <row r="36" spans="2:59">
      <c r="B36" s="332">
        <v>21</v>
      </c>
      <c r="C36" s="350">
        <v>6700952.8498217287</v>
      </c>
      <c r="D36" s="350">
        <v>41391.603464139756</v>
      </c>
      <c r="E36" s="350">
        <v>39631.007904073362</v>
      </c>
      <c r="F36" s="350">
        <v>37823.037504566557</v>
      </c>
      <c r="G36" s="350">
        <v>35967.784614233562</v>
      </c>
      <c r="H36" s="348">
        <v>6855766.2833087416</v>
      </c>
      <c r="I36" s="369"/>
      <c r="J36" s="350">
        <v>9452704.3404745758</v>
      </c>
      <c r="K36" s="350">
        <v>2827138.0823181001</v>
      </c>
      <c r="L36" s="350">
        <v>2857203.5051579447</v>
      </c>
      <c r="M36" s="350">
        <v>2884974.7652987493</v>
      </c>
      <c r="N36" s="350">
        <v>2910374.3266458749</v>
      </c>
      <c r="O36" s="348">
        <v>20932395.019895244</v>
      </c>
      <c r="P36" s="369"/>
      <c r="Q36" s="350">
        <f t="shared" si="44"/>
        <v>2751751.4906528471</v>
      </c>
      <c r="R36" s="350">
        <f t="shared" si="45"/>
        <v>2785746.4788539605</v>
      </c>
      <c r="S36" s="350">
        <f t="shared" si="46"/>
        <v>2817572.4972538715</v>
      </c>
      <c r="T36" s="350">
        <f t="shared" si="47"/>
        <v>2847151.727794183</v>
      </c>
      <c r="U36" s="350">
        <f t="shared" si="48"/>
        <v>2874406.5420316411</v>
      </c>
      <c r="V36" s="350">
        <f t="shared" si="49"/>
        <v>14076628.736586504</v>
      </c>
      <c r="W36" s="365"/>
      <c r="X36" s="377">
        <f t="shared" si="28"/>
        <v>0</v>
      </c>
      <c r="Y36" s="377">
        <f t="shared" si="29"/>
        <v>0</v>
      </c>
      <c r="Z36" s="377">
        <f t="shared" si="30"/>
        <v>0</v>
      </c>
      <c r="AA36" s="377">
        <f t="shared" si="31"/>
        <v>0</v>
      </c>
      <c r="AB36" s="377">
        <f t="shared" si="32"/>
        <v>0</v>
      </c>
      <c r="AC36" s="377">
        <f t="shared" si="33"/>
        <v>0</v>
      </c>
      <c r="AD36" s="376"/>
      <c r="AE36" s="332">
        <v>21</v>
      </c>
      <c r="AF36" s="350">
        <v>5517915.6714074705</v>
      </c>
      <c r="AG36" s="350">
        <v>34084.014995797668</v>
      </c>
      <c r="AH36" s="350">
        <v>32634.248365645148</v>
      </c>
      <c r="AI36" s="350">
        <v>31145.470810503371</v>
      </c>
      <c r="AJ36" s="350">
        <v>29617.758375059493</v>
      </c>
      <c r="AK36" s="348">
        <v>5645397.1639544768</v>
      </c>
      <c r="AL36" s="369"/>
      <c r="AM36" s="350">
        <v>7589051.2579270303</v>
      </c>
      <c r="AN36" s="350">
        <v>2130806.2978670448</v>
      </c>
      <c r="AO36" s="350">
        <v>2153310.7289575757</v>
      </c>
      <c r="AP36" s="350">
        <v>2174085.0798869669</v>
      </c>
      <c r="AQ36" s="350">
        <v>2193070.9988106471</v>
      </c>
      <c r="AR36" s="348">
        <v>16240324.363449264</v>
      </c>
      <c r="AS36" s="369"/>
      <c r="AT36" s="350">
        <f t="shared" si="50"/>
        <v>2071135.5865195598</v>
      </c>
      <c r="AU36" s="350">
        <f t="shared" si="34"/>
        <v>2096722.282871247</v>
      </c>
      <c r="AV36" s="350">
        <f t="shared" si="35"/>
        <v>2120676.4805919304</v>
      </c>
      <c r="AW36" s="350">
        <f t="shared" si="36"/>
        <v>2142939.6090764636</v>
      </c>
      <c r="AX36" s="350">
        <f t="shared" si="37"/>
        <v>2163453.2404355877</v>
      </c>
      <c r="AY36" s="350">
        <f t="shared" si="38"/>
        <v>10594927.199494787</v>
      </c>
      <c r="AZ36" s="365"/>
      <c r="BA36" s="377">
        <f t="shared" si="51"/>
        <v>0</v>
      </c>
      <c r="BB36" s="377">
        <f t="shared" si="39"/>
        <v>0</v>
      </c>
      <c r="BC36" s="377">
        <f t="shared" si="40"/>
        <v>0</v>
      </c>
      <c r="BD36" s="377">
        <f t="shared" si="41"/>
        <v>0</v>
      </c>
      <c r="BE36" s="377">
        <f t="shared" si="42"/>
        <v>0</v>
      </c>
      <c r="BF36" s="377">
        <f t="shared" si="43"/>
        <v>0</v>
      </c>
      <c r="BG36" s="328"/>
    </row>
    <row r="37" spans="2:59">
      <c r="B37" s="332">
        <v>22</v>
      </c>
      <c r="C37" s="350">
        <v>5463940.6137549914</v>
      </c>
      <c r="D37" s="350">
        <v>33750.612532989006</v>
      </c>
      <c r="E37" s="350">
        <v>32315.027206446728</v>
      </c>
      <c r="F37" s="350">
        <v>30840.812551349471</v>
      </c>
      <c r="G37" s="350">
        <v>29328.043868527573</v>
      </c>
      <c r="H37" s="348">
        <v>5590175.1099143047</v>
      </c>
      <c r="I37" s="369"/>
      <c r="J37" s="350">
        <v>7210942.2947892444</v>
      </c>
      <c r="K37" s="350">
        <v>1802334.6572857038</v>
      </c>
      <c r="L37" s="350">
        <v>1821104.4240173446</v>
      </c>
      <c r="M37" s="350">
        <v>1838409.1454882566</v>
      </c>
      <c r="N37" s="350">
        <v>1854199.6131081516</v>
      </c>
      <c r="O37" s="348">
        <v>14526990.134688701</v>
      </c>
      <c r="P37" s="369"/>
      <c r="Q37" s="350">
        <f t="shared" si="44"/>
        <v>1747001.681034253</v>
      </c>
      <c r="R37" s="350">
        <f t="shared" si="45"/>
        <v>1768584.0447527147</v>
      </c>
      <c r="S37" s="350">
        <f t="shared" si="46"/>
        <v>1788789.3968108979</v>
      </c>
      <c r="T37" s="350">
        <f t="shared" si="47"/>
        <v>1807568.3329369072</v>
      </c>
      <c r="U37" s="350">
        <f t="shared" si="48"/>
        <v>1824871.5692396241</v>
      </c>
      <c r="V37" s="350">
        <f t="shared" si="49"/>
        <v>8936815.0247743968</v>
      </c>
      <c r="W37" s="365"/>
      <c r="X37" s="377">
        <f t="shared" si="28"/>
        <v>0</v>
      </c>
      <c r="Y37" s="377">
        <f t="shared" si="29"/>
        <v>0</v>
      </c>
      <c r="Z37" s="377">
        <f t="shared" si="30"/>
        <v>0</v>
      </c>
      <c r="AA37" s="377">
        <f t="shared" si="31"/>
        <v>0</v>
      </c>
      <c r="AB37" s="377">
        <f t="shared" si="32"/>
        <v>0</v>
      </c>
      <c r="AC37" s="377">
        <f t="shared" si="33"/>
        <v>0</v>
      </c>
      <c r="AD37" s="376"/>
      <c r="AE37" s="332">
        <v>22</v>
      </c>
      <c r="AF37" s="350">
        <v>6903373.7795920121</v>
      </c>
      <c r="AG37" s="350">
        <v>42641.952040777935</v>
      </c>
      <c r="AH37" s="350">
        <v>40828.172792032565</v>
      </c>
      <c r="AI37" s="350">
        <v>38965.587614975841</v>
      </c>
      <c r="AJ37" s="350">
        <v>37054.291647869584</v>
      </c>
      <c r="AK37" s="348">
        <v>7062863.783687667</v>
      </c>
      <c r="AL37" s="369"/>
      <c r="AM37" s="350">
        <v>8636176.5739436634</v>
      </c>
      <c r="AN37" s="350">
        <v>1796851.6978373306</v>
      </c>
      <c r="AO37" s="350">
        <v>1815079.0501383583</v>
      </c>
      <c r="AP37" s="350">
        <v>1831842.7738809576</v>
      </c>
      <c r="AQ37" s="350">
        <v>1847094.080870776</v>
      </c>
      <c r="AR37" s="348">
        <v>15927044.176671086</v>
      </c>
      <c r="AS37" s="369"/>
      <c r="AT37" s="350">
        <f t="shared" si="50"/>
        <v>1732802.7943516513</v>
      </c>
      <c r="AU37" s="350">
        <f t="shared" si="34"/>
        <v>1754209.7457965526</v>
      </c>
      <c r="AV37" s="350">
        <f t="shared" si="35"/>
        <v>1774250.8773463257</v>
      </c>
      <c r="AW37" s="350">
        <f t="shared" si="36"/>
        <v>1792877.1862659818</v>
      </c>
      <c r="AX37" s="350">
        <f t="shared" si="37"/>
        <v>1810039.7892229063</v>
      </c>
      <c r="AY37" s="350">
        <f t="shared" si="38"/>
        <v>8864180.392983418</v>
      </c>
      <c r="AZ37" s="365"/>
      <c r="BA37" s="377">
        <f t="shared" si="51"/>
        <v>0</v>
      </c>
      <c r="BB37" s="377">
        <f t="shared" si="39"/>
        <v>0</v>
      </c>
      <c r="BC37" s="377">
        <f t="shared" si="40"/>
        <v>0</v>
      </c>
      <c r="BD37" s="377">
        <f t="shared" si="41"/>
        <v>0</v>
      </c>
      <c r="BE37" s="377">
        <f t="shared" si="42"/>
        <v>0</v>
      </c>
      <c r="BF37" s="377">
        <f t="shared" si="43"/>
        <v>0</v>
      </c>
      <c r="BG37" s="328"/>
    </row>
    <row r="38" spans="2:59">
      <c r="B38" s="332">
        <v>23</v>
      </c>
      <c r="C38" s="350">
        <v>6346525.3846864663</v>
      </c>
      <c r="D38" s="350">
        <v>39202.314653658585</v>
      </c>
      <c r="E38" s="350">
        <v>37534.840689201556</v>
      </c>
      <c r="F38" s="350">
        <v>35822.497640027468</v>
      </c>
      <c r="G38" s="350">
        <v>34065.372970240744</v>
      </c>
      <c r="H38" s="348">
        <v>6493150.4106395952</v>
      </c>
      <c r="I38" s="369"/>
      <c r="J38" s="350">
        <v>8633909.9571487941</v>
      </c>
      <c r="K38" s="350">
        <v>2354845.1116745644</v>
      </c>
      <c r="L38" s="350">
        <v>2379632.9131003963</v>
      </c>
      <c r="M38" s="350">
        <v>2402508.2102625682</v>
      </c>
      <c r="N38" s="350">
        <v>2423406.5622315179</v>
      </c>
      <c r="O38" s="348">
        <v>18194302.75441784</v>
      </c>
      <c r="P38" s="369"/>
      <c r="Q38" s="350">
        <f t="shared" si="44"/>
        <v>2287384.5724623278</v>
      </c>
      <c r="R38" s="350">
        <f t="shared" si="45"/>
        <v>2315642.7970209057</v>
      </c>
      <c r="S38" s="350">
        <f t="shared" si="46"/>
        <v>2342098.0724111949</v>
      </c>
      <c r="T38" s="350">
        <f t="shared" si="47"/>
        <v>2366685.7126225405</v>
      </c>
      <c r="U38" s="350">
        <f t="shared" si="48"/>
        <v>2389341.1892612772</v>
      </c>
      <c r="V38" s="350">
        <f t="shared" si="49"/>
        <v>11701152.343778245</v>
      </c>
      <c r="W38" s="365"/>
      <c r="X38" s="377">
        <f t="shared" si="28"/>
        <v>0</v>
      </c>
      <c r="Y38" s="377">
        <f t="shared" si="29"/>
        <v>0</v>
      </c>
      <c r="Z38" s="377">
        <f t="shared" si="30"/>
        <v>0</v>
      </c>
      <c r="AA38" s="377">
        <f t="shared" si="31"/>
        <v>0</v>
      </c>
      <c r="AB38" s="377">
        <f t="shared" si="32"/>
        <v>0</v>
      </c>
      <c r="AC38" s="377">
        <f t="shared" si="33"/>
        <v>0</v>
      </c>
      <c r="AD38" s="376"/>
      <c r="AE38" s="332">
        <v>23</v>
      </c>
      <c r="AF38" s="350">
        <v>5183783.7543297932</v>
      </c>
      <c r="AG38" s="350">
        <v>32020.09123355868</v>
      </c>
      <c r="AH38" s="350">
        <v>30658.113785462716</v>
      </c>
      <c r="AI38" s="350">
        <v>29259.487680291422</v>
      </c>
      <c r="AJ38" s="350">
        <v>27824.284357927463</v>
      </c>
      <c r="AK38" s="348">
        <v>5303545.7313870341</v>
      </c>
      <c r="AL38" s="369"/>
      <c r="AM38" s="350">
        <v>7251344.8079419443</v>
      </c>
      <c r="AN38" s="350">
        <v>2125123.6816123398</v>
      </c>
      <c r="AO38" s="350">
        <v>2147674.5597977256</v>
      </c>
      <c r="AP38" s="350">
        <v>2168500.6386736156</v>
      </c>
      <c r="AQ38" s="350">
        <v>2187543.6626302144</v>
      </c>
      <c r="AR38" s="348">
        <v>15880187.350655839</v>
      </c>
      <c r="AS38" s="369"/>
      <c r="AT38" s="350">
        <f t="shared" si="50"/>
        <v>2067561.0536121512</v>
      </c>
      <c r="AU38" s="350">
        <f t="shared" si="34"/>
        <v>2093103.5903787811</v>
      </c>
      <c r="AV38" s="350">
        <f t="shared" si="35"/>
        <v>2117016.4460122627</v>
      </c>
      <c r="AW38" s="350">
        <f t="shared" si="36"/>
        <v>2139241.1509933244</v>
      </c>
      <c r="AX38" s="350">
        <f t="shared" si="37"/>
        <v>2159719.3782722871</v>
      </c>
      <c r="AY38" s="350">
        <f t="shared" si="38"/>
        <v>10576641.619268805</v>
      </c>
      <c r="AZ38" s="365"/>
      <c r="BA38" s="377">
        <f t="shared" si="51"/>
        <v>0</v>
      </c>
      <c r="BB38" s="377">
        <f t="shared" si="39"/>
        <v>0</v>
      </c>
      <c r="BC38" s="377">
        <f t="shared" si="40"/>
        <v>0</v>
      </c>
      <c r="BD38" s="377">
        <f t="shared" si="41"/>
        <v>0</v>
      </c>
      <c r="BE38" s="377">
        <f t="shared" si="42"/>
        <v>0</v>
      </c>
      <c r="BF38" s="377">
        <f t="shared" si="43"/>
        <v>0</v>
      </c>
      <c r="BG38" s="328"/>
    </row>
    <row r="39" spans="2:59">
      <c r="B39" s="332">
        <v>24</v>
      </c>
      <c r="C39" s="350">
        <v>8328227.9644949241</v>
      </c>
      <c r="D39" s="350">
        <v>51443.237579938024</v>
      </c>
      <c r="E39" s="350">
        <v>49255.094862605583</v>
      </c>
      <c r="F39" s="350">
        <v>47008.072688656212</v>
      </c>
      <c r="G39" s="350">
        <v>44702.285832849841</v>
      </c>
      <c r="H39" s="348">
        <v>8520636.6554589737</v>
      </c>
      <c r="I39" s="369"/>
      <c r="J39" s="350">
        <v>10402137.798893016</v>
      </c>
      <c r="K39" s="350">
        <v>2150974.041237073</v>
      </c>
      <c r="L39" s="350">
        <v>2172772.1824460011</v>
      </c>
      <c r="M39" s="350">
        <v>2192818.1098061423</v>
      </c>
      <c r="N39" s="350">
        <v>2211053.4319399181</v>
      </c>
      <c r="O39" s="348">
        <v>19129755.564322151</v>
      </c>
      <c r="P39" s="369"/>
      <c r="Q39" s="350">
        <f t="shared" si="44"/>
        <v>2073909.8343980918</v>
      </c>
      <c r="R39" s="350">
        <f t="shared" si="45"/>
        <v>2099530.803657135</v>
      </c>
      <c r="S39" s="350">
        <f t="shared" si="46"/>
        <v>2123517.0875833957</v>
      </c>
      <c r="T39" s="350">
        <f t="shared" si="47"/>
        <v>2145810.0371174859</v>
      </c>
      <c r="U39" s="350">
        <f t="shared" si="48"/>
        <v>2166351.1461070683</v>
      </c>
      <c r="V39" s="350">
        <f t="shared" si="49"/>
        <v>10609118.908863178</v>
      </c>
      <c r="W39" s="365"/>
      <c r="X39" s="377">
        <f t="shared" si="28"/>
        <v>0</v>
      </c>
      <c r="Y39" s="377">
        <f t="shared" si="29"/>
        <v>0</v>
      </c>
      <c r="Z39" s="377">
        <f t="shared" si="30"/>
        <v>0</v>
      </c>
      <c r="AA39" s="377">
        <f t="shared" si="31"/>
        <v>0</v>
      </c>
      <c r="AB39" s="377">
        <f t="shared" si="32"/>
        <v>0</v>
      </c>
      <c r="AC39" s="377">
        <f t="shared" si="33"/>
        <v>0</v>
      </c>
      <c r="AD39" s="376"/>
      <c r="AE39" s="332">
        <v>24</v>
      </c>
      <c r="AF39" s="350">
        <v>7930422.0528555559</v>
      </c>
      <c r="AG39" s="350">
        <v>48986.001285443075</v>
      </c>
      <c r="AH39" s="350">
        <v>46902.377333951736</v>
      </c>
      <c r="AI39" s="350">
        <v>44762.686360371299</v>
      </c>
      <c r="AJ39" s="350">
        <v>42567.037657138106</v>
      </c>
      <c r="AK39" s="348">
        <v>8113640.1554924604</v>
      </c>
      <c r="AL39" s="369"/>
      <c r="AM39" s="350">
        <v>10131457.215718698</v>
      </c>
      <c r="AN39" s="350">
        <v>2277212.6327989828</v>
      </c>
      <c r="AO39" s="350">
        <v>2300585.590166728</v>
      </c>
      <c r="AP39" s="350">
        <v>2322105.3490856299</v>
      </c>
      <c r="AQ39" s="350">
        <v>2341709.9264194155</v>
      </c>
      <c r="AR39" s="348">
        <v>19373070.714189451</v>
      </c>
      <c r="AS39" s="369"/>
      <c r="AT39" s="350">
        <f t="shared" si="50"/>
        <v>2201035.1628631419</v>
      </c>
      <c r="AU39" s="350">
        <f t="shared" si="34"/>
        <v>2228226.6315135397</v>
      </c>
      <c r="AV39" s="350">
        <f t="shared" si="35"/>
        <v>2253683.2128327764</v>
      </c>
      <c r="AW39" s="350">
        <f t="shared" si="36"/>
        <v>2277342.6627252586</v>
      </c>
      <c r="AX39" s="350">
        <f t="shared" si="37"/>
        <v>2299142.8887622776</v>
      </c>
      <c r="AY39" s="350">
        <f t="shared" si="38"/>
        <v>11259430.558696991</v>
      </c>
      <c r="AZ39" s="365"/>
      <c r="BA39" s="377">
        <f t="shared" si="51"/>
        <v>0</v>
      </c>
      <c r="BB39" s="377">
        <f t="shared" si="39"/>
        <v>0</v>
      </c>
      <c r="BC39" s="377">
        <f t="shared" si="40"/>
        <v>0</v>
      </c>
      <c r="BD39" s="377">
        <f t="shared" si="41"/>
        <v>0</v>
      </c>
      <c r="BE39" s="377">
        <f t="shared" si="42"/>
        <v>0</v>
      </c>
      <c r="BF39" s="377">
        <f t="shared" si="43"/>
        <v>0</v>
      </c>
      <c r="BG39" s="328"/>
    </row>
    <row r="40" spans="2:59">
      <c r="B40" s="332">
        <v>25</v>
      </c>
      <c r="C40" s="350">
        <v>4367057.5895333532</v>
      </c>
      <c r="D40" s="350">
        <v>26975.195931402701</v>
      </c>
      <c r="E40" s="350">
        <v>25827.803556763934</v>
      </c>
      <c r="F40" s="350">
        <v>24649.536669687241</v>
      </c>
      <c r="G40" s="350">
        <v>23440.45545440145</v>
      </c>
      <c r="H40" s="348">
        <v>4467950.5811456088</v>
      </c>
      <c r="I40" s="369"/>
      <c r="J40" s="350">
        <v>6135559.6516075833</v>
      </c>
      <c r="K40" s="350">
        <v>1817325.2362616912</v>
      </c>
      <c r="L40" s="350">
        <v>1836631.8635756178</v>
      </c>
      <c r="M40" s="350">
        <v>1854463.6455184603</v>
      </c>
      <c r="N40" s="350">
        <v>1870770.7518455887</v>
      </c>
      <c r="O40" s="348">
        <v>13514751.148808939</v>
      </c>
      <c r="P40" s="369"/>
      <c r="Q40" s="350">
        <f t="shared" si="44"/>
        <v>1768502.0620742301</v>
      </c>
      <c r="R40" s="350">
        <f t="shared" si="45"/>
        <v>1790350.0403302885</v>
      </c>
      <c r="S40" s="350">
        <f t="shared" si="46"/>
        <v>1810804.0600188538</v>
      </c>
      <c r="T40" s="350">
        <f t="shared" si="47"/>
        <v>1829814.1088487732</v>
      </c>
      <c r="U40" s="350">
        <f t="shared" si="48"/>
        <v>1847330.2963911872</v>
      </c>
      <c r="V40" s="350">
        <f t="shared" si="49"/>
        <v>9046800.5676633306</v>
      </c>
      <c r="W40" s="365"/>
      <c r="X40" s="377">
        <f t="shared" si="28"/>
        <v>0</v>
      </c>
      <c r="Y40" s="377">
        <f t="shared" si="29"/>
        <v>0</v>
      </c>
      <c r="Z40" s="377">
        <f t="shared" si="30"/>
        <v>0</v>
      </c>
      <c r="AA40" s="377">
        <f t="shared" si="31"/>
        <v>0</v>
      </c>
      <c r="AB40" s="377">
        <f t="shared" si="32"/>
        <v>0</v>
      </c>
      <c r="AC40" s="377">
        <f t="shared" si="33"/>
        <v>0</v>
      </c>
      <c r="AD40" s="376"/>
      <c r="AE40" s="332">
        <v>25</v>
      </c>
      <c r="AF40" s="350">
        <v>5242215.460111158</v>
      </c>
      <c r="AG40" s="350">
        <v>32381.022290623729</v>
      </c>
      <c r="AH40" s="350">
        <v>31003.692607693505</v>
      </c>
      <c r="AI40" s="350">
        <v>29589.301163352877</v>
      </c>
      <c r="AJ40" s="350">
        <v>28137.920202753165</v>
      </c>
      <c r="AK40" s="348">
        <v>5363327.3963755816</v>
      </c>
      <c r="AL40" s="369"/>
      <c r="AM40" s="350">
        <v>7034978.3264963543</v>
      </c>
      <c r="AN40" s="350">
        <v>1847291.5835883785</v>
      </c>
      <c r="AO40" s="350">
        <v>1866648.8675382806</v>
      </c>
      <c r="AP40" s="350">
        <v>1884505.310073331</v>
      </c>
      <c r="AQ40" s="350">
        <v>1900810.4085990223</v>
      </c>
      <c r="AR40" s="348">
        <v>14534234.496295366</v>
      </c>
      <c r="AS40" s="369"/>
      <c r="AT40" s="350">
        <f t="shared" si="50"/>
        <v>1792762.8663851963</v>
      </c>
      <c r="AU40" s="350">
        <f t="shared" si="34"/>
        <v>1814910.5612977548</v>
      </c>
      <c r="AV40" s="350">
        <f t="shared" si="35"/>
        <v>1835645.1749305869</v>
      </c>
      <c r="AW40" s="350">
        <f t="shared" si="36"/>
        <v>1854916.0089099782</v>
      </c>
      <c r="AX40" s="350">
        <f t="shared" si="37"/>
        <v>1872672.488396269</v>
      </c>
      <c r="AY40" s="350">
        <f t="shared" si="38"/>
        <v>9170907.0999197848</v>
      </c>
      <c r="AZ40" s="365"/>
      <c r="BA40" s="377">
        <f t="shared" si="51"/>
        <v>0</v>
      </c>
      <c r="BB40" s="377">
        <f t="shared" si="39"/>
        <v>0</v>
      </c>
      <c r="BC40" s="377">
        <f t="shared" si="40"/>
        <v>0</v>
      </c>
      <c r="BD40" s="377">
        <f t="shared" si="41"/>
        <v>0</v>
      </c>
      <c r="BE40" s="377">
        <f t="shared" si="42"/>
        <v>0</v>
      </c>
      <c r="BF40" s="377">
        <f t="shared" si="43"/>
        <v>0</v>
      </c>
      <c r="BG40" s="328"/>
    </row>
    <row r="41" spans="2:59">
      <c r="B41" s="332">
        <v>26</v>
      </c>
      <c r="C41" s="350">
        <v>4565709.2238518959</v>
      </c>
      <c r="D41" s="350">
        <v>28202.261672572738</v>
      </c>
      <c r="E41" s="350">
        <v>27002.675946748619</v>
      </c>
      <c r="F41" s="350">
        <v>25770.811268025554</v>
      </c>
      <c r="G41" s="350">
        <v>24506.730558341118</v>
      </c>
      <c r="H41" s="348">
        <v>4671191.7032975852</v>
      </c>
      <c r="I41" s="369"/>
      <c r="J41" s="350">
        <v>6685911.1378858946</v>
      </c>
      <c r="K41" s="350">
        <v>2174597.0347988238</v>
      </c>
      <c r="L41" s="350">
        <v>2197919.1347545679</v>
      </c>
      <c r="M41" s="350">
        <v>2219477.8241721154</v>
      </c>
      <c r="N41" s="350">
        <v>2239213.3538957108</v>
      </c>
      <c r="O41" s="348">
        <v>15517118.485507112</v>
      </c>
      <c r="P41" s="369"/>
      <c r="Q41" s="350">
        <f t="shared" si="44"/>
        <v>2120201.9140339987</v>
      </c>
      <c r="R41" s="350">
        <f t="shared" si="45"/>
        <v>2146394.7731262511</v>
      </c>
      <c r="S41" s="350">
        <f t="shared" si="46"/>
        <v>2170916.4588078191</v>
      </c>
      <c r="T41" s="350">
        <f t="shared" si="47"/>
        <v>2193707.0129040899</v>
      </c>
      <c r="U41" s="350">
        <f t="shared" si="48"/>
        <v>2214706.6233373699</v>
      </c>
      <c r="V41" s="350">
        <f t="shared" si="49"/>
        <v>10845926.782209527</v>
      </c>
      <c r="W41" s="365"/>
      <c r="X41" s="377">
        <f t="shared" si="28"/>
        <v>0</v>
      </c>
      <c r="Y41" s="377">
        <f t="shared" si="29"/>
        <v>0</v>
      </c>
      <c r="Z41" s="377">
        <f t="shared" si="30"/>
        <v>0</v>
      </c>
      <c r="AA41" s="377">
        <f t="shared" si="31"/>
        <v>0</v>
      </c>
      <c r="AB41" s="377">
        <f t="shared" si="32"/>
        <v>0</v>
      </c>
      <c r="AC41" s="377">
        <f t="shared" si="33"/>
        <v>0</v>
      </c>
      <c r="AD41" s="376"/>
      <c r="AE41" s="332">
        <v>26</v>
      </c>
      <c r="AF41" s="350">
        <v>5074665.9334790548</v>
      </c>
      <c r="AG41" s="350">
        <v>31346.073422548994</v>
      </c>
      <c r="AH41" s="350">
        <v>30012.765382402042</v>
      </c>
      <c r="AI41" s="350">
        <v>28643.580133566968</v>
      </c>
      <c r="AJ41" s="350">
        <v>27238.587612122355</v>
      </c>
      <c r="AK41" s="348">
        <v>5191906.9400296947</v>
      </c>
      <c r="AL41" s="369"/>
      <c r="AM41" s="350">
        <v>6922413.2289519245</v>
      </c>
      <c r="AN41" s="350">
        <v>1901920.338453392</v>
      </c>
      <c r="AO41" s="350">
        <v>1921957.5791796793</v>
      </c>
      <c r="AP41" s="350">
        <v>1940450.2686018231</v>
      </c>
      <c r="AQ41" s="350">
        <v>1957346.3506748488</v>
      </c>
      <c r="AR41" s="348">
        <v>14644087.76586167</v>
      </c>
      <c r="AS41" s="369"/>
      <c r="AT41" s="350">
        <f t="shared" si="50"/>
        <v>1847747.2954728696</v>
      </c>
      <c r="AU41" s="350">
        <f t="shared" si="34"/>
        <v>1870574.265030843</v>
      </c>
      <c r="AV41" s="350">
        <f t="shared" si="35"/>
        <v>1891944.8137972772</v>
      </c>
      <c r="AW41" s="350">
        <f t="shared" si="36"/>
        <v>1911806.6884682563</v>
      </c>
      <c r="AX41" s="350">
        <f t="shared" si="37"/>
        <v>1930107.7630627265</v>
      </c>
      <c r="AY41" s="350">
        <f t="shared" si="38"/>
        <v>9452180.8258319758</v>
      </c>
      <c r="AZ41" s="365"/>
      <c r="BA41" s="377">
        <f t="shared" si="51"/>
        <v>0</v>
      </c>
      <c r="BB41" s="377">
        <f t="shared" si="39"/>
        <v>0</v>
      </c>
      <c r="BC41" s="377">
        <f t="shared" si="40"/>
        <v>0</v>
      </c>
      <c r="BD41" s="377">
        <f t="shared" si="41"/>
        <v>0</v>
      </c>
      <c r="BE41" s="377">
        <f t="shared" si="42"/>
        <v>0</v>
      </c>
      <c r="BF41" s="377">
        <f t="shared" si="43"/>
        <v>0</v>
      </c>
      <c r="BG41" s="328"/>
    </row>
    <row r="42" spans="2:59">
      <c r="B42" s="332">
        <v>27</v>
      </c>
      <c r="C42" s="350">
        <v>7025763.4424026636</v>
      </c>
      <c r="D42" s="350">
        <v>43397.949658536389</v>
      </c>
      <c r="E42" s="350">
        <v>41552.013983415774</v>
      </c>
      <c r="F42" s="350">
        <v>39656.407101458957</v>
      </c>
      <c r="G42" s="350">
        <v>37711.225837624363</v>
      </c>
      <c r="H42" s="348">
        <v>7188081.0389836989</v>
      </c>
      <c r="I42" s="369"/>
      <c r="J42" s="350">
        <v>9652527.4964797068</v>
      </c>
      <c r="K42" s="350">
        <v>2702612.9039454237</v>
      </c>
      <c r="L42" s="350">
        <v>2731147.4155604178</v>
      </c>
      <c r="M42" s="350">
        <v>2757487.5195682244</v>
      </c>
      <c r="N42" s="350">
        <v>2781559.2103157951</v>
      </c>
      <c r="O42" s="348">
        <v>20625334.545869567</v>
      </c>
      <c r="P42" s="369"/>
      <c r="Q42" s="350">
        <f t="shared" si="44"/>
        <v>2626764.0540770432</v>
      </c>
      <c r="R42" s="350">
        <f t="shared" si="45"/>
        <v>2659214.9542868873</v>
      </c>
      <c r="S42" s="350">
        <f t="shared" si="46"/>
        <v>2689595.4015770019</v>
      </c>
      <c r="T42" s="350">
        <f t="shared" si="47"/>
        <v>2717831.1124667656</v>
      </c>
      <c r="U42" s="350">
        <f t="shared" si="48"/>
        <v>2743847.984478171</v>
      </c>
      <c r="V42" s="350">
        <f t="shared" si="49"/>
        <v>13437253.506885868</v>
      </c>
      <c r="W42" s="365"/>
      <c r="X42" s="377">
        <f t="shared" si="28"/>
        <v>0</v>
      </c>
      <c r="Y42" s="377">
        <f t="shared" si="29"/>
        <v>0</v>
      </c>
      <c r="Z42" s="377">
        <f t="shared" si="30"/>
        <v>0</v>
      </c>
      <c r="AA42" s="377">
        <f t="shared" si="31"/>
        <v>0</v>
      </c>
      <c r="AB42" s="377">
        <f t="shared" si="32"/>
        <v>0</v>
      </c>
      <c r="AC42" s="377">
        <f t="shared" si="33"/>
        <v>0</v>
      </c>
      <c r="AD42" s="376"/>
      <c r="AE42" s="332">
        <v>27</v>
      </c>
      <c r="AF42" s="350">
        <v>6327207.4060917953</v>
      </c>
      <c r="AG42" s="350">
        <v>39082.988025395236</v>
      </c>
      <c r="AH42" s="350">
        <v>37420.589629757167</v>
      </c>
      <c r="AI42" s="350">
        <v>35713.458724926415</v>
      </c>
      <c r="AJ42" s="350">
        <v>33961.682508771875</v>
      </c>
      <c r="AK42" s="348">
        <v>6473386.1249806462</v>
      </c>
      <c r="AL42" s="369"/>
      <c r="AM42" s="350">
        <v>7589825.6264709299</v>
      </c>
      <c r="AN42" s="350">
        <v>1317299.5252038853</v>
      </c>
      <c r="AO42" s="350">
        <v>1330240.2299047117</v>
      </c>
      <c r="AP42" s="350">
        <v>1342105.2822264016</v>
      </c>
      <c r="AQ42" s="350">
        <v>1352859.1502031011</v>
      </c>
      <c r="AR42" s="348">
        <v>12932329.814009029</v>
      </c>
      <c r="AS42" s="369"/>
      <c r="AT42" s="350">
        <f t="shared" si="50"/>
        <v>1262618.2203791346</v>
      </c>
      <c r="AU42" s="350">
        <f t="shared" si="34"/>
        <v>1278216.5371784901</v>
      </c>
      <c r="AV42" s="350">
        <f t="shared" si="35"/>
        <v>1292819.6402749545</v>
      </c>
      <c r="AW42" s="350">
        <f t="shared" si="36"/>
        <v>1306391.8235014752</v>
      </c>
      <c r="AX42" s="350">
        <f t="shared" si="37"/>
        <v>1318897.4676943293</v>
      </c>
      <c r="AY42" s="350">
        <f t="shared" si="38"/>
        <v>6458943.6890283832</v>
      </c>
      <c r="AZ42" s="365"/>
      <c r="BA42" s="377">
        <f t="shared" si="51"/>
        <v>0</v>
      </c>
      <c r="BB42" s="377">
        <f t="shared" si="39"/>
        <v>0</v>
      </c>
      <c r="BC42" s="377">
        <f t="shared" si="40"/>
        <v>0</v>
      </c>
      <c r="BD42" s="377">
        <f t="shared" si="41"/>
        <v>0</v>
      </c>
      <c r="BE42" s="377">
        <f t="shared" si="42"/>
        <v>0</v>
      </c>
      <c r="BF42" s="377">
        <f t="shared" si="43"/>
        <v>0</v>
      </c>
      <c r="BG42" s="328"/>
    </row>
    <row r="43" spans="2:59">
      <c r="B43" s="332">
        <v>28</v>
      </c>
      <c r="C43" s="350">
        <v>6740829.1543825911</v>
      </c>
      <c r="D43" s="350">
        <v>41637.918312639333</v>
      </c>
      <c r="E43" s="350">
        <v>39866.845728432061</v>
      </c>
      <c r="F43" s="350">
        <v>38048.11638465205</v>
      </c>
      <c r="G43" s="350">
        <v>36181.823179466184</v>
      </c>
      <c r="H43" s="348">
        <v>6896563.8579877801</v>
      </c>
      <c r="I43" s="369"/>
      <c r="J43" s="350">
        <v>8840818.7392486632</v>
      </c>
      <c r="K43" s="350">
        <v>2167570.6602561153</v>
      </c>
      <c r="L43" s="350">
        <v>2190087.5029849699</v>
      </c>
      <c r="M43" s="350">
        <v>2210842.0606091428</v>
      </c>
      <c r="N43" s="350">
        <v>2229775.1841501826</v>
      </c>
      <c r="O43" s="348">
        <v>17639094.147249073</v>
      </c>
      <c r="P43" s="369"/>
      <c r="Q43" s="350">
        <f t="shared" si="44"/>
        <v>2099989.5848660721</v>
      </c>
      <c r="R43" s="350">
        <f t="shared" si="45"/>
        <v>2125932.7419434758</v>
      </c>
      <c r="S43" s="350">
        <f t="shared" si="46"/>
        <v>2150220.657256538</v>
      </c>
      <c r="T43" s="350">
        <f t="shared" si="47"/>
        <v>2172793.9442244908</v>
      </c>
      <c r="U43" s="350">
        <f t="shared" si="48"/>
        <v>2193593.3609707165</v>
      </c>
      <c r="V43" s="350">
        <f t="shared" si="49"/>
        <v>10742530.289261293</v>
      </c>
      <c r="W43" s="365"/>
      <c r="X43" s="377">
        <f t="shared" si="28"/>
        <v>0</v>
      </c>
      <c r="Y43" s="377">
        <f t="shared" si="29"/>
        <v>0</v>
      </c>
      <c r="Z43" s="377">
        <f t="shared" si="30"/>
        <v>0</v>
      </c>
      <c r="AA43" s="377">
        <f t="shared" si="31"/>
        <v>0</v>
      </c>
      <c r="AB43" s="377">
        <f t="shared" si="32"/>
        <v>0</v>
      </c>
      <c r="AC43" s="377">
        <f t="shared" si="33"/>
        <v>0</v>
      </c>
      <c r="AD43" s="376"/>
      <c r="AE43" s="332">
        <v>28</v>
      </c>
      <c r="AF43" s="350">
        <v>6150572.8410404157</v>
      </c>
      <c r="AG43" s="350">
        <v>37991.921122146501</v>
      </c>
      <c r="AH43" s="350">
        <v>36375.93135494637</v>
      </c>
      <c r="AI43" s="350">
        <v>34716.457861277573</v>
      </c>
      <c r="AJ43" s="350">
        <v>33013.585404736295</v>
      </c>
      <c r="AK43" s="348">
        <v>6292670.7367835222</v>
      </c>
      <c r="AL43" s="369"/>
      <c r="AM43" s="350">
        <v>8201994.7992423512</v>
      </c>
      <c r="AN43" s="350">
        <v>2114757.0345840915</v>
      </c>
      <c r="AO43" s="350">
        <v>2136867.2400091141</v>
      </c>
      <c r="AP43" s="350">
        <v>2157258.9885255825</v>
      </c>
      <c r="AQ43" s="350">
        <v>2175874.4931402812</v>
      </c>
      <c r="AR43" s="348">
        <v>16786752.55550142</v>
      </c>
      <c r="AS43" s="369"/>
      <c r="AT43" s="350">
        <f t="shared" si="50"/>
        <v>2051421.9582019355</v>
      </c>
      <c r="AU43" s="350">
        <f t="shared" si="34"/>
        <v>2076765.113461945</v>
      </c>
      <c r="AV43" s="350">
        <f t="shared" si="35"/>
        <v>2100491.3086541677</v>
      </c>
      <c r="AW43" s="350">
        <f t="shared" si="36"/>
        <v>2122542.5306643047</v>
      </c>
      <c r="AX43" s="350">
        <f t="shared" si="37"/>
        <v>2142860.9077355447</v>
      </c>
      <c r="AY43" s="350">
        <f t="shared" si="38"/>
        <v>10494081.818717897</v>
      </c>
      <c r="AZ43" s="365"/>
      <c r="BA43" s="377">
        <f t="shared" si="51"/>
        <v>0</v>
      </c>
      <c r="BB43" s="377">
        <f t="shared" si="39"/>
        <v>0</v>
      </c>
      <c r="BC43" s="377">
        <f t="shared" si="40"/>
        <v>0</v>
      </c>
      <c r="BD43" s="377">
        <f t="shared" si="41"/>
        <v>0</v>
      </c>
      <c r="BE43" s="377">
        <f t="shared" si="42"/>
        <v>0</v>
      </c>
      <c r="BF43" s="377">
        <f t="shared" si="43"/>
        <v>0</v>
      </c>
      <c r="BG43" s="328"/>
    </row>
    <row r="44" spans="2:59">
      <c r="B44" s="332">
        <v>29</v>
      </c>
      <c r="C44" s="350">
        <v>4366408.3225000696</v>
      </c>
      <c r="D44" s="350">
        <v>26971.18542659955</v>
      </c>
      <c r="E44" s="350">
        <v>25823.963639143742</v>
      </c>
      <c r="F44" s="350">
        <v>24645.87192947726</v>
      </c>
      <c r="G44" s="350">
        <v>23436.970472886627</v>
      </c>
      <c r="H44" s="348">
        <v>4467286.313968176</v>
      </c>
      <c r="I44" s="369"/>
      <c r="J44" s="350">
        <v>6363859.9952519452</v>
      </c>
      <c r="K44" s="350">
        <v>2049099.2674683947</v>
      </c>
      <c r="L44" s="350">
        <v>2071054.0350523898</v>
      </c>
      <c r="M44" s="350">
        <v>2091347.025932176</v>
      </c>
      <c r="N44" s="350">
        <v>2109921.9510580618</v>
      </c>
      <c r="O44" s="348">
        <v>14685282.274762966</v>
      </c>
      <c r="P44" s="369"/>
      <c r="Q44" s="350">
        <f t="shared" si="44"/>
        <v>1997451.6727518756</v>
      </c>
      <c r="R44" s="350">
        <f t="shared" si="45"/>
        <v>2022128.0820417951</v>
      </c>
      <c r="S44" s="350">
        <f t="shared" si="46"/>
        <v>2045230.071413246</v>
      </c>
      <c r="T44" s="350">
        <f t="shared" si="47"/>
        <v>2066701.1540026988</v>
      </c>
      <c r="U44" s="350">
        <f t="shared" si="48"/>
        <v>2086484.9805851751</v>
      </c>
      <c r="V44" s="350">
        <f t="shared" si="49"/>
        <v>10217995.96079479</v>
      </c>
      <c r="W44" s="365"/>
      <c r="X44" s="377">
        <f t="shared" si="28"/>
        <v>0</v>
      </c>
      <c r="Y44" s="377">
        <f t="shared" si="29"/>
        <v>0</v>
      </c>
      <c r="Z44" s="377">
        <f t="shared" si="30"/>
        <v>0</v>
      </c>
      <c r="AA44" s="377">
        <f t="shared" si="31"/>
        <v>0</v>
      </c>
      <c r="AB44" s="377">
        <f t="shared" si="32"/>
        <v>0</v>
      </c>
      <c r="AC44" s="377">
        <f t="shared" si="33"/>
        <v>0</v>
      </c>
      <c r="AD44" s="376"/>
      <c r="AE44" s="332">
        <v>29</v>
      </c>
      <c r="AF44" s="350">
        <v>5296326.3526912639</v>
      </c>
      <c r="AG44" s="350">
        <v>32715.263802087058</v>
      </c>
      <c r="AH44" s="350">
        <v>31323.71712653443</v>
      </c>
      <c r="AI44" s="350">
        <v>29894.726132806707</v>
      </c>
      <c r="AJ44" s="350">
        <v>28428.363811774761</v>
      </c>
      <c r="AK44" s="348">
        <v>5418688.4235644666</v>
      </c>
      <c r="AL44" s="369"/>
      <c r="AM44" s="350">
        <v>7440635.4135676865</v>
      </c>
      <c r="AN44" s="350">
        <v>2203515.0021512574</v>
      </c>
      <c r="AO44" s="350">
        <v>2226923.9579405403</v>
      </c>
      <c r="AP44" s="350">
        <v>2248544.6544919247</v>
      </c>
      <c r="AQ44" s="350">
        <v>2268316.6726425271</v>
      </c>
      <c r="AR44" s="348">
        <v>16387935.700793935</v>
      </c>
      <c r="AS44" s="369"/>
      <c r="AT44" s="350">
        <f t="shared" si="50"/>
        <v>2144309.0608764226</v>
      </c>
      <c r="AU44" s="350">
        <f t="shared" si="34"/>
        <v>2170799.7383491704</v>
      </c>
      <c r="AV44" s="350">
        <f t="shared" si="35"/>
        <v>2195600.240814006</v>
      </c>
      <c r="AW44" s="350">
        <f t="shared" si="36"/>
        <v>2218649.9283591178</v>
      </c>
      <c r="AX44" s="350">
        <f t="shared" si="37"/>
        <v>2239888.3088307525</v>
      </c>
      <c r="AY44" s="350">
        <f t="shared" si="38"/>
        <v>10969247.277229469</v>
      </c>
      <c r="AZ44" s="365"/>
      <c r="BA44" s="377">
        <f t="shared" si="51"/>
        <v>0</v>
      </c>
      <c r="BB44" s="377">
        <f t="shared" si="39"/>
        <v>0</v>
      </c>
      <c r="BC44" s="377">
        <f t="shared" si="40"/>
        <v>0</v>
      </c>
      <c r="BD44" s="377">
        <f t="shared" si="41"/>
        <v>0</v>
      </c>
      <c r="BE44" s="377">
        <f t="shared" si="42"/>
        <v>0</v>
      </c>
      <c r="BF44" s="377">
        <f t="shared" si="43"/>
        <v>0</v>
      </c>
      <c r="BG44" s="328"/>
    </row>
    <row r="45" spans="2:59">
      <c r="B45" s="332">
        <v>30</v>
      </c>
      <c r="C45" s="350">
        <v>7236206.7152016358</v>
      </c>
      <c r="D45" s="350">
        <v>44697.852029825335</v>
      </c>
      <c r="E45" s="350">
        <v>42796.624890934618</v>
      </c>
      <c r="F45" s="350">
        <v>40844.238739442801</v>
      </c>
      <c r="G45" s="350">
        <v>38840.793300520025</v>
      </c>
      <c r="H45" s="348">
        <v>7403386.2241623588</v>
      </c>
      <c r="I45" s="369"/>
      <c r="J45" s="350">
        <v>9200462.2000793759</v>
      </c>
      <c r="K45" s="350">
        <v>2033219.6422985897</v>
      </c>
      <c r="L45" s="350">
        <v>2054036.466341353</v>
      </c>
      <c r="M45" s="350">
        <v>2073198.3290690307</v>
      </c>
      <c r="N45" s="350">
        <v>2090649.9174647788</v>
      </c>
      <c r="O45" s="348">
        <v>17451566.555253129</v>
      </c>
      <c r="P45" s="369"/>
      <c r="Q45" s="350">
        <f t="shared" si="44"/>
        <v>1964255.48487774</v>
      </c>
      <c r="R45" s="350">
        <f t="shared" si="45"/>
        <v>1988521.7902687644</v>
      </c>
      <c r="S45" s="350">
        <f t="shared" si="46"/>
        <v>2011239.8414504183</v>
      </c>
      <c r="T45" s="350">
        <f t="shared" si="47"/>
        <v>2032354.0903295879</v>
      </c>
      <c r="U45" s="350">
        <f t="shared" si="48"/>
        <v>2051809.1241642588</v>
      </c>
      <c r="V45" s="350">
        <f t="shared" si="49"/>
        <v>10048180.331090771</v>
      </c>
      <c r="W45" s="365"/>
      <c r="X45" s="377">
        <f t="shared" si="28"/>
        <v>0</v>
      </c>
      <c r="Y45" s="377">
        <f t="shared" si="29"/>
        <v>0</v>
      </c>
      <c r="Z45" s="377">
        <f t="shared" si="30"/>
        <v>0</v>
      </c>
      <c r="AA45" s="377">
        <f t="shared" si="31"/>
        <v>0</v>
      </c>
      <c r="AB45" s="377">
        <f t="shared" si="32"/>
        <v>0</v>
      </c>
      <c r="AC45" s="377">
        <f t="shared" si="33"/>
        <v>0</v>
      </c>
      <c r="AD45" s="376"/>
      <c r="AE45" s="332">
        <v>30</v>
      </c>
      <c r="AF45" s="350">
        <v>6590893.1070889607</v>
      </c>
      <c r="AG45" s="350">
        <v>40711.767427287501</v>
      </c>
      <c r="AH45" s="350">
        <v>38980.088753927696</v>
      </c>
      <c r="AI45" s="350">
        <v>37201.813348776348</v>
      </c>
      <c r="AJ45" s="350">
        <v>35377.032043662948</v>
      </c>
      <c r="AK45" s="348">
        <v>6743163.8086626148</v>
      </c>
      <c r="AL45" s="369"/>
      <c r="AM45" s="350">
        <v>8303857.9501193427</v>
      </c>
      <c r="AN45" s="350">
        <v>1774838.4849312722</v>
      </c>
      <c r="AO45" s="350">
        <v>1792918.497392765</v>
      </c>
      <c r="AP45" s="350">
        <v>1809553.2880553727</v>
      </c>
      <c r="AQ45" s="350">
        <v>1824694.6240579707</v>
      </c>
      <c r="AR45" s="348">
        <v>15505862.844556723</v>
      </c>
      <c r="AS45" s="369"/>
      <c r="AT45" s="350">
        <f t="shared" si="50"/>
        <v>1712964.8430303819</v>
      </c>
      <c r="AU45" s="350">
        <f t="shared" si="34"/>
        <v>1734126.7175039847</v>
      </c>
      <c r="AV45" s="350">
        <f t="shared" si="35"/>
        <v>1753938.4086388373</v>
      </c>
      <c r="AW45" s="350">
        <f t="shared" si="36"/>
        <v>1772351.4747065962</v>
      </c>
      <c r="AX45" s="350">
        <f t="shared" si="37"/>
        <v>1789317.5920143079</v>
      </c>
      <c r="AY45" s="350">
        <f t="shared" si="38"/>
        <v>8762699.0358941071</v>
      </c>
      <c r="AZ45" s="365"/>
      <c r="BA45" s="377">
        <f t="shared" si="51"/>
        <v>0</v>
      </c>
      <c r="BB45" s="377">
        <f t="shared" si="39"/>
        <v>0</v>
      </c>
      <c r="BC45" s="377">
        <f t="shared" si="40"/>
        <v>0</v>
      </c>
      <c r="BD45" s="377">
        <f t="shared" si="41"/>
        <v>0</v>
      </c>
      <c r="BE45" s="377">
        <f t="shared" si="42"/>
        <v>0</v>
      </c>
      <c r="BF45" s="377">
        <f t="shared" si="43"/>
        <v>0</v>
      </c>
      <c r="BG45" s="328"/>
    </row>
    <row r="46" spans="2:59">
      <c r="B46" s="332">
        <v>31</v>
      </c>
      <c r="C46" s="350">
        <v>4004790.6118865223</v>
      </c>
      <c r="D46" s="350">
        <v>24737.482665398238</v>
      </c>
      <c r="E46" s="350">
        <v>23685.271624923174</v>
      </c>
      <c r="F46" s="350">
        <v>22604.747251034354</v>
      </c>
      <c r="G46" s="350">
        <v>21495.964735414851</v>
      </c>
      <c r="H46" s="348">
        <v>4097314.0781632927</v>
      </c>
      <c r="I46" s="369"/>
      <c r="J46" s="350">
        <v>5441393.0585672734</v>
      </c>
      <c r="K46" s="350">
        <v>1479087.6378112831</v>
      </c>
      <c r="L46" s="350">
        <v>1494650.7846825684</v>
      </c>
      <c r="M46" s="350">
        <v>1509012.6413192789</v>
      </c>
      <c r="N46" s="350">
        <v>1522132.7355573801</v>
      </c>
      <c r="O46" s="348">
        <v>11446276.857937783</v>
      </c>
      <c r="P46" s="369"/>
      <c r="Q46" s="350">
        <f t="shared" si="44"/>
        <v>1436602.4466807512</v>
      </c>
      <c r="R46" s="350">
        <f t="shared" si="45"/>
        <v>1454350.155145885</v>
      </c>
      <c r="S46" s="350">
        <f t="shared" si="46"/>
        <v>1470965.5130576452</v>
      </c>
      <c r="T46" s="350">
        <f t="shared" si="47"/>
        <v>1486407.8940682446</v>
      </c>
      <c r="U46" s="350">
        <f t="shared" si="48"/>
        <v>1500636.7708219653</v>
      </c>
      <c r="V46" s="350">
        <f t="shared" si="49"/>
        <v>7348962.7797744907</v>
      </c>
      <c r="W46" s="365"/>
      <c r="X46" s="377">
        <f t="shared" si="28"/>
        <v>0</v>
      </c>
      <c r="Y46" s="377">
        <f t="shared" si="29"/>
        <v>0</v>
      </c>
      <c r="Z46" s="377">
        <f t="shared" si="30"/>
        <v>0</v>
      </c>
      <c r="AA46" s="377">
        <f t="shared" si="31"/>
        <v>0</v>
      </c>
      <c r="AB46" s="377">
        <f t="shared" si="32"/>
        <v>0</v>
      </c>
      <c r="AC46" s="377">
        <f t="shared" si="33"/>
        <v>0</v>
      </c>
      <c r="AD46" s="376"/>
      <c r="AE46" s="332">
        <v>31</v>
      </c>
      <c r="AF46" s="350">
        <v>4884826.2348789833</v>
      </c>
      <c r="AG46" s="350">
        <v>30173.438768594937</v>
      </c>
      <c r="AH46" s="350">
        <v>28890.008848467645</v>
      </c>
      <c r="AI46" s="350">
        <v>27572.043860901435</v>
      </c>
      <c r="AJ46" s="350">
        <v>26219.611125717114</v>
      </c>
      <c r="AK46" s="348">
        <v>4997681.3374826638</v>
      </c>
      <c r="AL46" s="369"/>
      <c r="AM46" s="350">
        <v>6999695.0067908233</v>
      </c>
      <c r="AN46" s="350">
        <v>2171169.18442507</v>
      </c>
      <c r="AO46" s="350">
        <v>2194345.7584976358</v>
      </c>
      <c r="AP46" s="350">
        <v>2215761.0203946098</v>
      </c>
      <c r="AQ46" s="350">
        <v>2235355.3758090301</v>
      </c>
      <c r="AR46" s="348">
        <v>15816326.345917169</v>
      </c>
      <c r="AS46" s="369"/>
      <c r="AT46" s="350">
        <f t="shared" si="50"/>
        <v>2114868.77191184</v>
      </c>
      <c r="AU46" s="350">
        <f t="shared" si="34"/>
        <v>2140995.745656475</v>
      </c>
      <c r="AV46" s="350">
        <f t="shared" si="35"/>
        <v>2165455.749649168</v>
      </c>
      <c r="AW46" s="350">
        <f t="shared" si="36"/>
        <v>2188188.9765337082</v>
      </c>
      <c r="AX46" s="350">
        <f t="shared" si="37"/>
        <v>2209135.7646833132</v>
      </c>
      <c r="AY46" s="350">
        <f t="shared" si="38"/>
        <v>10818645.008434504</v>
      </c>
      <c r="AZ46" s="365"/>
      <c r="BA46" s="377">
        <f t="shared" si="51"/>
        <v>0</v>
      </c>
      <c r="BB46" s="377">
        <f t="shared" si="39"/>
        <v>0</v>
      </c>
      <c r="BC46" s="377">
        <f t="shared" si="40"/>
        <v>0</v>
      </c>
      <c r="BD46" s="377">
        <f t="shared" si="41"/>
        <v>0</v>
      </c>
      <c r="BE46" s="377">
        <f t="shared" si="42"/>
        <v>0</v>
      </c>
      <c r="BF46" s="377">
        <f t="shared" si="43"/>
        <v>0</v>
      </c>
      <c r="BG46" s="328"/>
    </row>
    <row r="47" spans="2:59">
      <c r="B47" s="332">
        <v>32</v>
      </c>
      <c r="C47" s="350">
        <v>5172403.2465114212</v>
      </c>
      <c r="D47" s="350">
        <v>31949.794146354645</v>
      </c>
      <c r="E47" s="350">
        <v>30590.806791157087</v>
      </c>
      <c r="F47" s="350">
        <v>29195.251237552813</v>
      </c>
      <c r="G47" s="350">
        <v>27763.198768581187</v>
      </c>
      <c r="H47" s="348">
        <v>5291902.2974550668</v>
      </c>
      <c r="I47" s="369"/>
      <c r="J47" s="350">
        <v>7539700.1864223797</v>
      </c>
      <c r="K47" s="350">
        <v>2428492.1916555641</v>
      </c>
      <c r="L47" s="350">
        <v>2454512.7246616995</v>
      </c>
      <c r="M47" s="350">
        <v>2478563.8063429072</v>
      </c>
      <c r="N47" s="350">
        <v>2500578.7252161307</v>
      </c>
      <c r="O47" s="348">
        <v>17401847.634298682</v>
      </c>
      <c r="P47" s="369"/>
      <c r="Q47" s="350">
        <f t="shared" si="44"/>
        <v>2367296.9399109585</v>
      </c>
      <c r="R47" s="350">
        <f t="shared" si="45"/>
        <v>2396542.3975092093</v>
      </c>
      <c r="S47" s="350">
        <f t="shared" si="46"/>
        <v>2423921.9178705425</v>
      </c>
      <c r="T47" s="350">
        <f t="shared" si="47"/>
        <v>2449368.5551053546</v>
      </c>
      <c r="U47" s="350">
        <f t="shared" si="48"/>
        <v>2472815.5264475495</v>
      </c>
      <c r="V47" s="350">
        <f t="shared" si="49"/>
        <v>12109945.336843615</v>
      </c>
      <c r="W47" s="365"/>
      <c r="X47" s="377">
        <f t="shared" si="28"/>
        <v>0</v>
      </c>
      <c r="Y47" s="377">
        <f t="shared" si="29"/>
        <v>0</v>
      </c>
      <c r="Z47" s="377">
        <f t="shared" si="30"/>
        <v>0</v>
      </c>
      <c r="AA47" s="377">
        <f t="shared" si="31"/>
        <v>0</v>
      </c>
      <c r="AB47" s="377">
        <f t="shared" si="32"/>
        <v>0</v>
      </c>
      <c r="AC47" s="377">
        <f t="shared" si="33"/>
        <v>0</v>
      </c>
      <c r="AD47" s="376"/>
      <c r="AE47" s="332">
        <v>32</v>
      </c>
      <c r="AF47" s="350">
        <v>7539907.1752548451</v>
      </c>
      <c r="AG47" s="350">
        <v>46573.801509866178</v>
      </c>
      <c r="AH47" s="350">
        <v>44592.780691846216</v>
      </c>
      <c r="AI47" s="350">
        <v>42558.453739634482</v>
      </c>
      <c r="AJ47" s="350">
        <v>40470.924563825414</v>
      </c>
      <c r="AK47" s="348">
        <v>7714103.1357600177</v>
      </c>
      <c r="AL47" s="369"/>
      <c r="AM47" s="350">
        <v>10067406.858284466</v>
      </c>
      <c r="AN47" s="350">
        <v>2605298.0781100802</v>
      </c>
      <c r="AO47" s="350">
        <v>2632549.4395370102</v>
      </c>
      <c r="AP47" s="350">
        <v>2657683.8071667179</v>
      </c>
      <c r="AQ47" s="350">
        <v>2680629.9827350369</v>
      </c>
      <c r="AR47" s="348">
        <v>20643568.165833313</v>
      </c>
      <c r="AS47" s="369"/>
      <c r="AT47" s="350">
        <f t="shared" si="50"/>
        <v>2527499.6830296209</v>
      </c>
      <c r="AU47" s="350">
        <f t="shared" si="34"/>
        <v>2558724.2766002142</v>
      </c>
      <c r="AV47" s="350">
        <f t="shared" si="35"/>
        <v>2587956.6588451639</v>
      </c>
      <c r="AW47" s="350">
        <f t="shared" si="36"/>
        <v>2615125.3534270832</v>
      </c>
      <c r="AX47" s="350">
        <f t="shared" si="37"/>
        <v>2640159.0581712113</v>
      </c>
      <c r="AY47" s="350">
        <f t="shared" si="38"/>
        <v>12929465.030073296</v>
      </c>
      <c r="AZ47" s="365"/>
      <c r="BA47" s="377">
        <f t="shared" si="51"/>
        <v>0</v>
      </c>
      <c r="BB47" s="377">
        <f t="shared" si="39"/>
        <v>0</v>
      </c>
      <c r="BC47" s="377">
        <f t="shared" si="40"/>
        <v>0</v>
      </c>
      <c r="BD47" s="377">
        <f t="shared" si="41"/>
        <v>0</v>
      </c>
      <c r="BE47" s="377">
        <f t="shared" si="42"/>
        <v>0</v>
      </c>
      <c r="BF47" s="377">
        <f t="shared" si="43"/>
        <v>0</v>
      </c>
      <c r="BG47" s="328"/>
    </row>
    <row r="48" spans="2:59">
      <c r="B48" s="332">
        <v>33</v>
      </c>
      <c r="C48" s="350">
        <v>6316782.5325021027</v>
      </c>
      <c r="D48" s="350">
        <v>39018.593864825605</v>
      </c>
      <c r="E48" s="350">
        <v>37358.934480571894</v>
      </c>
      <c r="F48" s="350">
        <v>35654.616289588143</v>
      </c>
      <c r="G48" s="350">
        <v>33905.726346074029</v>
      </c>
      <c r="H48" s="348">
        <v>6462720.4034831617</v>
      </c>
      <c r="I48" s="369"/>
      <c r="J48" s="350">
        <v>9300708.3733422756</v>
      </c>
      <c r="K48" s="350">
        <v>3059807.692196432</v>
      </c>
      <c r="L48" s="350">
        <v>3092659.3173657157</v>
      </c>
      <c r="M48" s="350">
        <v>3123029.926965707</v>
      </c>
      <c r="N48" s="350">
        <v>3150835.4298395384</v>
      </c>
      <c r="O48" s="348">
        <v>21727040.739709668</v>
      </c>
      <c r="P48" s="369"/>
      <c r="Q48" s="350">
        <f t="shared" si="44"/>
        <v>2983925.840840173</v>
      </c>
      <c r="R48" s="350">
        <f t="shared" si="45"/>
        <v>3020789.0983316065</v>
      </c>
      <c r="S48" s="350">
        <f t="shared" si="46"/>
        <v>3055300.3828851436</v>
      </c>
      <c r="T48" s="350">
        <f t="shared" si="47"/>
        <v>3087375.3106761188</v>
      </c>
      <c r="U48" s="350">
        <f t="shared" si="48"/>
        <v>3116929.7034934643</v>
      </c>
      <c r="V48" s="350">
        <f t="shared" si="49"/>
        <v>15264320.336226506</v>
      </c>
      <c r="W48" s="365"/>
      <c r="X48" s="377">
        <f t="shared" si="28"/>
        <v>0</v>
      </c>
      <c r="Y48" s="377">
        <f t="shared" si="29"/>
        <v>0</v>
      </c>
      <c r="Z48" s="377">
        <f t="shared" si="30"/>
        <v>0</v>
      </c>
      <c r="AA48" s="377">
        <f t="shared" si="31"/>
        <v>0</v>
      </c>
      <c r="AB48" s="377">
        <f t="shared" si="32"/>
        <v>0</v>
      </c>
      <c r="AC48" s="377">
        <f t="shared" si="33"/>
        <v>0</v>
      </c>
      <c r="AD48" s="376"/>
      <c r="AE48" s="332">
        <v>33</v>
      </c>
      <c r="AF48" s="350">
        <v>3771346.3311165432</v>
      </c>
      <c r="AG48" s="350">
        <v>23295.503693578088</v>
      </c>
      <c r="AH48" s="350">
        <v>22304.627357802226</v>
      </c>
      <c r="AI48" s="350">
        <v>21287.088108421311</v>
      </c>
      <c r="AJ48" s="350">
        <v>20242.937919924465</v>
      </c>
      <c r="AK48" s="348">
        <v>3858476.4881962696</v>
      </c>
      <c r="AL48" s="369"/>
      <c r="AM48" s="350">
        <v>5267565.3313961867</v>
      </c>
      <c r="AN48" s="350">
        <v>1537998.712097961</v>
      </c>
      <c r="AO48" s="350">
        <v>1554312.7027150863</v>
      </c>
      <c r="AP48" s="350">
        <v>1569378.376974775</v>
      </c>
      <c r="AQ48" s="350">
        <v>1583153.5776795885</v>
      </c>
      <c r="AR48" s="348">
        <v>11512408.700863596</v>
      </c>
      <c r="AS48" s="369"/>
      <c r="AT48" s="350">
        <f t="shared" si="50"/>
        <v>1496219.0002796436</v>
      </c>
      <c r="AU48" s="350">
        <f t="shared" si="34"/>
        <v>1514703.2084043829</v>
      </c>
      <c r="AV48" s="350">
        <f t="shared" si="35"/>
        <v>1532008.0753572842</v>
      </c>
      <c r="AW48" s="350">
        <f t="shared" si="36"/>
        <v>1548091.2888663537</v>
      </c>
      <c r="AX48" s="350">
        <f t="shared" si="37"/>
        <v>1562910.639759664</v>
      </c>
      <c r="AY48" s="350">
        <f t="shared" si="38"/>
        <v>7653932.2126673264</v>
      </c>
      <c r="AZ48" s="365"/>
      <c r="BA48" s="377">
        <f t="shared" si="51"/>
        <v>0</v>
      </c>
      <c r="BB48" s="377">
        <f t="shared" si="39"/>
        <v>0</v>
      </c>
      <c r="BC48" s="377">
        <f t="shared" si="40"/>
        <v>0</v>
      </c>
      <c r="BD48" s="377">
        <f t="shared" si="41"/>
        <v>0</v>
      </c>
      <c r="BE48" s="377">
        <f t="shared" si="42"/>
        <v>0</v>
      </c>
      <c r="BF48" s="377">
        <f t="shared" si="43"/>
        <v>0</v>
      </c>
      <c r="BG48" s="328"/>
    </row>
    <row r="49" spans="2:59">
      <c r="B49" s="332">
        <v>34</v>
      </c>
      <c r="C49" s="350">
        <v>6465411.1170869973</v>
      </c>
      <c r="D49" s="350">
        <v>39936.668588591019</v>
      </c>
      <c r="E49" s="350">
        <v>38237.958813748592</v>
      </c>
      <c r="F49" s="350">
        <v>36493.539447980278</v>
      </c>
      <c r="G49" s="350">
        <v>34703.499593799526</v>
      </c>
      <c r="H49" s="348">
        <v>6614782.7835311163</v>
      </c>
      <c r="I49" s="369"/>
      <c r="J49" s="350">
        <v>9416934.8809843212</v>
      </c>
      <c r="K49" s="350">
        <v>3027923.3964816928</v>
      </c>
      <c r="L49" s="350">
        <v>3060361.2175442628</v>
      </c>
      <c r="M49" s="350">
        <v>3090343.4283462577</v>
      </c>
      <c r="N49" s="350">
        <v>3117786.8538597543</v>
      </c>
      <c r="O49" s="348">
        <v>21713349.777216285</v>
      </c>
      <c r="P49" s="369"/>
      <c r="Q49" s="350">
        <f t="shared" si="44"/>
        <v>2951523.763897324</v>
      </c>
      <c r="R49" s="350">
        <f t="shared" si="45"/>
        <v>2987986.727893102</v>
      </c>
      <c r="S49" s="350">
        <f t="shared" si="46"/>
        <v>3022123.258730514</v>
      </c>
      <c r="T49" s="350">
        <f t="shared" si="47"/>
        <v>3053849.8888982772</v>
      </c>
      <c r="U49" s="350">
        <f t="shared" si="48"/>
        <v>3083083.3542659548</v>
      </c>
      <c r="V49" s="350">
        <f t="shared" si="49"/>
        <v>15098566.993685169</v>
      </c>
      <c r="W49" s="365"/>
      <c r="X49" s="377">
        <f t="shared" si="28"/>
        <v>0</v>
      </c>
      <c r="Y49" s="377">
        <f t="shared" si="29"/>
        <v>0</v>
      </c>
      <c r="Z49" s="377">
        <f t="shared" si="30"/>
        <v>0</v>
      </c>
      <c r="AA49" s="377">
        <f t="shared" si="31"/>
        <v>0</v>
      </c>
      <c r="AB49" s="377">
        <f t="shared" si="32"/>
        <v>0</v>
      </c>
      <c r="AC49" s="377">
        <f t="shared" si="33"/>
        <v>0</v>
      </c>
      <c r="AD49" s="376"/>
      <c r="AE49" s="332">
        <v>34</v>
      </c>
      <c r="AF49" s="350">
        <v>5033995.5847159671</v>
      </c>
      <c r="AG49" s="350">
        <v>31094.853784613548</v>
      </c>
      <c r="AH49" s="350">
        <v>29772.23139426433</v>
      </c>
      <c r="AI49" s="350">
        <v>28414.019329146715</v>
      </c>
      <c r="AJ49" s="350">
        <v>27020.286964843162</v>
      </c>
      <c r="AK49" s="348">
        <v>5150296.9761888338</v>
      </c>
      <c r="AL49" s="369"/>
      <c r="AM49" s="350">
        <v>6128952.2506634491</v>
      </c>
      <c r="AN49" s="350">
        <v>1139578.5548099563</v>
      </c>
      <c r="AO49" s="350">
        <v>1150919.9070248432</v>
      </c>
      <c r="AP49" s="350">
        <v>1161331.6443042529</v>
      </c>
      <c r="AQ49" s="350">
        <v>1170782.9466859405</v>
      </c>
      <c r="AR49" s="348">
        <v>10751565.303488443</v>
      </c>
      <c r="AS49" s="369"/>
      <c r="AT49" s="350">
        <f t="shared" si="50"/>
        <v>1094956.665947482</v>
      </c>
      <c r="AU49" s="350">
        <f t="shared" si="34"/>
        <v>1108483.7010253428</v>
      </c>
      <c r="AV49" s="350">
        <f t="shared" si="35"/>
        <v>1121147.6756305788</v>
      </c>
      <c r="AW49" s="350">
        <f t="shared" si="36"/>
        <v>1132917.6249751062</v>
      </c>
      <c r="AX49" s="350">
        <f t="shared" si="37"/>
        <v>1143762.6597210974</v>
      </c>
      <c r="AY49" s="350">
        <f t="shared" si="38"/>
        <v>5601268.3272996088</v>
      </c>
      <c r="AZ49" s="365"/>
      <c r="BA49" s="377">
        <f t="shared" si="51"/>
        <v>0</v>
      </c>
      <c r="BB49" s="377">
        <f t="shared" si="39"/>
        <v>0</v>
      </c>
      <c r="BC49" s="377">
        <f t="shared" si="40"/>
        <v>0</v>
      </c>
      <c r="BD49" s="377">
        <f t="shared" si="41"/>
        <v>0</v>
      </c>
      <c r="BE49" s="377">
        <f t="shared" si="42"/>
        <v>0</v>
      </c>
      <c r="BF49" s="377">
        <f t="shared" si="43"/>
        <v>0</v>
      </c>
      <c r="BG49" s="328"/>
    </row>
    <row r="50" spans="2:59">
      <c r="B50" s="332">
        <v>35</v>
      </c>
      <c r="C50" s="350">
        <v>6013767.4718077909</v>
      </c>
      <c r="D50" s="350">
        <v>37146.878077978086</v>
      </c>
      <c r="E50" s="350">
        <v>35566.83229233828</v>
      </c>
      <c r="F50" s="350">
        <v>33944.269975871182</v>
      </c>
      <c r="G50" s="350">
        <v>32279.274006802923</v>
      </c>
      <c r="H50" s="348">
        <v>6152704.7261607805</v>
      </c>
      <c r="I50" s="369"/>
      <c r="J50" s="350">
        <v>8333574.225446322</v>
      </c>
      <c r="K50" s="350">
        <v>2385612.398137345</v>
      </c>
      <c r="L50" s="350">
        <v>2410862.6139782825</v>
      </c>
      <c r="M50" s="350">
        <v>2434176.2056015609</v>
      </c>
      <c r="N50" s="350">
        <v>2455487.8128439314</v>
      </c>
      <c r="O50" s="348">
        <v>18019713.25600744</v>
      </c>
      <c r="P50" s="369"/>
      <c r="Q50" s="350">
        <f t="shared" si="44"/>
        <v>2319806.7536385311</v>
      </c>
      <c r="R50" s="350">
        <f t="shared" si="45"/>
        <v>2348465.5200593667</v>
      </c>
      <c r="S50" s="350">
        <f t="shared" si="46"/>
        <v>2375295.7816859442</v>
      </c>
      <c r="T50" s="350">
        <f t="shared" si="47"/>
        <v>2400231.9356256896</v>
      </c>
      <c r="U50" s="350">
        <f t="shared" si="48"/>
        <v>2423208.5388371283</v>
      </c>
      <c r="V50" s="350">
        <f t="shared" si="49"/>
        <v>11867008.529846661</v>
      </c>
      <c r="W50" s="365"/>
      <c r="X50" s="377">
        <f t="shared" si="28"/>
        <v>0</v>
      </c>
      <c r="Y50" s="377">
        <f t="shared" si="29"/>
        <v>0</v>
      </c>
      <c r="Z50" s="377">
        <f t="shared" si="30"/>
        <v>0</v>
      </c>
      <c r="AA50" s="377">
        <f t="shared" si="31"/>
        <v>0</v>
      </c>
      <c r="AB50" s="377">
        <f t="shared" si="32"/>
        <v>0</v>
      </c>
      <c r="AC50" s="377">
        <f t="shared" si="33"/>
        <v>0</v>
      </c>
      <c r="AD50" s="376"/>
      <c r="AE50" s="332">
        <v>35</v>
      </c>
      <c r="AF50" s="350">
        <v>5150543.3358142674</v>
      </c>
      <c r="AG50" s="350">
        <v>31814.766072643342</v>
      </c>
      <c r="AH50" s="350">
        <v>30461.522148653527</v>
      </c>
      <c r="AI50" s="350">
        <v>29071.864572898972</v>
      </c>
      <c r="AJ50" s="350">
        <v>27645.864327156956</v>
      </c>
      <c r="AK50" s="348">
        <v>5269537.3529356206</v>
      </c>
      <c r="AL50" s="369"/>
      <c r="AM50" s="350">
        <v>7044428.7020969735</v>
      </c>
      <c r="AN50" s="350">
        <v>1949097.0891298763</v>
      </c>
      <c r="AO50" s="350">
        <v>1969648.0145029244</v>
      </c>
      <c r="AP50" s="350">
        <v>1988616.1806828706</v>
      </c>
      <c r="AQ50" s="350">
        <v>2005948.2310897433</v>
      </c>
      <c r="AR50" s="348">
        <v>14957738.217502387</v>
      </c>
      <c r="AS50" s="369"/>
      <c r="AT50" s="350">
        <f t="shared" si="50"/>
        <v>1893885.3662827061</v>
      </c>
      <c r="AU50" s="350">
        <f t="shared" si="34"/>
        <v>1917282.3230572329</v>
      </c>
      <c r="AV50" s="350">
        <f t="shared" si="35"/>
        <v>1939186.4923542708</v>
      </c>
      <c r="AW50" s="350">
        <f t="shared" si="36"/>
        <v>1959544.3161099716</v>
      </c>
      <c r="AX50" s="350">
        <f t="shared" si="37"/>
        <v>1978302.3667625864</v>
      </c>
      <c r="AY50" s="350">
        <f t="shared" si="38"/>
        <v>9688200.8645667657</v>
      </c>
      <c r="AZ50" s="365"/>
      <c r="BA50" s="377">
        <f t="shared" si="51"/>
        <v>0</v>
      </c>
      <c r="BB50" s="377">
        <f t="shared" si="39"/>
        <v>0</v>
      </c>
      <c r="BC50" s="377">
        <f t="shared" si="40"/>
        <v>0</v>
      </c>
      <c r="BD50" s="377">
        <f t="shared" si="41"/>
        <v>0</v>
      </c>
      <c r="BE50" s="377">
        <f t="shared" si="42"/>
        <v>0</v>
      </c>
      <c r="BF50" s="377">
        <f t="shared" si="43"/>
        <v>0</v>
      </c>
      <c r="BG50" s="328"/>
    </row>
    <row r="51" spans="2:59">
      <c r="B51" s="332">
        <v>36</v>
      </c>
      <c r="C51" s="350">
        <v>7859585.8917134264</v>
      </c>
      <c r="D51" s="350">
        <v>48548.448245058244</v>
      </c>
      <c r="E51" s="350">
        <v>46483.435651322645</v>
      </c>
      <c r="F51" s="350">
        <v>44362.856837673869</v>
      </c>
      <c r="G51" s="350">
        <v>42186.82012032545</v>
      </c>
      <c r="H51" s="348">
        <v>8041167.4525678065</v>
      </c>
      <c r="I51" s="369"/>
      <c r="J51" s="350">
        <v>10098227.043350298</v>
      </c>
      <c r="K51" s="350">
        <v>2314845.6508716093</v>
      </c>
      <c r="L51" s="350">
        <v>2338672.1603592844</v>
      </c>
      <c r="M51" s="350">
        <v>2360615.2671459615</v>
      </c>
      <c r="N51" s="350">
        <v>2380611.9262332427</v>
      </c>
      <c r="O51" s="348">
        <v>19492972.047960397</v>
      </c>
      <c r="P51" s="369"/>
      <c r="Q51" s="350">
        <f t="shared" si="44"/>
        <v>2238641.1516368715</v>
      </c>
      <c r="R51" s="350">
        <f t="shared" si="45"/>
        <v>2266297.202626551</v>
      </c>
      <c r="S51" s="350">
        <f t="shared" si="46"/>
        <v>2292188.7247079615</v>
      </c>
      <c r="T51" s="350">
        <f t="shared" si="47"/>
        <v>2316252.4103082875</v>
      </c>
      <c r="U51" s="350">
        <f t="shared" si="48"/>
        <v>2338425.1061129174</v>
      </c>
      <c r="V51" s="350">
        <f t="shared" si="49"/>
        <v>11451804.59539259</v>
      </c>
      <c r="W51" s="365"/>
      <c r="X51" s="377">
        <f t="shared" si="28"/>
        <v>0</v>
      </c>
      <c r="Y51" s="377">
        <f t="shared" si="29"/>
        <v>0</v>
      </c>
      <c r="Z51" s="377">
        <f t="shared" si="30"/>
        <v>0</v>
      </c>
      <c r="AA51" s="377">
        <f t="shared" si="31"/>
        <v>0</v>
      </c>
      <c r="AB51" s="377">
        <f t="shared" si="32"/>
        <v>0</v>
      </c>
      <c r="AC51" s="377">
        <f t="shared" si="33"/>
        <v>0</v>
      </c>
      <c r="AD51" s="376"/>
      <c r="AE51" s="332">
        <v>36</v>
      </c>
      <c r="AF51" s="350">
        <v>5897078.7120137131</v>
      </c>
      <c r="AG51" s="350">
        <v>36426.094783070563</v>
      </c>
      <c r="AH51" s="350">
        <v>34876.707579426344</v>
      </c>
      <c r="AI51" s="350">
        <v>33285.628818864192</v>
      </c>
      <c r="AJ51" s="350">
        <v>31652.939771473448</v>
      </c>
      <c r="AK51" s="348">
        <v>6033320.0829665475</v>
      </c>
      <c r="AL51" s="369"/>
      <c r="AM51" s="350">
        <v>7451427.2167363772</v>
      </c>
      <c r="AN51" s="350">
        <v>1609976.9363657138</v>
      </c>
      <c r="AO51" s="350">
        <v>1626404.7263451163</v>
      </c>
      <c r="AP51" s="350">
        <v>1641521.7089474183</v>
      </c>
      <c r="AQ51" s="350">
        <v>1655284.1164050663</v>
      </c>
      <c r="AR51" s="348">
        <v>13984614.704799691</v>
      </c>
      <c r="AS51" s="369"/>
      <c r="AT51" s="350">
        <f t="shared" si="50"/>
        <v>1554348.5047226641</v>
      </c>
      <c r="AU51" s="350">
        <f t="shared" si="34"/>
        <v>1573550.8415826433</v>
      </c>
      <c r="AV51" s="350">
        <f t="shared" si="35"/>
        <v>1591528.01876569</v>
      </c>
      <c r="AW51" s="350">
        <f t="shared" si="36"/>
        <v>1608236.080128554</v>
      </c>
      <c r="AX51" s="350">
        <f t="shared" si="37"/>
        <v>1623631.1766335929</v>
      </c>
      <c r="AY51" s="350">
        <f t="shared" si="38"/>
        <v>7951294.6218331438</v>
      </c>
      <c r="AZ51" s="365"/>
      <c r="BA51" s="377">
        <f t="shared" si="51"/>
        <v>0</v>
      </c>
      <c r="BB51" s="377">
        <f t="shared" si="39"/>
        <v>0</v>
      </c>
      <c r="BC51" s="377">
        <f t="shared" si="40"/>
        <v>0</v>
      </c>
      <c r="BD51" s="377">
        <f t="shared" si="41"/>
        <v>0</v>
      </c>
      <c r="BE51" s="377">
        <f t="shared" si="42"/>
        <v>0</v>
      </c>
      <c r="BF51" s="377">
        <f t="shared" si="43"/>
        <v>0</v>
      </c>
      <c r="BG51" s="328"/>
    </row>
    <row r="52" spans="2:59">
      <c r="B52" s="332">
        <v>37</v>
      </c>
      <c r="C52" s="350">
        <v>5104164.9252680875</v>
      </c>
      <c r="D52" s="350">
        <v>31528.287892353823</v>
      </c>
      <c r="E52" s="350">
        <v>30187.229343417381</v>
      </c>
      <c r="F52" s="350">
        <v>28810.085031868661</v>
      </c>
      <c r="G52" s="350">
        <v>27396.925300324878</v>
      </c>
      <c r="H52" s="348">
        <v>5222087.4528360525</v>
      </c>
      <c r="I52" s="369"/>
      <c r="J52" s="350">
        <v>6932115.5824999791</v>
      </c>
      <c r="K52" s="350">
        <v>1882061.3480904656</v>
      </c>
      <c r="L52" s="350">
        <v>1901861.8757090326</v>
      </c>
      <c r="M52" s="350">
        <v>1920133.8073006808</v>
      </c>
      <c r="N52" s="350">
        <v>1936825.64570117</v>
      </c>
      <c r="O52" s="348">
        <v>14572998.259301329</v>
      </c>
      <c r="P52" s="369"/>
      <c r="Q52" s="350">
        <f t="shared" si="44"/>
        <v>1827950.6572318915</v>
      </c>
      <c r="R52" s="350">
        <f t="shared" si="45"/>
        <v>1850533.0601981119</v>
      </c>
      <c r="S52" s="350">
        <f t="shared" si="46"/>
        <v>1871674.6463656153</v>
      </c>
      <c r="T52" s="350">
        <f t="shared" si="47"/>
        <v>1891323.7222688121</v>
      </c>
      <c r="U52" s="350">
        <f t="shared" si="48"/>
        <v>1909428.7204008452</v>
      </c>
      <c r="V52" s="350">
        <f t="shared" si="49"/>
        <v>9350910.8064652756</v>
      </c>
      <c r="W52" s="365"/>
      <c r="X52" s="377">
        <f t="shared" si="28"/>
        <v>0</v>
      </c>
      <c r="Y52" s="377">
        <f t="shared" si="29"/>
        <v>0</v>
      </c>
      <c r="Z52" s="377">
        <f t="shared" si="30"/>
        <v>0</v>
      </c>
      <c r="AA52" s="377">
        <f t="shared" si="31"/>
        <v>0</v>
      </c>
      <c r="AB52" s="377">
        <f t="shared" si="32"/>
        <v>0</v>
      </c>
      <c r="AC52" s="377">
        <f t="shared" si="33"/>
        <v>0</v>
      </c>
      <c r="AD52" s="376"/>
      <c r="AE52" s="332">
        <v>37</v>
      </c>
      <c r="AF52" s="350">
        <v>6422921.0291100247</v>
      </c>
      <c r="AG52" s="350">
        <v>39674.208471035839</v>
      </c>
      <c r="AH52" s="350">
        <v>37986.662460796775</v>
      </c>
      <c r="AI52" s="350">
        <v>36253.707258865754</v>
      </c>
      <c r="AJ52" s="350">
        <v>34475.431382182338</v>
      </c>
      <c r="AK52" s="348">
        <v>6571311.038682905</v>
      </c>
      <c r="AL52" s="369"/>
      <c r="AM52" s="350">
        <v>8018102.2168175774</v>
      </c>
      <c r="AN52" s="350">
        <v>1654562.1777825817</v>
      </c>
      <c r="AO52" s="350">
        <v>1671324.0687958607</v>
      </c>
      <c r="AP52" s="350">
        <v>1686738.0951673174</v>
      </c>
      <c r="AQ52" s="350">
        <v>1700759.3444635079</v>
      </c>
      <c r="AR52" s="348">
        <v>14731485.903026845</v>
      </c>
      <c r="AS52" s="369"/>
      <c r="AT52" s="350">
        <f t="shared" si="50"/>
        <v>1595181.1877075527</v>
      </c>
      <c r="AU52" s="350">
        <f t="shared" si="34"/>
        <v>1614887.9693115458</v>
      </c>
      <c r="AV52" s="350">
        <f t="shared" si="35"/>
        <v>1633337.406335064</v>
      </c>
      <c r="AW52" s="350">
        <f t="shared" si="36"/>
        <v>1650484.3879084517</v>
      </c>
      <c r="AX52" s="350">
        <f t="shared" si="37"/>
        <v>1666283.9130813256</v>
      </c>
      <c r="AY52" s="350">
        <f t="shared" si="38"/>
        <v>8160174.8643439403</v>
      </c>
      <c r="AZ52" s="365"/>
      <c r="BA52" s="377">
        <f t="shared" si="51"/>
        <v>0</v>
      </c>
      <c r="BB52" s="377">
        <f t="shared" si="39"/>
        <v>0</v>
      </c>
      <c r="BC52" s="377">
        <f t="shared" si="40"/>
        <v>0</v>
      </c>
      <c r="BD52" s="377">
        <f t="shared" si="41"/>
        <v>0</v>
      </c>
      <c r="BE52" s="377">
        <f t="shared" si="42"/>
        <v>0</v>
      </c>
      <c r="BF52" s="377">
        <f t="shared" si="43"/>
        <v>0</v>
      </c>
      <c r="BG52" s="328"/>
    </row>
    <row r="53" spans="2:59">
      <c r="B53" s="332">
        <v>38</v>
      </c>
      <c r="C53" s="350">
        <v>5658371.9111208804</v>
      </c>
      <c r="D53" s="350">
        <v>34951.609367609584</v>
      </c>
      <c r="E53" s="350">
        <v>33464.93953315643</v>
      </c>
      <c r="F53" s="350">
        <v>31938.265766906148</v>
      </c>
      <c r="G53" s="350">
        <v>30371.666049230371</v>
      </c>
      <c r="H53" s="348">
        <v>5789098.3918377832</v>
      </c>
      <c r="I53" s="369"/>
      <c r="J53" s="350">
        <v>7868959.3540331703</v>
      </c>
      <c r="K53" s="350">
        <v>2272848.5292783119</v>
      </c>
      <c r="L53" s="350">
        <v>2296928.9198676366</v>
      </c>
      <c r="M53" s="350">
        <v>2319164.3757215682</v>
      </c>
      <c r="N53" s="350">
        <v>2339492.6129166288</v>
      </c>
      <c r="O53" s="348">
        <v>17097393.791817315</v>
      </c>
      <c r="P53" s="369"/>
      <c r="Q53" s="350">
        <f t="shared" si="44"/>
        <v>2210587.4429122899</v>
      </c>
      <c r="R53" s="350">
        <f t="shared" si="45"/>
        <v>2237896.9199107024</v>
      </c>
      <c r="S53" s="350">
        <f t="shared" si="46"/>
        <v>2263463.9803344803</v>
      </c>
      <c r="T53" s="350">
        <f t="shared" si="47"/>
        <v>2287226.1099546622</v>
      </c>
      <c r="U53" s="350">
        <f t="shared" si="48"/>
        <v>2309120.9468673985</v>
      </c>
      <c r="V53" s="350">
        <f t="shared" si="49"/>
        <v>11308295.399979532</v>
      </c>
      <c r="W53" s="365"/>
      <c r="X53" s="377">
        <f t="shared" si="28"/>
        <v>0</v>
      </c>
      <c r="Y53" s="377">
        <f t="shared" si="29"/>
        <v>0</v>
      </c>
      <c r="Z53" s="377">
        <f t="shared" si="30"/>
        <v>0</v>
      </c>
      <c r="AA53" s="377">
        <f t="shared" si="31"/>
        <v>0</v>
      </c>
      <c r="AB53" s="377">
        <f t="shared" si="32"/>
        <v>0</v>
      </c>
      <c r="AC53" s="377">
        <f t="shared" si="33"/>
        <v>0</v>
      </c>
      <c r="AD53" s="376"/>
      <c r="AE53" s="332">
        <v>38</v>
      </c>
      <c r="AF53" s="350">
        <v>4039688.1666585859</v>
      </c>
      <c r="AG53" s="350">
        <v>24953.04391189068</v>
      </c>
      <c r="AH53" s="350">
        <v>23891.663954491796</v>
      </c>
      <c r="AI53" s="350">
        <v>22801.723942639623</v>
      </c>
      <c r="AJ53" s="350">
        <v>21683.279548954255</v>
      </c>
      <c r="AK53" s="348">
        <v>4133017.8780165622</v>
      </c>
      <c r="AL53" s="369"/>
      <c r="AM53" s="350">
        <v>5713735.6640168866</v>
      </c>
      <c r="AN53" s="350">
        <v>1719681.6329727343</v>
      </c>
      <c r="AO53" s="350">
        <v>1737981.8365864614</v>
      </c>
      <c r="AP53" s="350">
        <v>1754886.6308476697</v>
      </c>
      <c r="AQ53" s="350">
        <v>1770348.8456160361</v>
      </c>
      <c r="AR53" s="348">
        <v>12696634.610039789</v>
      </c>
      <c r="AS53" s="369"/>
      <c r="AT53" s="350">
        <f t="shared" si="50"/>
        <v>1674047.4973583007</v>
      </c>
      <c r="AU53" s="350">
        <f t="shared" si="34"/>
        <v>1694728.5890608437</v>
      </c>
      <c r="AV53" s="350">
        <f t="shared" si="35"/>
        <v>1714090.1726319697</v>
      </c>
      <c r="AW53" s="350">
        <f t="shared" si="36"/>
        <v>1732084.9069050301</v>
      </c>
      <c r="AX53" s="350">
        <f t="shared" si="37"/>
        <v>1748665.5660670819</v>
      </c>
      <c r="AY53" s="350">
        <f t="shared" si="38"/>
        <v>8563616.732023228</v>
      </c>
      <c r="AZ53" s="365"/>
      <c r="BA53" s="377">
        <f t="shared" si="51"/>
        <v>0</v>
      </c>
      <c r="BB53" s="377">
        <f t="shared" si="39"/>
        <v>0</v>
      </c>
      <c r="BC53" s="377">
        <f t="shared" si="40"/>
        <v>0</v>
      </c>
      <c r="BD53" s="377">
        <f t="shared" si="41"/>
        <v>0</v>
      </c>
      <c r="BE53" s="377">
        <f t="shared" si="42"/>
        <v>0</v>
      </c>
      <c r="BF53" s="377">
        <f t="shared" si="43"/>
        <v>0</v>
      </c>
      <c r="BG53" s="328"/>
    </row>
    <row r="54" spans="2:59">
      <c r="B54" s="332">
        <v>39</v>
      </c>
      <c r="C54" s="350">
        <v>5652983.1984162861</v>
      </c>
      <c r="D54" s="350">
        <v>34918.323435825027</v>
      </c>
      <c r="E54" s="350">
        <v>33433.069421461616</v>
      </c>
      <c r="F54" s="350">
        <v>31907.849572777468</v>
      </c>
      <c r="G54" s="350">
        <v>30342.741795881073</v>
      </c>
      <c r="H54" s="348">
        <v>5783585.1826422317</v>
      </c>
      <c r="I54" s="369"/>
      <c r="J54" s="350">
        <v>7600248.2811010424</v>
      </c>
      <c r="K54" s="350">
        <v>2006239.8130073112</v>
      </c>
      <c r="L54" s="350">
        <v>2027276.1037478216</v>
      </c>
      <c r="M54" s="350">
        <v>2046682.498908517</v>
      </c>
      <c r="N54" s="350">
        <v>2064404.1429622034</v>
      </c>
      <c r="O54" s="348">
        <v>15744850.839726895</v>
      </c>
      <c r="P54" s="369"/>
      <c r="Q54" s="350">
        <f t="shared" si="44"/>
        <v>1947265.0826847563</v>
      </c>
      <c r="R54" s="350">
        <f t="shared" si="45"/>
        <v>1971321.4895714861</v>
      </c>
      <c r="S54" s="350">
        <f t="shared" si="46"/>
        <v>1993843.0343263601</v>
      </c>
      <c r="T54" s="350">
        <f t="shared" si="47"/>
        <v>2014774.6493357394</v>
      </c>
      <c r="U54" s="350">
        <f t="shared" si="48"/>
        <v>2034061.4011663222</v>
      </c>
      <c r="V54" s="350">
        <f t="shared" si="49"/>
        <v>9961265.6570846625</v>
      </c>
      <c r="W54" s="365"/>
      <c r="X54" s="377">
        <f t="shared" si="28"/>
        <v>0</v>
      </c>
      <c r="Y54" s="377">
        <f t="shared" si="29"/>
        <v>0</v>
      </c>
      <c r="Z54" s="377">
        <f t="shared" si="30"/>
        <v>0</v>
      </c>
      <c r="AA54" s="377">
        <f t="shared" si="31"/>
        <v>0</v>
      </c>
      <c r="AB54" s="377">
        <f t="shared" si="32"/>
        <v>0</v>
      </c>
      <c r="AC54" s="377">
        <f t="shared" si="33"/>
        <v>0</v>
      </c>
      <c r="AD54" s="376"/>
      <c r="AE54" s="332">
        <v>39</v>
      </c>
      <c r="AF54" s="350">
        <v>7048680.4279051265</v>
      </c>
      <c r="AG54" s="350">
        <v>43539.507254563599</v>
      </c>
      <c r="AH54" s="350">
        <v>41687.550414418656</v>
      </c>
      <c r="AI54" s="350">
        <v>39785.760347419622</v>
      </c>
      <c r="AJ54" s="350">
        <v>37834.234194350509</v>
      </c>
      <c r="AK54" s="348">
        <v>7211527.4801158784</v>
      </c>
      <c r="AL54" s="369"/>
      <c r="AM54" s="350">
        <v>9623170.2967550438</v>
      </c>
      <c r="AN54" s="350">
        <v>2649834.4838741086</v>
      </c>
      <c r="AO54" s="350">
        <v>2677758.3851427776</v>
      </c>
      <c r="AP54" s="350">
        <v>2703530.3983291197</v>
      </c>
      <c r="AQ54" s="350">
        <v>2727077.9927798025</v>
      </c>
      <c r="AR54" s="348">
        <v>20381371.55688085</v>
      </c>
      <c r="AS54" s="369"/>
      <c r="AT54" s="350">
        <f t="shared" si="50"/>
        <v>2574489.8688499173</v>
      </c>
      <c r="AU54" s="350">
        <f t="shared" si="34"/>
        <v>2606294.9766195449</v>
      </c>
      <c r="AV54" s="350">
        <f t="shared" si="35"/>
        <v>2636070.8347283588</v>
      </c>
      <c r="AW54" s="350">
        <f t="shared" si="36"/>
        <v>2663744.6379817002</v>
      </c>
      <c r="AX54" s="350">
        <f t="shared" si="37"/>
        <v>2689243.7585854521</v>
      </c>
      <c r="AY54" s="350">
        <f t="shared" si="38"/>
        <v>13169844.076764971</v>
      </c>
      <c r="AZ54" s="365"/>
      <c r="BA54" s="377">
        <f t="shared" si="51"/>
        <v>0</v>
      </c>
      <c r="BB54" s="377">
        <f t="shared" si="39"/>
        <v>0</v>
      </c>
      <c r="BC54" s="377">
        <f t="shared" si="40"/>
        <v>0</v>
      </c>
      <c r="BD54" s="377">
        <f t="shared" si="41"/>
        <v>0</v>
      </c>
      <c r="BE54" s="377">
        <f t="shared" si="42"/>
        <v>0</v>
      </c>
      <c r="BF54" s="377">
        <f t="shared" si="43"/>
        <v>0</v>
      </c>
      <c r="BG54" s="328"/>
    </row>
    <row r="55" spans="2:59">
      <c r="B55" s="332">
        <v>40</v>
      </c>
      <c r="C55" s="350">
        <v>8427208.7723840661</v>
      </c>
      <c r="D55" s="350">
        <v>52054.639337646826</v>
      </c>
      <c r="E55" s="350">
        <v>49840.490591798662</v>
      </c>
      <c r="F55" s="350">
        <v>47566.76260827214</v>
      </c>
      <c r="G55" s="350">
        <v>45233.571525929605</v>
      </c>
      <c r="H55" s="348">
        <v>8621904.2364477143</v>
      </c>
      <c r="I55" s="369"/>
      <c r="J55" s="350">
        <v>11170951.608265921</v>
      </c>
      <c r="K55" s="350">
        <v>2829693.5249353028</v>
      </c>
      <c r="L55" s="350">
        <v>2859212.7686400507</v>
      </c>
      <c r="M55" s="350">
        <v>2886432.1842639884</v>
      </c>
      <c r="N55" s="350">
        <v>2911274.4854313368</v>
      </c>
      <c r="O55" s="348">
        <v>22657564.571536601</v>
      </c>
      <c r="P55" s="369"/>
      <c r="Q55" s="350">
        <f t="shared" si="44"/>
        <v>2743742.8358818553</v>
      </c>
      <c r="R55" s="350">
        <f t="shared" si="45"/>
        <v>2777638.885597656</v>
      </c>
      <c r="S55" s="350">
        <f t="shared" si="46"/>
        <v>2809372.2780482522</v>
      </c>
      <c r="T55" s="350">
        <f t="shared" si="47"/>
        <v>2838865.4216557164</v>
      </c>
      <c r="U55" s="350">
        <f t="shared" si="48"/>
        <v>2866040.9139054073</v>
      </c>
      <c r="V55" s="350">
        <f t="shared" si="49"/>
        <v>14035660.335088886</v>
      </c>
      <c r="W55" s="365"/>
      <c r="X55" s="377">
        <f t="shared" si="28"/>
        <v>0</v>
      </c>
      <c r="Y55" s="377">
        <f t="shared" si="29"/>
        <v>0</v>
      </c>
      <c r="Z55" s="377">
        <f t="shared" si="30"/>
        <v>0</v>
      </c>
      <c r="AA55" s="377">
        <f t="shared" si="31"/>
        <v>0</v>
      </c>
      <c r="AB55" s="377">
        <f t="shared" si="32"/>
        <v>0</v>
      </c>
      <c r="AC55" s="377">
        <f t="shared" si="33"/>
        <v>0</v>
      </c>
      <c r="AD55" s="376"/>
      <c r="AE55" s="332">
        <v>40</v>
      </c>
      <c r="AF55" s="350">
        <v>6498056.8140071686</v>
      </c>
      <c r="AG55" s="350">
        <v>40138.320170389517</v>
      </c>
      <c r="AH55" s="350">
        <v>38431.033127459064</v>
      </c>
      <c r="AI55" s="350">
        <v>36677.805692892063</v>
      </c>
      <c r="AJ55" s="350">
        <v>34878.727419114759</v>
      </c>
      <c r="AK55" s="348">
        <v>6648182.7004170241</v>
      </c>
      <c r="AL55" s="369"/>
      <c r="AM55" s="350">
        <v>8314161.9272663854</v>
      </c>
      <c r="AN55" s="350">
        <v>1878679.4971900652</v>
      </c>
      <c r="AO55" s="350">
        <v>1897976.7939357145</v>
      </c>
      <c r="AP55" s="350">
        <v>1915745.3118378895</v>
      </c>
      <c r="AQ55" s="350">
        <v>1931933.9071115665</v>
      </c>
      <c r="AR55" s="348">
        <v>15938497.437341621</v>
      </c>
      <c r="AS55" s="369"/>
      <c r="AT55" s="350">
        <f t="shared" si="50"/>
        <v>1816105.1132592168</v>
      </c>
      <c r="AU55" s="350">
        <f t="shared" si="34"/>
        <v>1838541.1770196757</v>
      </c>
      <c r="AV55" s="350">
        <f t="shared" si="35"/>
        <v>1859545.7608082555</v>
      </c>
      <c r="AW55" s="350">
        <f t="shared" si="36"/>
        <v>1879067.5061449974</v>
      </c>
      <c r="AX55" s="350">
        <f t="shared" si="37"/>
        <v>1897055.1796924518</v>
      </c>
      <c r="AY55" s="350">
        <f t="shared" si="38"/>
        <v>9290314.7369245961</v>
      </c>
      <c r="AZ55" s="365"/>
      <c r="BA55" s="377">
        <f t="shared" si="51"/>
        <v>0</v>
      </c>
      <c r="BB55" s="377">
        <f t="shared" si="39"/>
        <v>0</v>
      </c>
      <c r="BC55" s="377">
        <f t="shared" si="40"/>
        <v>0</v>
      </c>
      <c r="BD55" s="377">
        <f t="shared" si="41"/>
        <v>0</v>
      </c>
      <c r="BE55" s="377">
        <f t="shared" si="42"/>
        <v>0</v>
      </c>
      <c r="BF55" s="377">
        <f t="shared" si="43"/>
        <v>0</v>
      </c>
      <c r="BG55" s="328"/>
    </row>
    <row r="56" spans="2:59">
      <c r="B56" s="332">
        <v>41</v>
      </c>
      <c r="C56" s="350">
        <v>5235186.2851250591</v>
      </c>
      <c r="D56" s="350">
        <v>32337.603267954833</v>
      </c>
      <c r="E56" s="350">
        <v>30962.12041703871</v>
      </c>
      <c r="F56" s="350">
        <v>29549.625500043076</v>
      </c>
      <c r="G56" s="350">
        <v>28100.190665239632</v>
      </c>
      <c r="H56" s="348">
        <v>5356135.824975335</v>
      </c>
      <c r="I56" s="369"/>
      <c r="J56" s="350">
        <v>7320627.6852392964</v>
      </c>
      <c r="K56" s="350">
        <v>2143542.4329766948</v>
      </c>
      <c r="L56" s="350">
        <v>2166286.6050428078</v>
      </c>
      <c r="M56" s="350">
        <v>2187291.0151994806</v>
      </c>
      <c r="N56" s="350">
        <v>2206496.9041307536</v>
      </c>
      <c r="O56" s="348">
        <v>16024244.642589033</v>
      </c>
      <c r="P56" s="369"/>
      <c r="Q56" s="350">
        <f t="shared" si="44"/>
        <v>2085441.4001142373</v>
      </c>
      <c r="R56" s="350">
        <f t="shared" si="45"/>
        <v>2111204.8297087401</v>
      </c>
      <c r="S56" s="350">
        <f t="shared" si="46"/>
        <v>2135324.4846257688</v>
      </c>
      <c r="T56" s="350">
        <f t="shared" si="47"/>
        <v>2157741.3896994377</v>
      </c>
      <c r="U56" s="350">
        <f t="shared" si="48"/>
        <v>2178396.7134655141</v>
      </c>
      <c r="V56" s="350">
        <f t="shared" si="49"/>
        <v>10668108.817613699</v>
      </c>
      <c r="W56" s="365"/>
      <c r="X56" s="377">
        <f t="shared" si="28"/>
        <v>0</v>
      </c>
      <c r="Y56" s="377">
        <f t="shared" si="29"/>
        <v>0</v>
      </c>
      <c r="Z56" s="377">
        <f t="shared" si="30"/>
        <v>0</v>
      </c>
      <c r="AA56" s="377">
        <f t="shared" si="31"/>
        <v>0</v>
      </c>
      <c r="AB56" s="377">
        <f t="shared" si="32"/>
        <v>0</v>
      </c>
      <c r="AC56" s="377">
        <f t="shared" si="33"/>
        <v>0</v>
      </c>
      <c r="AD56" s="376"/>
      <c r="AE56" s="332">
        <v>41</v>
      </c>
      <c r="AF56" s="350">
        <v>4923755.6879291581</v>
      </c>
      <c r="AG56" s="350">
        <v>30413.904941069195</v>
      </c>
      <c r="AH56" s="350">
        <v>29120.24677076134</v>
      </c>
      <c r="AI56" s="350">
        <v>27791.7783069951</v>
      </c>
      <c r="AJ56" s="350">
        <v>26428.567406089023</v>
      </c>
      <c r="AK56" s="348">
        <v>5037510.1853540726</v>
      </c>
      <c r="AL56" s="369"/>
      <c r="AM56" s="350">
        <v>6889439.1906286143</v>
      </c>
      <c r="AN56" s="350">
        <v>2020381.3546860283</v>
      </c>
      <c r="AO56" s="350">
        <v>2041822.2637678196</v>
      </c>
      <c r="AP56" s="350">
        <v>2061623.3942860621</v>
      </c>
      <c r="AQ56" s="350">
        <v>2079729.361069872</v>
      </c>
      <c r="AR56" s="348">
        <v>15092995.564438399</v>
      </c>
      <c r="AS56" s="369"/>
      <c r="AT56" s="350">
        <f t="shared" si="50"/>
        <v>1965683.5026994562</v>
      </c>
      <c r="AU56" s="350">
        <f t="shared" si="34"/>
        <v>1989967.4497449591</v>
      </c>
      <c r="AV56" s="350">
        <f t="shared" si="35"/>
        <v>2012702.0169970582</v>
      </c>
      <c r="AW56" s="350">
        <f t="shared" si="36"/>
        <v>2033831.615979067</v>
      </c>
      <c r="AX56" s="350">
        <f t="shared" si="37"/>
        <v>2053300.793663783</v>
      </c>
      <c r="AY56" s="350">
        <f t="shared" si="38"/>
        <v>10055485.379084326</v>
      </c>
      <c r="AZ56" s="365"/>
      <c r="BA56" s="377">
        <f t="shared" si="51"/>
        <v>0</v>
      </c>
      <c r="BB56" s="377">
        <f t="shared" si="39"/>
        <v>0</v>
      </c>
      <c r="BC56" s="377">
        <f t="shared" si="40"/>
        <v>0</v>
      </c>
      <c r="BD56" s="377">
        <f t="shared" si="41"/>
        <v>0</v>
      </c>
      <c r="BE56" s="377">
        <f t="shared" si="42"/>
        <v>0</v>
      </c>
      <c r="BF56" s="377">
        <f t="shared" si="43"/>
        <v>0</v>
      </c>
      <c r="BG56" s="328"/>
    </row>
    <row r="57" spans="2:59">
      <c r="B57" s="332">
        <v>42</v>
      </c>
      <c r="C57" s="350">
        <v>5612572.7729815245</v>
      </c>
      <c r="D57" s="350">
        <v>34668.709337218534</v>
      </c>
      <c r="E57" s="350">
        <v>33194.072680893179</v>
      </c>
      <c r="F57" s="350">
        <v>31679.755886542498</v>
      </c>
      <c r="G57" s="350">
        <v>30125.836303367229</v>
      </c>
      <c r="H57" s="348">
        <v>5742241.1471895464</v>
      </c>
      <c r="I57" s="369"/>
      <c r="J57" s="350">
        <v>7437397.2751991004</v>
      </c>
      <c r="K57" s="350">
        <v>1882036.994172052</v>
      </c>
      <c r="L57" s="350">
        <v>1901667.7874142705</v>
      </c>
      <c r="M57" s="350">
        <v>1919768.9427401472</v>
      </c>
      <c r="N57" s="350">
        <v>1936289.0581826083</v>
      </c>
      <c r="O57" s="348">
        <v>15077160.05770818</v>
      </c>
      <c r="P57" s="369"/>
      <c r="Q57" s="350">
        <f t="shared" si="44"/>
        <v>1824824.5022175759</v>
      </c>
      <c r="R57" s="350">
        <f t="shared" si="45"/>
        <v>1847368.2848348336</v>
      </c>
      <c r="S57" s="350">
        <f t="shared" si="46"/>
        <v>1868473.7147333773</v>
      </c>
      <c r="T57" s="350">
        <f t="shared" si="47"/>
        <v>1888089.1868536046</v>
      </c>
      <c r="U57" s="350">
        <f t="shared" si="48"/>
        <v>1906163.2218792411</v>
      </c>
      <c r="V57" s="350">
        <f t="shared" si="49"/>
        <v>9334918.9105186332</v>
      </c>
      <c r="W57" s="365"/>
      <c r="X57" s="377">
        <f t="shared" si="28"/>
        <v>0</v>
      </c>
      <c r="Y57" s="377">
        <f t="shared" si="29"/>
        <v>0</v>
      </c>
      <c r="Z57" s="377">
        <f t="shared" si="30"/>
        <v>0</v>
      </c>
      <c r="AA57" s="377">
        <f t="shared" si="31"/>
        <v>0</v>
      </c>
      <c r="AB57" s="377">
        <f t="shared" si="32"/>
        <v>0</v>
      </c>
      <c r="AC57" s="377">
        <f t="shared" si="33"/>
        <v>0</v>
      </c>
      <c r="AD57" s="376"/>
      <c r="AE57" s="332">
        <v>42</v>
      </c>
      <c r="AF57" s="350">
        <v>4370861.0188195081</v>
      </c>
      <c r="AG57" s="350">
        <v>26998.689610636124</v>
      </c>
      <c r="AH57" s="350">
        <v>25850.297930248878</v>
      </c>
      <c r="AI57" s="350">
        <v>24671.004847684675</v>
      </c>
      <c r="AJ57" s="350">
        <v>23460.870599594735</v>
      </c>
      <c r="AK57" s="348">
        <v>4471841.8818076728</v>
      </c>
      <c r="AL57" s="369"/>
      <c r="AM57" s="350">
        <v>6968656.1209848709</v>
      </c>
      <c r="AN57" s="350">
        <v>2656886.8111300375</v>
      </c>
      <c r="AO57" s="350">
        <v>2685783.8196253385</v>
      </c>
      <c r="AP57" s="350">
        <v>2712528.8432859294</v>
      </c>
      <c r="AQ57" s="350">
        <v>2737048.6571007362</v>
      </c>
      <c r="AR57" s="348">
        <v>17760904.252126914</v>
      </c>
      <c r="AS57" s="369"/>
      <c r="AT57" s="350">
        <f t="shared" si="50"/>
        <v>2597795.1021653628</v>
      </c>
      <c r="AU57" s="350">
        <f t="shared" si="34"/>
        <v>2629888.1215194012</v>
      </c>
      <c r="AV57" s="350">
        <f t="shared" si="35"/>
        <v>2659933.5216950895</v>
      </c>
      <c r="AW57" s="350">
        <f t="shared" si="36"/>
        <v>2687857.8384382445</v>
      </c>
      <c r="AX57" s="350">
        <f t="shared" si="37"/>
        <v>2713587.7865011413</v>
      </c>
      <c r="AY57" s="350">
        <f t="shared" si="38"/>
        <v>13289062.37031924</v>
      </c>
      <c r="AZ57" s="365"/>
      <c r="BA57" s="377">
        <f t="shared" si="51"/>
        <v>0</v>
      </c>
      <c r="BB57" s="377">
        <f t="shared" si="39"/>
        <v>0</v>
      </c>
      <c r="BC57" s="377">
        <f t="shared" si="40"/>
        <v>0</v>
      </c>
      <c r="BD57" s="377">
        <f t="shared" si="41"/>
        <v>0</v>
      </c>
      <c r="BE57" s="377">
        <f t="shared" si="42"/>
        <v>0</v>
      </c>
      <c r="BF57" s="377">
        <f t="shared" si="43"/>
        <v>0</v>
      </c>
      <c r="BG57" s="328"/>
    </row>
    <row r="58" spans="2:59">
      <c r="B58" s="332">
        <v>43</v>
      </c>
      <c r="C58" s="350">
        <v>6918998.5515703568</v>
      </c>
      <c r="D58" s="350">
        <v>42738.465832241483</v>
      </c>
      <c r="E58" s="350">
        <v>40920.581360731405</v>
      </c>
      <c r="F58" s="350">
        <v>39053.780495866515</v>
      </c>
      <c r="G58" s="350">
        <v>37138.158591236723</v>
      </c>
      <c r="H58" s="348">
        <v>7078849.537850433</v>
      </c>
      <c r="I58" s="369"/>
      <c r="J58" s="350">
        <v>9235369.1248211525</v>
      </c>
      <c r="K58" s="350">
        <v>2387725.3551183157</v>
      </c>
      <c r="L58" s="350">
        <v>2412697.9903342505</v>
      </c>
      <c r="M58" s="350">
        <v>2435730.4070897689</v>
      </c>
      <c r="N58" s="350">
        <v>2456757.3546335469</v>
      </c>
      <c r="O58" s="348">
        <v>18928280.231997035</v>
      </c>
      <c r="P58" s="369"/>
      <c r="Q58" s="350">
        <f t="shared" si="44"/>
        <v>2316370.5732507957</v>
      </c>
      <c r="R58" s="350">
        <f t="shared" si="45"/>
        <v>2344986.8892860743</v>
      </c>
      <c r="S58" s="350">
        <f t="shared" si="46"/>
        <v>2371777.4089735192</v>
      </c>
      <c r="T58" s="350">
        <f t="shared" si="47"/>
        <v>2396676.6265939022</v>
      </c>
      <c r="U58" s="350">
        <f t="shared" si="48"/>
        <v>2419619.19604231</v>
      </c>
      <c r="V58" s="350">
        <f t="shared" si="49"/>
        <v>11849430.694146603</v>
      </c>
      <c r="W58" s="365"/>
      <c r="X58" s="377">
        <f t="shared" si="28"/>
        <v>0</v>
      </c>
      <c r="Y58" s="377">
        <f t="shared" si="29"/>
        <v>0</v>
      </c>
      <c r="Z58" s="377">
        <f t="shared" si="30"/>
        <v>0</v>
      </c>
      <c r="AA58" s="377">
        <f t="shared" si="31"/>
        <v>0</v>
      </c>
      <c r="AB58" s="377">
        <f t="shared" si="32"/>
        <v>0</v>
      </c>
      <c r="AC58" s="377">
        <f t="shared" si="33"/>
        <v>0</v>
      </c>
      <c r="AD58" s="376"/>
      <c r="AE58" s="332">
        <v>43</v>
      </c>
      <c r="AF58" s="350">
        <v>4929939.2812684998</v>
      </c>
      <c r="AG58" s="350">
        <v>30452.100828911643</v>
      </c>
      <c r="AH58" s="350">
        <v>29156.817993093515</v>
      </c>
      <c r="AI58" s="350">
        <v>27826.681146639425</v>
      </c>
      <c r="AJ58" s="350">
        <v>26461.75823108953</v>
      </c>
      <c r="AK58" s="348">
        <v>5043836.639468234</v>
      </c>
      <c r="AL58" s="369"/>
      <c r="AM58" s="350">
        <v>6784235.3640946709</v>
      </c>
      <c r="AN58" s="350">
        <v>1907656.0565757186</v>
      </c>
      <c r="AO58" s="350">
        <v>1927807.064021335</v>
      </c>
      <c r="AP58" s="350">
        <v>1946409.1963169961</v>
      </c>
      <c r="AQ58" s="350">
        <v>1963410.2106782459</v>
      </c>
      <c r="AR58" s="348">
        <v>14529517.891686967</v>
      </c>
      <c r="AS58" s="369"/>
      <c r="AT58" s="350">
        <f t="shared" si="50"/>
        <v>1854296.0828261711</v>
      </c>
      <c r="AU58" s="350">
        <f t="shared" si="34"/>
        <v>1877203.9557468069</v>
      </c>
      <c r="AV58" s="350">
        <f t="shared" si="35"/>
        <v>1898650.2460282415</v>
      </c>
      <c r="AW58" s="350">
        <f t="shared" si="36"/>
        <v>1918582.5151703567</v>
      </c>
      <c r="AX58" s="350">
        <f t="shared" si="37"/>
        <v>1936948.4524471564</v>
      </c>
      <c r="AY58" s="350">
        <f t="shared" si="38"/>
        <v>9485681.2522187326</v>
      </c>
      <c r="AZ58" s="365"/>
      <c r="BA58" s="377">
        <f t="shared" si="51"/>
        <v>0</v>
      </c>
      <c r="BB58" s="377">
        <f t="shared" si="39"/>
        <v>0</v>
      </c>
      <c r="BC58" s="377">
        <f t="shared" si="40"/>
        <v>0</v>
      </c>
      <c r="BD58" s="377">
        <f t="shared" si="41"/>
        <v>0</v>
      </c>
      <c r="BE58" s="377">
        <f t="shared" si="42"/>
        <v>0</v>
      </c>
      <c r="BF58" s="377">
        <f t="shared" si="43"/>
        <v>0</v>
      </c>
      <c r="BG58" s="328"/>
    </row>
    <row r="59" spans="2:59">
      <c r="B59" s="332">
        <v>44</v>
      </c>
      <c r="C59" s="350">
        <v>6107821.2553913249</v>
      </c>
      <c r="D59" s="350">
        <v>37727.845740584344</v>
      </c>
      <c r="E59" s="350">
        <v>36123.08844338722</v>
      </c>
      <c r="F59" s="350">
        <v>34475.149667707934</v>
      </c>
      <c r="G59" s="350">
        <v>32784.113587966058</v>
      </c>
      <c r="H59" s="348">
        <v>6248931.4528309712</v>
      </c>
      <c r="I59" s="369"/>
      <c r="J59" s="350">
        <v>7922169.9217687547</v>
      </c>
      <c r="K59" s="350">
        <v>1874490.8768292612</v>
      </c>
      <c r="L59" s="350">
        <v>1893870.3887279273</v>
      </c>
      <c r="M59" s="350">
        <v>1911725.3148241614</v>
      </c>
      <c r="N59" s="350">
        <v>1928004.5555052639</v>
      </c>
      <c r="O59" s="348">
        <v>15530261.05765537</v>
      </c>
      <c r="P59" s="369"/>
      <c r="Q59" s="350">
        <f t="shared" si="44"/>
        <v>1814348.6663774299</v>
      </c>
      <c r="R59" s="350">
        <f t="shared" si="45"/>
        <v>1836763.0310886768</v>
      </c>
      <c r="S59" s="350">
        <f t="shared" si="46"/>
        <v>1857747.30028454</v>
      </c>
      <c r="T59" s="350">
        <f t="shared" si="47"/>
        <v>1877250.1651564534</v>
      </c>
      <c r="U59" s="350">
        <f t="shared" si="48"/>
        <v>1895220.4419172979</v>
      </c>
      <c r="V59" s="350">
        <f t="shared" si="49"/>
        <v>9281329.6048243977</v>
      </c>
      <c r="W59" s="365"/>
      <c r="X59" s="377">
        <f t="shared" si="28"/>
        <v>0</v>
      </c>
      <c r="Y59" s="377">
        <f t="shared" si="29"/>
        <v>0</v>
      </c>
      <c r="Z59" s="377">
        <f t="shared" si="30"/>
        <v>0</v>
      </c>
      <c r="AA59" s="377">
        <f t="shared" si="31"/>
        <v>0</v>
      </c>
      <c r="AB59" s="377">
        <f t="shared" si="32"/>
        <v>0</v>
      </c>
      <c r="AC59" s="377">
        <f t="shared" si="33"/>
        <v>0</v>
      </c>
      <c r="AD59" s="376"/>
      <c r="AE59" s="332">
        <v>44</v>
      </c>
      <c r="AF59" s="350">
        <v>4996992.977684347</v>
      </c>
      <c r="AG59" s="350">
        <v>30866.289687579349</v>
      </c>
      <c r="AH59" s="350">
        <v>29553.389291565636</v>
      </c>
      <c r="AI59" s="350">
        <v>28205.160824260271</v>
      </c>
      <c r="AJ59" s="350">
        <v>26821.673151301158</v>
      </c>
      <c r="AK59" s="348">
        <v>5112439.4906390542</v>
      </c>
      <c r="AL59" s="369"/>
      <c r="AM59" s="350">
        <v>6764473.5753794499</v>
      </c>
      <c r="AN59" s="350">
        <v>1820182.246523377</v>
      </c>
      <c r="AO59" s="350">
        <v>1839311.5518333679</v>
      </c>
      <c r="AP59" s="350">
        <v>1856962.3922326849</v>
      </c>
      <c r="AQ59" s="350">
        <v>1873084.9749742006</v>
      </c>
      <c r="AR59" s="348">
        <v>14154014.74094308</v>
      </c>
      <c r="AS59" s="369"/>
      <c r="AT59" s="350">
        <f t="shared" si="50"/>
        <v>1767480.5976951029</v>
      </c>
      <c r="AU59" s="350">
        <f t="shared" si="34"/>
        <v>1789315.9568357978</v>
      </c>
      <c r="AV59" s="350">
        <f t="shared" si="35"/>
        <v>1809758.1625418023</v>
      </c>
      <c r="AW59" s="350">
        <f t="shared" si="36"/>
        <v>1828757.2314084247</v>
      </c>
      <c r="AX59" s="350">
        <f t="shared" si="37"/>
        <v>1846263.3018228994</v>
      </c>
      <c r="AY59" s="350">
        <f t="shared" si="38"/>
        <v>9041575.2503040247</v>
      </c>
      <c r="AZ59" s="365"/>
      <c r="BA59" s="377">
        <f t="shared" si="51"/>
        <v>0</v>
      </c>
      <c r="BB59" s="377">
        <f t="shared" si="39"/>
        <v>0</v>
      </c>
      <c r="BC59" s="377">
        <f t="shared" si="40"/>
        <v>0</v>
      </c>
      <c r="BD59" s="377">
        <f t="shared" si="41"/>
        <v>0</v>
      </c>
      <c r="BE59" s="377">
        <f t="shared" si="42"/>
        <v>0</v>
      </c>
      <c r="BF59" s="377">
        <f t="shared" si="43"/>
        <v>0</v>
      </c>
      <c r="BG59" s="328"/>
    </row>
    <row r="60" spans="2:59">
      <c r="B60" s="332">
        <v>45</v>
      </c>
      <c r="C60" s="350">
        <v>4305162.8059476325</v>
      </c>
      <c r="D60" s="350">
        <v>26592.873536946612</v>
      </c>
      <c r="E60" s="350">
        <v>25461.743279594746</v>
      </c>
      <c r="F60" s="350">
        <v>24300.176097635882</v>
      </c>
      <c r="G60" s="350">
        <v>23108.231322304444</v>
      </c>
      <c r="H60" s="348">
        <v>4404625.8301841142</v>
      </c>
      <c r="I60" s="369"/>
      <c r="J60" s="350">
        <v>5996172.8904005587</v>
      </c>
      <c r="K60" s="350">
        <v>1738493.6045705001</v>
      </c>
      <c r="L60" s="350">
        <v>1756920.2426091013</v>
      </c>
      <c r="M60" s="350">
        <v>1773935.7445788926</v>
      </c>
      <c r="N60" s="350">
        <v>1789492.4654741278</v>
      </c>
      <c r="O60" s="348">
        <v>13055014.947633181</v>
      </c>
      <c r="P60" s="369"/>
      <c r="Q60" s="350">
        <f t="shared" si="44"/>
        <v>1691010.0844529262</v>
      </c>
      <c r="R60" s="350">
        <f t="shared" si="45"/>
        <v>1711900.7310335534</v>
      </c>
      <c r="S60" s="350">
        <f t="shared" si="46"/>
        <v>1731458.4993295067</v>
      </c>
      <c r="T60" s="350">
        <f t="shared" si="47"/>
        <v>1749635.5684812567</v>
      </c>
      <c r="U60" s="350">
        <f t="shared" si="48"/>
        <v>1766384.2341518234</v>
      </c>
      <c r="V60" s="350">
        <f t="shared" si="49"/>
        <v>8650389.1174490675</v>
      </c>
      <c r="W60" s="365"/>
      <c r="X60" s="377">
        <f t="shared" si="28"/>
        <v>0</v>
      </c>
      <c r="Y60" s="377">
        <f t="shared" si="29"/>
        <v>0</v>
      </c>
      <c r="Z60" s="377">
        <f t="shared" si="30"/>
        <v>0</v>
      </c>
      <c r="AA60" s="377">
        <f t="shared" si="31"/>
        <v>0</v>
      </c>
      <c r="AB60" s="377">
        <f t="shared" si="32"/>
        <v>0</v>
      </c>
      <c r="AC60" s="377">
        <f t="shared" si="33"/>
        <v>0</v>
      </c>
      <c r="AD60" s="376"/>
      <c r="AE60" s="332">
        <v>45</v>
      </c>
      <c r="AF60" s="350">
        <v>6321353.8507200293</v>
      </c>
      <c r="AG60" s="350">
        <v>39046.830773101923</v>
      </c>
      <c r="AH60" s="350">
        <v>37385.970329428797</v>
      </c>
      <c r="AI60" s="350">
        <v>35680.418760411143</v>
      </c>
      <c r="AJ60" s="350">
        <v>33930.263183258146</v>
      </c>
      <c r="AK60" s="348">
        <v>6467397.3337662304</v>
      </c>
      <c r="AL60" s="369"/>
      <c r="AM60" s="350">
        <v>9053005.3078380954</v>
      </c>
      <c r="AN60" s="350">
        <v>2804444.9613715773</v>
      </c>
      <c r="AO60" s="350">
        <v>2834377.6477404316</v>
      </c>
      <c r="AP60" s="350">
        <v>2862035.2666758457</v>
      </c>
      <c r="AQ60" s="350">
        <v>2887340.8438849309</v>
      </c>
      <c r="AR60" s="348">
        <v>20441204.027510878</v>
      </c>
      <c r="AS60" s="369"/>
      <c r="AT60" s="350">
        <f t="shared" si="50"/>
        <v>2731651.457118066</v>
      </c>
      <c r="AU60" s="350">
        <f t="shared" si="34"/>
        <v>2765398.1305984752</v>
      </c>
      <c r="AV60" s="350">
        <f t="shared" si="35"/>
        <v>2796991.6774110026</v>
      </c>
      <c r="AW60" s="350">
        <f t="shared" si="36"/>
        <v>2826354.8479154347</v>
      </c>
      <c r="AX60" s="350">
        <f t="shared" si="37"/>
        <v>2853410.5807016729</v>
      </c>
      <c r="AY60" s="350">
        <f t="shared" si="38"/>
        <v>13973806.693744648</v>
      </c>
      <c r="AZ60" s="365"/>
      <c r="BA60" s="377">
        <f t="shared" si="51"/>
        <v>0</v>
      </c>
      <c r="BB60" s="377">
        <f t="shared" si="39"/>
        <v>0</v>
      </c>
      <c r="BC60" s="377">
        <f t="shared" si="40"/>
        <v>0</v>
      </c>
      <c r="BD60" s="377">
        <f t="shared" si="41"/>
        <v>0</v>
      </c>
      <c r="BE60" s="377">
        <f t="shared" si="42"/>
        <v>0</v>
      </c>
      <c r="BF60" s="377">
        <f t="shared" si="43"/>
        <v>0</v>
      </c>
      <c r="BG60" s="328"/>
    </row>
    <row r="61" spans="2:59">
      <c r="B61" s="332">
        <v>46</v>
      </c>
      <c r="C61" s="350">
        <v>6875846.2631054129</v>
      </c>
      <c r="D61" s="350">
        <v>42471.915320284825</v>
      </c>
      <c r="E61" s="350">
        <v>40665.368598671004</v>
      </c>
      <c r="F61" s="350">
        <v>38810.210564605564</v>
      </c>
      <c r="G61" s="350">
        <v>36906.535976974876</v>
      </c>
      <c r="H61" s="348">
        <v>7034700.2935659494</v>
      </c>
      <c r="I61" s="369"/>
      <c r="J61" s="350">
        <v>9088878.2832066733</v>
      </c>
      <c r="K61" s="350">
        <v>2282843.6125935507</v>
      </c>
      <c r="L61" s="350">
        <v>2306632.3996186703</v>
      </c>
      <c r="M61" s="350">
        <v>2328565.6485457793</v>
      </c>
      <c r="N61" s="350">
        <v>2348581.0232670275</v>
      </c>
      <c r="O61" s="348">
        <v>18355500.967231702</v>
      </c>
      <c r="P61" s="369"/>
      <c r="Q61" s="350">
        <f t="shared" si="44"/>
        <v>2213032.0201012604</v>
      </c>
      <c r="R61" s="350">
        <f t="shared" si="45"/>
        <v>2240371.697273266</v>
      </c>
      <c r="S61" s="350">
        <f t="shared" si="46"/>
        <v>2265967.0310199992</v>
      </c>
      <c r="T61" s="350">
        <f t="shared" si="47"/>
        <v>2289755.4379811739</v>
      </c>
      <c r="U61" s="350">
        <f t="shared" si="48"/>
        <v>2311674.4872900527</v>
      </c>
      <c r="V61" s="350">
        <f t="shared" si="49"/>
        <v>11320800.673665753</v>
      </c>
      <c r="W61" s="365"/>
      <c r="X61" s="377">
        <f t="shared" si="28"/>
        <v>0</v>
      </c>
      <c r="Y61" s="377">
        <f t="shared" si="29"/>
        <v>0</v>
      </c>
      <c r="Z61" s="377">
        <f t="shared" si="30"/>
        <v>0</v>
      </c>
      <c r="AA61" s="377">
        <f t="shared" si="31"/>
        <v>0</v>
      </c>
      <c r="AB61" s="377">
        <f t="shared" si="32"/>
        <v>0</v>
      </c>
      <c r="AC61" s="377">
        <f t="shared" si="33"/>
        <v>0</v>
      </c>
      <c r="AD61" s="376"/>
      <c r="AE61" s="332">
        <v>46</v>
      </c>
      <c r="AF61" s="350">
        <v>4774237.4018769749</v>
      </c>
      <c r="AG61" s="350">
        <v>29490.334555541845</v>
      </c>
      <c r="AH61" s="350">
        <v>28235.960534290192</v>
      </c>
      <c r="AI61" s="350">
        <v>26947.833293842781</v>
      </c>
      <c r="AJ61" s="350">
        <v>25626.01862994739</v>
      </c>
      <c r="AK61" s="348">
        <v>4884537.5488905981</v>
      </c>
      <c r="AL61" s="369"/>
      <c r="AM61" s="350">
        <v>6422109.8141615316</v>
      </c>
      <c r="AN61" s="350">
        <v>1697720.4729657453</v>
      </c>
      <c r="AO61" s="350">
        <v>1715524.9485143842</v>
      </c>
      <c r="AP61" s="350">
        <v>1731950.1933388035</v>
      </c>
      <c r="AQ61" s="350">
        <v>1746949.7858355488</v>
      </c>
      <c r="AR61" s="348">
        <v>13314255.214816015</v>
      </c>
      <c r="AS61" s="369"/>
      <c r="AT61" s="350">
        <f t="shared" si="50"/>
        <v>1647872.4122845568</v>
      </c>
      <c r="AU61" s="350">
        <f t="shared" si="34"/>
        <v>1668230.1384102034</v>
      </c>
      <c r="AV61" s="350">
        <f t="shared" si="35"/>
        <v>1687288.987980094</v>
      </c>
      <c r="AW61" s="350">
        <f t="shared" si="36"/>
        <v>1705002.3600449606</v>
      </c>
      <c r="AX61" s="350">
        <f t="shared" si="37"/>
        <v>1721323.7672056013</v>
      </c>
      <c r="AY61" s="350">
        <f t="shared" si="38"/>
        <v>8429717.6659254171</v>
      </c>
      <c r="AZ61" s="365"/>
      <c r="BA61" s="377">
        <f t="shared" si="51"/>
        <v>0</v>
      </c>
      <c r="BB61" s="377">
        <f t="shared" si="39"/>
        <v>0</v>
      </c>
      <c r="BC61" s="377">
        <f t="shared" si="40"/>
        <v>0</v>
      </c>
      <c r="BD61" s="377">
        <f t="shared" si="41"/>
        <v>0</v>
      </c>
      <c r="BE61" s="377">
        <f t="shared" si="42"/>
        <v>0</v>
      </c>
      <c r="BF61" s="377">
        <f t="shared" si="43"/>
        <v>0</v>
      </c>
      <c r="BG61" s="328"/>
    </row>
    <row r="62" spans="2:59">
      <c r="B62" s="332">
        <v>47</v>
      </c>
      <c r="C62" s="350">
        <v>6798161.1976982309</v>
      </c>
      <c r="D62" s="350">
        <v>41992.056784567219</v>
      </c>
      <c r="E62" s="350">
        <v>40205.920888744542</v>
      </c>
      <c r="F62" s="350">
        <v>38371.722903479487</v>
      </c>
      <c r="G62" s="350">
        <v>36489.556517048637</v>
      </c>
      <c r="H62" s="348">
        <v>6955220.4547920711</v>
      </c>
      <c r="I62" s="369"/>
      <c r="J62" s="350">
        <v>9435191.6301789079</v>
      </c>
      <c r="K62" s="350">
        <v>2711600.2197553217</v>
      </c>
      <c r="L62" s="350">
        <v>2740313.2693238612</v>
      </c>
      <c r="M62" s="350">
        <v>2766825.1379689323</v>
      </c>
      <c r="N62" s="350">
        <v>2791061.5272805374</v>
      </c>
      <c r="O62" s="348">
        <v>20444991.784507558</v>
      </c>
      <c r="P62" s="369"/>
      <c r="Q62" s="350">
        <f t="shared" si="44"/>
        <v>2637030.432480677</v>
      </c>
      <c r="R62" s="350">
        <f t="shared" si="45"/>
        <v>2669608.1629707543</v>
      </c>
      <c r="S62" s="350">
        <f t="shared" si="46"/>
        <v>2700107.3484351165</v>
      </c>
      <c r="T62" s="350">
        <f t="shared" si="47"/>
        <v>2728453.4150654529</v>
      </c>
      <c r="U62" s="350">
        <f t="shared" si="48"/>
        <v>2754571.9707634887</v>
      </c>
      <c r="V62" s="350">
        <f t="shared" si="49"/>
        <v>13489771.329715487</v>
      </c>
      <c r="W62" s="365"/>
      <c r="X62" s="377">
        <f t="shared" si="28"/>
        <v>0</v>
      </c>
      <c r="Y62" s="377">
        <f t="shared" si="29"/>
        <v>0</v>
      </c>
      <c r="Z62" s="377">
        <f t="shared" si="30"/>
        <v>0</v>
      </c>
      <c r="AA62" s="377">
        <f t="shared" si="31"/>
        <v>0</v>
      </c>
      <c r="AB62" s="377">
        <f t="shared" si="32"/>
        <v>0</v>
      </c>
      <c r="AC62" s="377">
        <f t="shared" si="33"/>
        <v>0</v>
      </c>
      <c r="AD62" s="376"/>
      <c r="AE62" s="332">
        <v>47</v>
      </c>
      <c r="AF62" s="350">
        <v>4956863.6867388701</v>
      </c>
      <c r="AG62" s="350">
        <v>30618.412149064581</v>
      </c>
      <c r="AH62" s="350">
        <v>29316.05524635001</v>
      </c>
      <c r="AI62" s="350">
        <v>27978.653981058767</v>
      </c>
      <c r="AJ62" s="350">
        <v>26606.276665785957</v>
      </c>
      <c r="AK62" s="348">
        <v>5071383.0847811298</v>
      </c>
      <c r="AL62" s="369"/>
      <c r="AM62" s="350">
        <v>7306819.0237226011</v>
      </c>
      <c r="AN62" s="350">
        <v>2409604.9695119862</v>
      </c>
      <c r="AO62" s="350">
        <v>2435481.5646504918</v>
      </c>
      <c r="AP62" s="350">
        <v>2459404.3916100934</v>
      </c>
      <c r="AQ62" s="350">
        <v>2481307.2251535673</v>
      </c>
      <c r="AR62" s="348">
        <v>17092617.174648739</v>
      </c>
      <c r="AS62" s="369"/>
      <c r="AT62" s="350">
        <f t="shared" si="50"/>
        <v>2349955.336983731</v>
      </c>
      <c r="AU62" s="350">
        <f t="shared" si="34"/>
        <v>2378986.5573629215</v>
      </c>
      <c r="AV62" s="350">
        <f t="shared" si="35"/>
        <v>2406165.5094041419</v>
      </c>
      <c r="AW62" s="350">
        <f t="shared" si="36"/>
        <v>2431425.7376290346</v>
      </c>
      <c r="AX62" s="350">
        <f t="shared" si="37"/>
        <v>2454700.9484877815</v>
      </c>
      <c r="AY62" s="350">
        <f t="shared" si="38"/>
        <v>12021234.08986761</v>
      </c>
      <c r="AZ62" s="365"/>
      <c r="BA62" s="377">
        <f t="shared" si="51"/>
        <v>0</v>
      </c>
      <c r="BB62" s="377">
        <f t="shared" si="39"/>
        <v>0</v>
      </c>
      <c r="BC62" s="377">
        <f t="shared" si="40"/>
        <v>0</v>
      </c>
      <c r="BD62" s="377">
        <f t="shared" si="41"/>
        <v>0</v>
      </c>
      <c r="BE62" s="377">
        <f t="shared" si="42"/>
        <v>0</v>
      </c>
      <c r="BF62" s="377">
        <f t="shared" si="43"/>
        <v>0</v>
      </c>
      <c r="BG62" s="328"/>
    </row>
    <row r="63" spans="2:59">
      <c r="B63" s="332">
        <v>48</v>
      </c>
      <c r="C63" s="350">
        <v>5895952.7729986757</v>
      </c>
      <c r="D63" s="350">
        <v>36419.139888403275</v>
      </c>
      <c r="E63" s="350">
        <v>34870.048511827554</v>
      </c>
      <c r="F63" s="350">
        <v>33279.273538570553</v>
      </c>
      <c r="G63" s="350">
        <v>31646.89622320747</v>
      </c>
      <c r="H63" s="348">
        <v>6032168.1311606839</v>
      </c>
      <c r="I63" s="369"/>
      <c r="J63" s="350">
        <v>8345111.2787921466</v>
      </c>
      <c r="K63" s="350">
        <v>2515834.4166111965</v>
      </c>
      <c r="L63" s="350">
        <v>2542611.6344723748</v>
      </c>
      <c r="M63" s="350">
        <v>2567347.4461544566</v>
      </c>
      <c r="N63" s="350">
        <v>2589972.8407855174</v>
      </c>
      <c r="O63" s="348">
        <v>18560877.616815694</v>
      </c>
      <c r="P63" s="369"/>
      <c r="Q63" s="350">
        <f t="shared" si="44"/>
        <v>2449158.5057934709</v>
      </c>
      <c r="R63" s="350">
        <f t="shared" si="45"/>
        <v>2479415.276722793</v>
      </c>
      <c r="S63" s="350">
        <f t="shared" si="46"/>
        <v>2507741.5859605474</v>
      </c>
      <c r="T63" s="350">
        <f t="shared" si="47"/>
        <v>2534068.1726158862</v>
      </c>
      <c r="U63" s="350">
        <f t="shared" si="48"/>
        <v>2558325.9445623099</v>
      </c>
      <c r="V63" s="350">
        <f t="shared" si="49"/>
        <v>12528709.48565501</v>
      </c>
      <c r="W63" s="365"/>
      <c r="X63" s="377">
        <f t="shared" si="28"/>
        <v>0</v>
      </c>
      <c r="Y63" s="377">
        <f t="shared" si="29"/>
        <v>0</v>
      </c>
      <c r="Z63" s="377">
        <f t="shared" si="30"/>
        <v>0</v>
      </c>
      <c r="AA63" s="377">
        <f t="shared" si="31"/>
        <v>0</v>
      </c>
      <c r="AB63" s="377">
        <f t="shared" si="32"/>
        <v>0</v>
      </c>
      <c r="AC63" s="377">
        <f t="shared" si="33"/>
        <v>0</v>
      </c>
      <c r="AD63" s="376"/>
      <c r="AE63" s="332">
        <v>48</v>
      </c>
      <c r="AF63" s="350">
        <v>6582802.1162256245</v>
      </c>
      <c r="AG63" s="350">
        <v>40661.789596828152</v>
      </c>
      <c r="AH63" s="350">
        <v>38932.236734964106</v>
      </c>
      <c r="AI63" s="350">
        <v>37156.144343525302</v>
      </c>
      <c r="AJ63" s="350">
        <v>35333.603142848522</v>
      </c>
      <c r="AK63" s="348">
        <v>6734885.8900437895</v>
      </c>
      <c r="AL63" s="369"/>
      <c r="AM63" s="350">
        <v>9042284.3819487952</v>
      </c>
      <c r="AN63" s="350">
        <v>2530528.3654178083</v>
      </c>
      <c r="AO63" s="350">
        <v>2557244.523627256</v>
      </c>
      <c r="AP63" s="350">
        <v>2581905.9904393796</v>
      </c>
      <c r="AQ63" s="350">
        <v>2604443.4732090076</v>
      </c>
      <c r="AR63" s="348">
        <v>19316406.734642245</v>
      </c>
      <c r="AS63" s="369"/>
      <c r="AT63" s="350">
        <f t="shared" si="50"/>
        <v>2459482.2657231707</v>
      </c>
      <c r="AU63" s="350">
        <f t="shared" si="34"/>
        <v>2489866.5758209801</v>
      </c>
      <c r="AV63" s="350">
        <f t="shared" si="35"/>
        <v>2518312.2868922921</v>
      </c>
      <c r="AW63" s="350">
        <f t="shared" si="36"/>
        <v>2544749.8460958544</v>
      </c>
      <c r="AX63" s="350">
        <f t="shared" si="37"/>
        <v>2569109.8700661589</v>
      </c>
      <c r="AY63" s="350">
        <f t="shared" si="38"/>
        <v>12581520.844598455</v>
      </c>
      <c r="AZ63" s="365"/>
      <c r="BA63" s="377">
        <f t="shared" si="51"/>
        <v>0</v>
      </c>
      <c r="BB63" s="377">
        <f t="shared" si="39"/>
        <v>0</v>
      </c>
      <c r="BC63" s="377">
        <f t="shared" si="40"/>
        <v>0</v>
      </c>
      <c r="BD63" s="377">
        <f t="shared" si="41"/>
        <v>0</v>
      </c>
      <c r="BE63" s="377">
        <f t="shared" si="42"/>
        <v>0</v>
      </c>
      <c r="BF63" s="377">
        <f t="shared" si="43"/>
        <v>0</v>
      </c>
      <c r="BG63" s="328"/>
    </row>
    <row r="64" spans="2:59">
      <c r="B64" s="332">
        <v>49</v>
      </c>
      <c r="C64" s="350">
        <v>6221362.3442093618</v>
      </c>
      <c r="D64" s="350">
        <v>38429.185957501541</v>
      </c>
      <c r="E64" s="350">
        <v>36794.597091371157</v>
      </c>
      <c r="F64" s="350">
        <v>35116.024026461622</v>
      </c>
      <c r="G64" s="350">
        <v>33393.55250195261</v>
      </c>
      <c r="H64" s="348">
        <v>6365095.7037866488</v>
      </c>
      <c r="I64" s="369"/>
      <c r="J64" s="350">
        <v>8165388.2540625744</v>
      </c>
      <c r="K64" s="350">
        <v>2006471.4861325172</v>
      </c>
      <c r="L64" s="350">
        <v>2027320.9786185913</v>
      </c>
      <c r="M64" s="350">
        <v>2046539.2019247261</v>
      </c>
      <c r="N64" s="350">
        <v>2064071.3997356661</v>
      </c>
      <c r="O64" s="348">
        <v>16309791.320474077</v>
      </c>
      <c r="P64" s="369"/>
      <c r="Q64" s="350">
        <f t="shared" si="44"/>
        <v>1944025.9098532125</v>
      </c>
      <c r="R64" s="350">
        <f t="shared" si="45"/>
        <v>1968042.3001750156</v>
      </c>
      <c r="S64" s="350">
        <f t="shared" si="46"/>
        <v>1990526.3815272201</v>
      </c>
      <c r="T64" s="350">
        <f t="shared" si="47"/>
        <v>2011423.1778982645</v>
      </c>
      <c r="U64" s="350">
        <f t="shared" si="48"/>
        <v>2030677.8472337136</v>
      </c>
      <c r="V64" s="350">
        <f t="shared" si="49"/>
        <v>9944695.6166874282</v>
      </c>
      <c r="W64" s="365"/>
      <c r="X64" s="377">
        <f t="shared" si="28"/>
        <v>0</v>
      </c>
      <c r="Y64" s="377">
        <f t="shared" si="29"/>
        <v>0</v>
      </c>
      <c r="Z64" s="377">
        <f t="shared" si="30"/>
        <v>0</v>
      </c>
      <c r="AA64" s="377">
        <f t="shared" si="31"/>
        <v>0</v>
      </c>
      <c r="AB64" s="377">
        <f t="shared" si="32"/>
        <v>0</v>
      </c>
      <c r="AC64" s="377">
        <f t="shared" si="33"/>
        <v>0</v>
      </c>
      <c r="AD64" s="376"/>
      <c r="AE64" s="332">
        <v>49</v>
      </c>
      <c r="AF64" s="350">
        <v>4664535.8335376885</v>
      </c>
      <c r="AG64" s="350">
        <v>28812.710952174813</v>
      </c>
      <c r="AH64" s="350">
        <v>27587.159711574568</v>
      </c>
      <c r="AI64" s="350">
        <v>26328.630827178418</v>
      </c>
      <c r="AJ64" s="350">
        <v>25037.188582893945</v>
      </c>
      <c r="AK64" s="348">
        <v>4772301.5236115102</v>
      </c>
      <c r="AL64" s="369"/>
      <c r="AM64" s="350">
        <v>6187865.3997295797</v>
      </c>
      <c r="AN64" s="350">
        <v>1570961.4077250822</v>
      </c>
      <c r="AO64" s="350">
        <v>1587354.2769586532</v>
      </c>
      <c r="AP64" s="350">
        <v>1602470.3794973046</v>
      </c>
      <c r="AQ64" s="350">
        <v>1616266.8056488486</v>
      </c>
      <c r="AR64" s="348">
        <v>12564918.269559469</v>
      </c>
      <c r="AS64" s="369"/>
      <c r="AT64" s="350">
        <f t="shared" si="50"/>
        <v>1523329.5661918912</v>
      </c>
      <c r="AU64" s="350">
        <f t="shared" si="34"/>
        <v>1542148.6967729074</v>
      </c>
      <c r="AV64" s="350">
        <f t="shared" si="35"/>
        <v>1559767.1172470786</v>
      </c>
      <c r="AW64" s="350">
        <f t="shared" si="36"/>
        <v>1576141.7486701261</v>
      </c>
      <c r="AX64" s="350">
        <f t="shared" si="37"/>
        <v>1591229.6170659547</v>
      </c>
      <c r="AY64" s="350">
        <f t="shared" si="38"/>
        <v>7792616.7459479589</v>
      </c>
      <c r="AZ64" s="365"/>
      <c r="BA64" s="377">
        <f t="shared" si="51"/>
        <v>0</v>
      </c>
      <c r="BB64" s="377">
        <f t="shared" si="39"/>
        <v>0</v>
      </c>
      <c r="BC64" s="377">
        <f t="shared" si="40"/>
        <v>0</v>
      </c>
      <c r="BD64" s="377">
        <f t="shared" si="41"/>
        <v>0</v>
      </c>
      <c r="BE64" s="377">
        <f t="shared" si="42"/>
        <v>0</v>
      </c>
      <c r="BF64" s="377">
        <f t="shared" si="43"/>
        <v>0</v>
      </c>
      <c r="BG64" s="328"/>
    </row>
    <row r="65" spans="2:59">
      <c r="B65" s="332">
        <v>50</v>
      </c>
      <c r="C65" s="350">
        <v>6097311.7502917917</v>
      </c>
      <c r="D65" s="350">
        <v>37662.928813479048</v>
      </c>
      <c r="E65" s="350">
        <v>36060.932763592413</v>
      </c>
      <c r="F65" s="350">
        <v>34415.829536011035</v>
      </c>
      <c r="G65" s="350">
        <v>32727.703160330631</v>
      </c>
      <c r="H65" s="348">
        <v>6238179.1445652051</v>
      </c>
      <c r="I65" s="369"/>
      <c r="J65" s="350">
        <v>8359583.6909703128</v>
      </c>
      <c r="K65" s="350">
        <v>2327882.8539638203</v>
      </c>
      <c r="L65" s="350">
        <v>2352445.6873522783</v>
      </c>
      <c r="M65" s="350">
        <v>2375118.2826906824</v>
      </c>
      <c r="N65" s="350">
        <v>2395836.904056306</v>
      </c>
      <c r="O65" s="348">
        <v>17810867.419033401</v>
      </c>
      <c r="P65" s="369"/>
      <c r="Q65" s="350">
        <f t="shared" si="44"/>
        <v>2262271.9406785211</v>
      </c>
      <c r="R65" s="350">
        <f t="shared" si="45"/>
        <v>2290219.9251503414</v>
      </c>
      <c r="S65" s="350">
        <f t="shared" si="46"/>
        <v>2316384.7545886859</v>
      </c>
      <c r="T65" s="350">
        <f t="shared" si="47"/>
        <v>2340702.4531546715</v>
      </c>
      <c r="U65" s="350">
        <f t="shared" si="48"/>
        <v>2363109.2008959753</v>
      </c>
      <c r="V65" s="350">
        <f t="shared" si="49"/>
        <v>11572688.274468195</v>
      </c>
      <c r="W65" s="365"/>
      <c r="X65" s="377">
        <f t="shared" si="28"/>
        <v>0</v>
      </c>
      <c r="Y65" s="377">
        <f t="shared" si="29"/>
        <v>0</v>
      </c>
      <c r="Z65" s="377">
        <f t="shared" si="30"/>
        <v>0</v>
      </c>
      <c r="AA65" s="377">
        <f t="shared" si="31"/>
        <v>0</v>
      </c>
      <c r="AB65" s="377">
        <f t="shared" si="32"/>
        <v>0</v>
      </c>
      <c r="AC65" s="377">
        <f t="shared" si="33"/>
        <v>0</v>
      </c>
      <c r="AD65" s="376"/>
      <c r="AE65" s="332">
        <v>50</v>
      </c>
      <c r="AF65" s="350">
        <v>5104611.4019510383</v>
      </c>
      <c r="AG65" s="350">
        <v>31531.045766678286</v>
      </c>
      <c r="AH65" s="350">
        <v>30189.869911310136</v>
      </c>
      <c r="AI65" s="350">
        <v>28812.605136800754</v>
      </c>
      <c r="AJ65" s="350">
        <v>27399.32179191825</v>
      </c>
      <c r="AK65" s="348">
        <v>5222544.2445577458</v>
      </c>
      <c r="AL65" s="369"/>
      <c r="AM65" s="350">
        <v>7294894.6804234264</v>
      </c>
      <c r="AN65" s="350">
        <v>2248872.9646946774</v>
      </c>
      <c r="AO65" s="350">
        <v>2272864.0167525001</v>
      </c>
      <c r="AP65" s="350">
        <v>2295030.6273106989</v>
      </c>
      <c r="AQ65" s="350">
        <v>2315311.0776059898</v>
      </c>
      <c r="AR65" s="348">
        <v>16426973.366787292</v>
      </c>
      <c r="AS65" s="369"/>
      <c r="AT65" s="350">
        <f t="shared" si="50"/>
        <v>2190283.2784723882</v>
      </c>
      <c r="AU65" s="350">
        <f t="shared" si="34"/>
        <v>2217341.9189279992</v>
      </c>
      <c r="AV65" s="350">
        <f t="shared" si="35"/>
        <v>2242674.1468411898</v>
      </c>
      <c r="AW65" s="350">
        <f t="shared" si="36"/>
        <v>2266218.0221738983</v>
      </c>
      <c r="AX65" s="350">
        <f t="shared" si="37"/>
        <v>2287911.7558140717</v>
      </c>
      <c r="AY65" s="350">
        <f t="shared" si="38"/>
        <v>11204429.122229546</v>
      </c>
      <c r="AZ65" s="365"/>
      <c r="BA65" s="377">
        <f t="shared" si="51"/>
        <v>0</v>
      </c>
      <c r="BB65" s="377">
        <f t="shared" si="39"/>
        <v>0</v>
      </c>
      <c r="BC65" s="377">
        <f t="shared" si="40"/>
        <v>0</v>
      </c>
      <c r="BD65" s="377">
        <f t="shared" si="41"/>
        <v>0</v>
      </c>
      <c r="BE65" s="377">
        <f t="shared" si="42"/>
        <v>0</v>
      </c>
      <c r="BF65" s="377">
        <f t="shared" si="43"/>
        <v>0</v>
      </c>
      <c r="BG65" s="328"/>
    </row>
    <row r="66" spans="2:59">
      <c r="B66" s="332">
        <v>51</v>
      </c>
      <c r="C66" s="350">
        <v>4534180.5657642214</v>
      </c>
      <c r="D66" s="350">
        <v>28007.510009253925</v>
      </c>
      <c r="E66" s="350">
        <v>26816.208062868991</v>
      </c>
      <c r="F66" s="350">
        <v>25592.850066978586</v>
      </c>
      <c r="G66" s="350">
        <v>24337.498509005341</v>
      </c>
      <c r="H66" s="348">
        <v>4638934.6324123284</v>
      </c>
      <c r="I66" s="369"/>
      <c r="J66" s="350">
        <v>6791356.3987305388</v>
      </c>
      <c r="K66" s="350">
        <v>2313068.3704099795</v>
      </c>
      <c r="L66" s="350">
        <v>2337982.9576893621</v>
      </c>
      <c r="M66" s="350">
        <v>2361022.518986918</v>
      </c>
      <c r="N66" s="350">
        <v>2382123.4406017731</v>
      </c>
      <c r="O66" s="348">
        <v>16185553.686418572</v>
      </c>
      <c r="P66" s="369"/>
      <c r="Q66" s="350">
        <f t="shared" si="44"/>
        <v>2257175.8329663174</v>
      </c>
      <c r="R66" s="350">
        <f t="shared" si="45"/>
        <v>2285060.8604007256</v>
      </c>
      <c r="S66" s="350">
        <f t="shared" si="46"/>
        <v>2311166.7496264931</v>
      </c>
      <c r="T66" s="350">
        <f t="shared" si="47"/>
        <v>2335429.6689199395</v>
      </c>
      <c r="U66" s="350">
        <f t="shared" si="48"/>
        <v>2357785.9420927679</v>
      </c>
      <c r="V66" s="350">
        <f t="shared" si="49"/>
        <v>11546619.054006245</v>
      </c>
      <c r="W66" s="365"/>
      <c r="X66" s="377">
        <f t="shared" si="28"/>
        <v>0</v>
      </c>
      <c r="Y66" s="377">
        <f t="shared" si="29"/>
        <v>0</v>
      </c>
      <c r="Z66" s="377">
        <f t="shared" si="30"/>
        <v>0</v>
      </c>
      <c r="AA66" s="377">
        <f t="shared" si="31"/>
        <v>0</v>
      </c>
      <c r="AB66" s="377">
        <f t="shared" si="32"/>
        <v>0</v>
      </c>
      <c r="AC66" s="377">
        <f t="shared" si="33"/>
        <v>0</v>
      </c>
      <c r="AD66" s="376"/>
      <c r="AE66" s="332">
        <v>51</v>
      </c>
      <c r="AF66" s="350">
        <v>7807183.1488054991</v>
      </c>
      <c r="AG66" s="350">
        <v>48224.757927652667</v>
      </c>
      <c r="AH66" s="350">
        <v>46173.513530554956</v>
      </c>
      <c r="AI66" s="350">
        <v>44067.073393919614</v>
      </c>
      <c r="AJ66" s="350">
        <v>41905.545111781139</v>
      </c>
      <c r="AK66" s="348">
        <v>7987554.0387694072</v>
      </c>
      <c r="AL66" s="369"/>
      <c r="AM66" s="350">
        <v>10117779.282113962</v>
      </c>
      <c r="AN66" s="350">
        <v>2387365.870154513</v>
      </c>
      <c r="AO66" s="350">
        <v>2412038.3598239655</v>
      </c>
      <c r="AP66" s="350">
        <v>2434769.0664808676</v>
      </c>
      <c r="AQ66" s="350">
        <v>2455492.9145145174</v>
      </c>
      <c r="AR66" s="348">
        <v>19807445.493087828</v>
      </c>
      <c r="AS66" s="369"/>
      <c r="AT66" s="350">
        <f t="shared" si="50"/>
        <v>2310596.1333084628</v>
      </c>
      <c r="AU66" s="350">
        <f t="shared" si="34"/>
        <v>2339141.1122268606</v>
      </c>
      <c r="AV66" s="350">
        <f t="shared" si="35"/>
        <v>2365864.8462934103</v>
      </c>
      <c r="AW66" s="350">
        <f t="shared" si="36"/>
        <v>2390701.9930869481</v>
      </c>
      <c r="AX66" s="350">
        <f t="shared" si="37"/>
        <v>2413587.3694027364</v>
      </c>
      <c r="AY66" s="350">
        <f t="shared" si="38"/>
        <v>11819891.454318421</v>
      </c>
      <c r="AZ66" s="365"/>
      <c r="BA66" s="377">
        <f t="shared" si="51"/>
        <v>0</v>
      </c>
      <c r="BB66" s="377">
        <f t="shared" si="39"/>
        <v>0</v>
      </c>
      <c r="BC66" s="377">
        <f t="shared" si="40"/>
        <v>0</v>
      </c>
      <c r="BD66" s="377">
        <f t="shared" si="41"/>
        <v>0</v>
      </c>
      <c r="BE66" s="377">
        <f t="shared" si="42"/>
        <v>0</v>
      </c>
      <c r="BF66" s="377">
        <f t="shared" si="43"/>
        <v>0</v>
      </c>
      <c r="BG66" s="328"/>
    </row>
    <row r="67" spans="2:59">
      <c r="B67" s="332">
        <v>52</v>
      </c>
      <c r="C67" s="350">
        <v>5579880.4289534949</v>
      </c>
      <c r="D67" s="350">
        <v>34466.769617503618</v>
      </c>
      <c r="E67" s="350">
        <v>33000.722485238723</v>
      </c>
      <c r="F67" s="350">
        <v>31495.226345446925</v>
      </c>
      <c r="G67" s="350">
        <v>29950.358096776534</v>
      </c>
      <c r="H67" s="348">
        <v>5708793.5054984605</v>
      </c>
      <c r="I67" s="369"/>
      <c r="J67" s="350">
        <v>7568847.5089532053</v>
      </c>
      <c r="K67" s="350">
        <v>2048005.4407098945</v>
      </c>
      <c r="L67" s="350">
        <v>2069543.2524289493</v>
      </c>
      <c r="M67" s="350">
        <v>2089417.6359753297</v>
      </c>
      <c r="N67" s="350">
        <v>2107572.5583777949</v>
      </c>
      <c r="O67" s="348">
        <v>15883386.396445172</v>
      </c>
      <c r="P67" s="369"/>
      <c r="Q67" s="350">
        <f t="shared" si="44"/>
        <v>1988967.0799997104</v>
      </c>
      <c r="R67" s="350">
        <f t="shared" si="45"/>
        <v>2013538.671092391</v>
      </c>
      <c r="S67" s="350">
        <f t="shared" si="46"/>
        <v>2036542.5299437107</v>
      </c>
      <c r="T67" s="350">
        <f t="shared" si="47"/>
        <v>2057922.4096298828</v>
      </c>
      <c r="U67" s="350">
        <f t="shared" si="48"/>
        <v>2077622.2002810184</v>
      </c>
      <c r="V67" s="350">
        <f t="shared" si="49"/>
        <v>10174592.890946712</v>
      </c>
      <c r="W67" s="365"/>
      <c r="X67" s="377">
        <f t="shared" si="28"/>
        <v>0</v>
      </c>
      <c r="Y67" s="377">
        <f t="shared" si="29"/>
        <v>0</v>
      </c>
      <c r="Z67" s="377">
        <f t="shared" si="30"/>
        <v>0</v>
      </c>
      <c r="AA67" s="377">
        <f t="shared" si="31"/>
        <v>0</v>
      </c>
      <c r="AB67" s="377">
        <f t="shared" si="32"/>
        <v>0</v>
      </c>
      <c r="AC67" s="377">
        <f t="shared" si="33"/>
        <v>0</v>
      </c>
      <c r="AD67" s="376"/>
      <c r="AE67" s="332">
        <v>52</v>
      </c>
      <c r="AF67" s="350">
        <v>4410432.8718360122</v>
      </c>
      <c r="AG67" s="350">
        <v>27243.123870227319</v>
      </c>
      <c r="AH67" s="350">
        <v>26084.335156718742</v>
      </c>
      <c r="AI67" s="350">
        <v>24894.365273329648</v>
      </c>
      <c r="AJ67" s="350">
        <v>23673.275002070757</v>
      </c>
      <c r="AK67" s="348">
        <v>4512327.971138359</v>
      </c>
      <c r="AL67" s="369"/>
      <c r="AM67" s="350">
        <v>7315408.3454398271</v>
      </c>
      <c r="AN67" s="350">
        <v>2968106.5064240829</v>
      </c>
      <c r="AO67" s="350">
        <v>3000545.8835290554</v>
      </c>
      <c r="AP67" s="350">
        <v>3030582.1851820122</v>
      </c>
      <c r="AQ67" s="350">
        <v>3058133.5211877585</v>
      </c>
      <c r="AR67" s="348">
        <v>19372776.441762738</v>
      </c>
      <c r="AS67" s="369"/>
      <c r="AT67" s="350">
        <f t="shared" si="50"/>
        <v>2904975.4736038148</v>
      </c>
      <c r="AU67" s="350">
        <f t="shared" si="34"/>
        <v>2940863.3825538554</v>
      </c>
      <c r="AV67" s="350">
        <f t="shared" si="35"/>
        <v>2974461.5483723367</v>
      </c>
      <c r="AW67" s="350">
        <f t="shared" si="36"/>
        <v>3005687.8199086827</v>
      </c>
      <c r="AX67" s="350">
        <f t="shared" si="37"/>
        <v>3034460.2461856878</v>
      </c>
      <c r="AY67" s="350">
        <f t="shared" si="38"/>
        <v>14860448.47062438</v>
      </c>
      <c r="AZ67" s="365"/>
      <c r="BA67" s="377">
        <f t="shared" si="51"/>
        <v>0</v>
      </c>
      <c r="BB67" s="377">
        <f t="shared" si="39"/>
        <v>0</v>
      </c>
      <c r="BC67" s="377">
        <f t="shared" si="40"/>
        <v>0</v>
      </c>
      <c r="BD67" s="377">
        <f t="shared" si="41"/>
        <v>0</v>
      </c>
      <c r="BE67" s="377">
        <f t="shared" si="42"/>
        <v>0</v>
      </c>
      <c r="BF67" s="377">
        <f t="shared" si="43"/>
        <v>0</v>
      </c>
      <c r="BG67" s="328"/>
    </row>
    <row r="68" spans="2:59">
      <c r="B68" s="332">
        <v>53</v>
      </c>
      <c r="C68" s="350">
        <v>5496777.1088193869</v>
      </c>
      <c r="D68" s="350">
        <v>33953.442669734199</v>
      </c>
      <c r="E68" s="350">
        <v>32509.229945162919</v>
      </c>
      <c r="F68" s="350">
        <v>31026.155742410592</v>
      </c>
      <c r="G68" s="350">
        <v>29504.29581484502</v>
      </c>
      <c r="H68" s="348">
        <v>5623770.2329915399</v>
      </c>
      <c r="I68" s="369"/>
      <c r="J68" s="350">
        <v>7419446.5416658903</v>
      </c>
      <c r="K68" s="350">
        <v>1980375.4290830395</v>
      </c>
      <c r="L68" s="350">
        <v>2001168.2944356767</v>
      </c>
      <c r="M68" s="350">
        <v>2020352.4507587026</v>
      </c>
      <c r="N68" s="350">
        <v>2037873.7342291763</v>
      </c>
      <c r="O68" s="348">
        <v>15459216.450172484</v>
      </c>
      <c r="P68" s="369"/>
      <c r="Q68" s="350">
        <f t="shared" si="44"/>
        <v>1922669.4328465033</v>
      </c>
      <c r="R68" s="350">
        <f t="shared" si="45"/>
        <v>1946421.9864133054</v>
      </c>
      <c r="S68" s="350">
        <f t="shared" si="46"/>
        <v>1968659.0644905136</v>
      </c>
      <c r="T68" s="350">
        <f t="shared" si="47"/>
        <v>1989326.295016292</v>
      </c>
      <c r="U68" s="350">
        <f t="shared" si="48"/>
        <v>2008369.4384143313</v>
      </c>
      <c r="V68" s="350">
        <f t="shared" si="49"/>
        <v>9835446.217180945</v>
      </c>
      <c r="W68" s="365"/>
      <c r="X68" s="377">
        <f t="shared" si="28"/>
        <v>0</v>
      </c>
      <c r="Y68" s="377">
        <f t="shared" si="29"/>
        <v>0</v>
      </c>
      <c r="Z68" s="377">
        <f t="shared" si="30"/>
        <v>0</v>
      </c>
      <c r="AA68" s="377">
        <f t="shared" si="31"/>
        <v>0</v>
      </c>
      <c r="AB68" s="377">
        <f t="shared" si="32"/>
        <v>0</v>
      </c>
      <c r="AC68" s="377">
        <f t="shared" si="33"/>
        <v>0</v>
      </c>
      <c r="AD68" s="376"/>
      <c r="AE68" s="332">
        <v>53</v>
      </c>
      <c r="AF68" s="350">
        <v>4679036.3834157893</v>
      </c>
      <c r="AG68" s="350">
        <v>28902.28045430651</v>
      </c>
      <c r="AH68" s="350">
        <v>27672.919366912371</v>
      </c>
      <c r="AI68" s="350">
        <v>26410.478118775227</v>
      </c>
      <c r="AJ68" s="350">
        <v>25115.021193641383</v>
      </c>
      <c r="AK68" s="348">
        <v>4787137.0825494248</v>
      </c>
      <c r="AL68" s="369"/>
      <c r="AM68" s="350">
        <v>6607734.9015504811</v>
      </c>
      <c r="AN68" s="350">
        <v>1981427.8351474265</v>
      </c>
      <c r="AO68" s="350">
        <v>2002505.2829177883</v>
      </c>
      <c r="AP68" s="350">
        <v>2021974.8802655949</v>
      </c>
      <c r="AQ68" s="350">
        <v>2039782.2820144296</v>
      </c>
      <c r="AR68" s="348">
        <v>14653425.181895722</v>
      </c>
      <c r="AS68" s="369"/>
      <c r="AT68" s="350">
        <f t="shared" si="50"/>
        <v>1928698.5181346918</v>
      </c>
      <c r="AU68" s="350">
        <f t="shared" si="34"/>
        <v>1952525.5546931201</v>
      </c>
      <c r="AV68" s="350">
        <f t="shared" si="35"/>
        <v>1974832.3635508758</v>
      </c>
      <c r="AW68" s="350">
        <f t="shared" si="36"/>
        <v>1995564.4021468197</v>
      </c>
      <c r="AX68" s="350">
        <f t="shared" si="37"/>
        <v>2014667.2608207881</v>
      </c>
      <c r="AY68" s="350">
        <f t="shared" si="38"/>
        <v>9866288.0993462969</v>
      </c>
      <c r="AZ68" s="365"/>
      <c r="BA68" s="377">
        <f t="shared" si="51"/>
        <v>0</v>
      </c>
      <c r="BB68" s="377">
        <f t="shared" si="39"/>
        <v>0</v>
      </c>
      <c r="BC68" s="377">
        <f t="shared" si="40"/>
        <v>0</v>
      </c>
      <c r="BD68" s="377">
        <f t="shared" si="41"/>
        <v>0</v>
      </c>
      <c r="BE68" s="377">
        <f t="shared" si="42"/>
        <v>0</v>
      </c>
      <c r="BF68" s="377">
        <f t="shared" si="43"/>
        <v>0</v>
      </c>
      <c r="BG68" s="328"/>
    </row>
    <row r="69" spans="2:59">
      <c r="B69" s="332">
        <v>54</v>
      </c>
      <c r="C69" s="350">
        <v>6304777.3592539057</v>
      </c>
      <c r="D69" s="350">
        <v>38944.438236252907</v>
      </c>
      <c r="E69" s="350">
        <v>37287.933068304636</v>
      </c>
      <c r="F69" s="350">
        <v>35586.853968588854</v>
      </c>
      <c r="G69" s="350">
        <v>33841.287825860767</v>
      </c>
      <c r="H69" s="348">
        <v>6450437.872352913</v>
      </c>
      <c r="I69" s="369"/>
      <c r="J69" s="350">
        <v>7979900.0034622364</v>
      </c>
      <c r="K69" s="350">
        <v>1734761.4564528156</v>
      </c>
      <c r="L69" s="350">
        <v>1752478.9697155925</v>
      </c>
      <c r="M69" s="350">
        <v>1768784.1818978619</v>
      </c>
      <c r="N69" s="350">
        <v>1783629.9237449493</v>
      </c>
      <c r="O69" s="348">
        <v>15019554.535273455</v>
      </c>
      <c r="P69" s="369"/>
      <c r="Q69" s="350">
        <f t="shared" si="44"/>
        <v>1675122.6442083307</v>
      </c>
      <c r="R69" s="350">
        <f t="shared" si="45"/>
        <v>1695817.0182165627</v>
      </c>
      <c r="S69" s="350">
        <f t="shared" si="46"/>
        <v>1715191.0366472879</v>
      </c>
      <c r="T69" s="350">
        <f t="shared" si="47"/>
        <v>1733197.327929273</v>
      </c>
      <c r="U69" s="350">
        <f t="shared" si="48"/>
        <v>1749788.6359190885</v>
      </c>
      <c r="V69" s="350">
        <f t="shared" si="49"/>
        <v>8569116.6629205421</v>
      </c>
      <c r="W69" s="365"/>
      <c r="X69" s="377">
        <f t="shared" si="28"/>
        <v>0</v>
      </c>
      <c r="Y69" s="377">
        <f t="shared" si="29"/>
        <v>0</v>
      </c>
      <c r="Z69" s="377">
        <f t="shared" si="30"/>
        <v>0</v>
      </c>
      <c r="AA69" s="377">
        <f t="shared" si="31"/>
        <v>0</v>
      </c>
      <c r="AB69" s="377">
        <f t="shared" si="32"/>
        <v>0</v>
      </c>
      <c r="AC69" s="377">
        <f t="shared" si="33"/>
        <v>0</v>
      </c>
      <c r="AD69" s="376"/>
      <c r="AE69" s="332">
        <v>54</v>
      </c>
      <c r="AF69" s="350">
        <v>6420540.223697409</v>
      </c>
      <c r="AG69" s="350">
        <v>39659.502300767679</v>
      </c>
      <c r="AH69" s="350">
        <v>37972.581818799619</v>
      </c>
      <c r="AI69" s="350">
        <v>36240.268977111424</v>
      </c>
      <c r="AJ69" s="350">
        <v>34462.652259838629</v>
      </c>
      <c r="AK69" s="348">
        <v>6568875.2290539257</v>
      </c>
      <c r="AL69" s="369"/>
      <c r="AM69" s="350">
        <v>8320533.1941553792</v>
      </c>
      <c r="AN69" s="350">
        <v>1963124.8825429475</v>
      </c>
      <c r="AO69" s="350">
        <v>1983412.7702669173</v>
      </c>
      <c r="AP69" s="350">
        <v>2002103.9332692665</v>
      </c>
      <c r="AQ69" s="350">
        <v>2019144.8601734727</v>
      </c>
      <c r="AR69" s="348">
        <v>16288319.640407983</v>
      </c>
      <c r="AS69" s="369"/>
      <c r="AT69" s="350">
        <f t="shared" si="50"/>
        <v>1899992.9704579702</v>
      </c>
      <c r="AU69" s="350">
        <f t="shared" si="34"/>
        <v>1923465.3802421798</v>
      </c>
      <c r="AV69" s="350">
        <f t="shared" si="35"/>
        <v>1945440.1884481176</v>
      </c>
      <c r="AW69" s="350">
        <f t="shared" si="36"/>
        <v>1965863.6642921551</v>
      </c>
      <c r="AX69" s="350">
        <f t="shared" si="37"/>
        <v>1984682.2079136341</v>
      </c>
      <c r="AY69" s="350">
        <f t="shared" si="38"/>
        <v>9719444.4113540575</v>
      </c>
      <c r="AZ69" s="365"/>
      <c r="BA69" s="377">
        <f t="shared" si="51"/>
        <v>0</v>
      </c>
      <c r="BB69" s="377">
        <f t="shared" si="39"/>
        <v>0</v>
      </c>
      <c r="BC69" s="377">
        <f t="shared" si="40"/>
        <v>0</v>
      </c>
      <c r="BD69" s="377">
        <f t="shared" si="41"/>
        <v>0</v>
      </c>
      <c r="BE69" s="377">
        <f t="shared" si="42"/>
        <v>0</v>
      </c>
      <c r="BF69" s="377">
        <f t="shared" si="43"/>
        <v>0</v>
      </c>
      <c r="BG69" s="328"/>
    </row>
    <row r="70" spans="2:59">
      <c r="B70" s="332">
        <v>55</v>
      </c>
      <c r="C70" s="350">
        <v>5323265.5761104114</v>
      </c>
      <c r="D70" s="350">
        <v>32881.666652308209</v>
      </c>
      <c r="E70" s="350">
        <v>31483.042016617484</v>
      </c>
      <c r="F70" s="350">
        <v>30046.782606051158</v>
      </c>
      <c r="G70" s="350">
        <v>28572.961782740826</v>
      </c>
      <c r="H70" s="348">
        <v>5446250.029168128</v>
      </c>
      <c r="I70" s="369"/>
      <c r="J70" s="350">
        <v>7297699.0367781287</v>
      </c>
      <c r="K70" s="350">
        <v>2031707.1708702091</v>
      </c>
      <c r="L70" s="350">
        <v>2053144.3131495388</v>
      </c>
      <c r="M70" s="350">
        <v>2072931.7080980162</v>
      </c>
      <c r="N70" s="350">
        <v>2091013.7292093819</v>
      </c>
      <c r="O70" s="348">
        <v>15546495.958105274</v>
      </c>
      <c r="P70" s="369"/>
      <c r="Q70" s="350">
        <f t="shared" si="44"/>
        <v>1974433.4606677173</v>
      </c>
      <c r="R70" s="350">
        <f t="shared" si="45"/>
        <v>1998825.5042179008</v>
      </c>
      <c r="S70" s="350">
        <f t="shared" si="46"/>
        <v>2021661.2711329213</v>
      </c>
      <c r="T70" s="350">
        <f t="shared" si="47"/>
        <v>2042884.9254919651</v>
      </c>
      <c r="U70" s="350">
        <f t="shared" si="48"/>
        <v>2062440.767426641</v>
      </c>
      <c r="V70" s="350">
        <f t="shared" si="49"/>
        <v>10100245.928937145</v>
      </c>
      <c r="W70" s="365"/>
      <c r="X70" s="377">
        <f t="shared" si="28"/>
        <v>0</v>
      </c>
      <c r="Y70" s="377">
        <f t="shared" si="29"/>
        <v>0</v>
      </c>
      <c r="Z70" s="377">
        <f t="shared" si="30"/>
        <v>0</v>
      </c>
      <c r="AA70" s="377">
        <f t="shared" si="31"/>
        <v>0</v>
      </c>
      <c r="AB70" s="377">
        <f t="shared" si="32"/>
        <v>0</v>
      </c>
      <c r="AC70" s="377">
        <f t="shared" si="33"/>
        <v>0</v>
      </c>
      <c r="AD70" s="376"/>
      <c r="AE70" s="332">
        <v>55</v>
      </c>
      <c r="AF70" s="350">
        <v>5535937.2550024316</v>
      </c>
      <c r="AG70" s="350">
        <v>34195.333827414739</v>
      </c>
      <c r="AH70" s="350">
        <v>32740.83224078959</v>
      </c>
      <c r="AI70" s="350">
        <v>31247.192318992875</v>
      </c>
      <c r="AJ70" s="350">
        <v>29714.490355075352</v>
      </c>
      <c r="AK70" s="348">
        <v>5663835.1037447033</v>
      </c>
      <c r="AL70" s="369"/>
      <c r="AM70" s="350">
        <v>7372738.864049267</v>
      </c>
      <c r="AN70" s="350">
        <v>1893688.6900176385</v>
      </c>
      <c r="AO70" s="350">
        <v>1913478.142329134</v>
      </c>
      <c r="AP70" s="350">
        <v>1931728.7192944216</v>
      </c>
      <c r="AQ70" s="350">
        <v>1948388.6800094156</v>
      </c>
      <c r="AR70" s="348">
        <v>15060023.095699877</v>
      </c>
      <c r="AS70" s="369"/>
      <c r="AT70" s="350">
        <f t="shared" si="50"/>
        <v>1836801.6090468355</v>
      </c>
      <c r="AU70" s="350">
        <f t="shared" si="34"/>
        <v>1859493.3561902237</v>
      </c>
      <c r="AV70" s="350">
        <f t="shared" si="35"/>
        <v>1880737.3100883444</v>
      </c>
      <c r="AW70" s="350">
        <f t="shared" si="36"/>
        <v>1900481.5269754287</v>
      </c>
      <c r="AX70" s="350">
        <f t="shared" si="37"/>
        <v>1918674.1896543403</v>
      </c>
      <c r="AY70" s="350">
        <f t="shared" si="38"/>
        <v>9396187.9919551723</v>
      </c>
      <c r="AZ70" s="365"/>
      <c r="BA70" s="377">
        <f t="shared" si="51"/>
        <v>0</v>
      </c>
      <c r="BB70" s="377">
        <f t="shared" si="39"/>
        <v>0</v>
      </c>
      <c r="BC70" s="377">
        <f t="shared" si="40"/>
        <v>0</v>
      </c>
      <c r="BD70" s="377">
        <f t="shared" si="41"/>
        <v>0</v>
      </c>
      <c r="BE70" s="377">
        <f t="shared" si="42"/>
        <v>0</v>
      </c>
      <c r="BF70" s="377">
        <f t="shared" si="43"/>
        <v>0</v>
      </c>
      <c r="BG70" s="328"/>
    </row>
    <row r="71" spans="2:59">
      <c r="B71" s="332">
        <v>56</v>
      </c>
      <c r="C71" s="350">
        <v>5543532.514162329</v>
      </c>
      <c r="D71" s="350">
        <v>34242.249536627518</v>
      </c>
      <c r="E71" s="350">
        <v>32785.752386110937</v>
      </c>
      <c r="F71" s="350">
        <v>31290.063202955182</v>
      </c>
      <c r="G71" s="350">
        <v>29755.258384887522</v>
      </c>
      <c r="H71" s="348">
        <v>5671605.8376729097</v>
      </c>
      <c r="I71" s="369"/>
      <c r="J71" s="350">
        <v>7773322.9148564357</v>
      </c>
      <c r="K71" s="350">
        <v>2291579.3595248098</v>
      </c>
      <c r="L71" s="350">
        <v>2315912.0190483229</v>
      </c>
      <c r="M71" s="350">
        <v>2338384.8766408251</v>
      </c>
      <c r="N71" s="350">
        <v>2358935.1050700611</v>
      </c>
      <c r="O71" s="348">
        <v>17078134.275140453</v>
      </c>
      <c r="P71" s="369"/>
      <c r="Q71" s="350">
        <f t="shared" si="44"/>
        <v>2229790.4006941067</v>
      </c>
      <c r="R71" s="350">
        <f t="shared" si="45"/>
        <v>2257337.1099881823</v>
      </c>
      <c r="S71" s="350">
        <f t="shared" si="46"/>
        <v>2283126.2666622121</v>
      </c>
      <c r="T71" s="350">
        <f t="shared" si="47"/>
        <v>2307094.8134378698</v>
      </c>
      <c r="U71" s="350">
        <f t="shared" si="48"/>
        <v>2329179.8466851735</v>
      </c>
      <c r="V71" s="350">
        <f t="shared" si="49"/>
        <v>11406528.437467543</v>
      </c>
      <c r="W71" s="365"/>
      <c r="X71" s="377">
        <f t="shared" si="28"/>
        <v>0</v>
      </c>
      <c r="Y71" s="377">
        <f t="shared" si="29"/>
        <v>0</v>
      </c>
      <c r="Z71" s="377">
        <f t="shared" si="30"/>
        <v>0</v>
      </c>
      <c r="AA71" s="377">
        <f t="shared" si="31"/>
        <v>0</v>
      </c>
      <c r="AB71" s="377">
        <f t="shared" si="32"/>
        <v>0</v>
      </c>
      <c r="AC71" s="377">
        <f t="shared" si="33"/>
        <v>0</v>
      </c>
      <c r="AD71" s="376"/>
      <c r="AE71" s="332">
        <v>56</v>
      </c>
      <c r="AF71" s="350">
        <v>6096775.7430179734</v>
      </c>
      <c r="AG71" s="350">
        <v>37659.617911130335</v>
      </c>
      <c r="AH71" s="350">
        <v>36057.762690769705</v>
      </c>
      <c r="AI71" s="350">
        <v>34412.804082218499</v>
      </c>
      <c r="AJ71" s="350">
        <v>32724.826107677341</v>
      </c>
      <c r="AK71" s="348">
        <v>6237630.7538097687</v>
      </c>
      <c r="AL71" s="369"/>
      <c r="AM71" s="350">
        <v>8647863.2858174015</v>
      </c>
      <c r="AN71" s="350">
        <v>2620263.1574174049</v>
      </c>
      <c r="AO71" s="350">
        <v>2648166.4952905006</v>
      </c>
      <c r="AP71" s="350">
        <v>2673943.7827725932</v>
      </c>
      <c r="AQ71" s="350">
        <v>2697523.1362844435</v>
      </c>
      <c r="AR71" s="348">
        <v>19287759.857582346</v>
      </c>
      <c r="AS71" s="369"/>
      <c r="AT71" s="350">
        <f t="shared" si="50"/>
        <v>2551087.5427994281</v>
      </c>
      <c r="AU71" s="350">
        <f t="shared" si="34"/>
        <v>2582603.5395062747</v>
      </c>
      <c r="AV71" s="350">
        <f t="shared" si="35"/>
        <v>2612108.7325997311</v>
      </c>
      <c r="AW71" s="350">
        <f t="shared" si="36"/>
        <v>2639530.9786903746</v>
      </c>
      <c r="AX71" s="350">
        <f t="shared" si="37"/>
        <v>2664798.310176766</v>
      </c>
      <c r="AY71" s="350">
        <f t="shared" si="38"/>
        <v>13050129.103772577</v>
      </c>
      <c r="AZ71" s="365"/>
      <c r="BA71" s="377">
        <f t="shared" si="51"/>
        <v>0</v>
      </c>
      <c r="BB71" s="377">
        <f t="shared" si="39"/>
        <v>0</v>
      </c>
      <c r="BC71" s="377">
        <f t="shared" si="40"/>
        <v>0</v>
      </c>
      <c r="BD71" s="377">
        <f t="shared" si="41"/>
        <v>0</v>
      </c>
      <c r="BE71" s="377">
        <f t="shared" si="42"/>
        <v>0</v>
      </c>
      <c r="BF71" s="377">
        <f t="shared" si="43"/>
        <v>0</v>
      </c>
      <c r="BG71" s="328"/>
    </row>
    <row r="72" spans="2:59">
      <c r="B72" s="332">
        <v>57</v>
      </c>
      <c r="C72" s="350">
        <v>4684605.6504724883</v>
      </c>
      <c r="D72" s="350">
        <v>28936.681665411073</v>
      </c>
      <c r="E72" s="350">
        <v>27705.85731942338</v>
      </c>
      <c r="F72" s="350">
        <v>26441.913438719421</v>
      </c>
      <c r="G72" s="350">
        <v>25144.914583797061</v>
      </c>
      <c r="H72" s="348">
        <v>4792835.0174798388</v>
      </c>
      <c r="I72" s="369"/>
      <c r="J72" s="350">
        <v>6464156.9611143945</v>
      </c>
      <c r="K72" s="350">
        <v>1830472.4723790241</v>
      </c>
      <c r="L72" s="350">
        <v>1849823.4603618234</v>
      </c>
      <c r="M72" s="350">
        <v>1867688.3363089955</v>
      </c>
      <c r="N72" s="350">
        <v>1884016.9626467268</v>
      </c>
      <c r="O72" s="348">
        <v>13896158.192810964</v>
      </c>
      <c r="P72" s="369"/>
      <c r="Q72" s="350">
        <f t="shared" si="44"/>
        <v>1779551.3106419062</v>
      </c>
      <c r="R72" s="350">
        <f t="shared" si="45"/>
        <v>1801535.7907136132</v>
      </c>
      <c r="S72" s="350">
        <f t="shared" si="46"/>
        <v>1822117.6030424</v>
      </c>
      <c r="T72" s="350">
        <f t="shared" si="47"/>
        <v>1841246.422870276</v>
      </c>
      <c r="U72" s="350">
        <f t="shared" si="48"/>
        <v>1858872.0480629297</v>
      </c>
      <c r="V72" s="350">
        <f t="shared" si="49"/>
        <v>9103323.175331125</v>
      </c>
      <c r="W72" s="365"/>
      <c r="X72" s="377">
        <f t="shared" si="28"/>
        <v>0</v>
      </c>
      <c r="Y72" s="377">
        <f t="shared" si="29"/>
        <v>0</v>
      </c>
      <c r="Z72" s="377">
        <f t="shared" si="30"/>
        <v>0</v>
      </c>
      <c r="AA72" s="377">
        <f t="shared" si="31"/>
        <v>0</v>
      </c>
      <c r="AB72" s="377">
        <f t="shared" si="32"/>
        <v>0</v>
      </c>
      <c r="AC72" s="377">
        <f t="shared" si="33"/>
        <v>0</v>
      </c>
      <c r="AD72" s="376"/>
      <c r="AE72" s="332">
        <v>57</v>
      </c>
      <c r="AF72" s="350">
        <v>5465186.770366542</v>
      </c>
      <c r="AG72" s="350">
        <v>33758.310008477631</v>
      </c>
      <c r="AH72" s="350">
        <v>32322.397269128218</v>
      </c>
      <c r="AI72" s="350">
        <v>30847.846391059335</v>
      </c>
      <c r="AJ72" s="350">
        <v>29334.732692282112</v>
      </c>
      <c r="AK72" s="348">
        <v>5591450.0567274885</v>
      </c>
      <c r="AL72" s="369"/>
      <c r="AM72" s="350">
        <v>7103123.8375977855</v>
      </c>
      <c r="AN72" s="350">
        <v>1691930.3626531335</v>
      </c>
      <c r="AO72" s="350">
        <v>1709438.3899522177</v>
      </c>
      <c r="AP72" s="350">
        <v>1725570.4137545752</v>
      </c>
      <c r="AQ72" s="350">
        <v>1740280.3022606382</v>
      </c>
      <c r="AR72" s="348">
        <v>13970343.306218352</v>
      </c>
      <c r="AS72" s="369"/>
      <c r="AT72" s="350">
        <f t="shared" si="50"/>
        <v>1637937.0672312435</v>
      </c>
      <c r="AU72" s="350">
        <f t="shared" si="34"/>
        <v>1658172.0526446558</v>
      </c>
      <c r="AV72" s="350">
        <f t="shared" si="35"/>
        <v>1677115.9926830896</v>
      </c>
      <c r="AW72" s="350">
        <f t="shared" si="36"/>
        <v>1694722.567363516</v>
      </c>
      <c r="AX72" s="350">
        <f t="shared" si="37"/>
        <v>1710945.569568356</v>
      </c>
      <c r="AY72" s="350">
        <f t="shared" si="38"/>
        <v>8378893.2494908636</v>
      </c>
      <c r="AZ72" s="365"/>
      <c r="BA72" s="377">
        <f t="shared" si="51"/>
        <v>0</v>
      </c>
      <c r="BB72" s="377">
        <f t="shared" si="39"/>
        <v>0</v>
      </c>
      <c r="BC72" s="377">
        <f t="shared" si="40"/>
        <v>0</v>
      </c>
      <c r="BD72" s="377">
        <f t="shared" si="41"/>
        <v>0</v>
      </c>
      <c r="BE72" s="377">
        <f t="shared" si="42"/>
        <v>0</v>
      </c>
      <c r="BF72" s="377">
        <f t="shared" si="43"/>
        <v>0</v>
      </c>
      <c r="BG72" s="328"/>
    </row>
    <row r="73" spans="2:59">
      <c r="B73" s="332">
        <v>58</v>
      </c>
      <c r="C73" s="350">
        <v>4804071.2149631232</v>
      </c>
      <c r="D73" s="350">
        <v>29674.617207392359</v>
      </c>
      <c r="E73" s="350">
        <v>28412.404707041253</v>
      </c>
      <c r="F73" s="350">
        <v>27116.228066428986</v>
      </c>
      <c r="G73" s="350">
        <v>25786.153492459518</v>
      </c>
      <c r="H73" s="348">
        <v>4915060.6184364446</v>
      </c>
      <c r="I73" s="369"/>
      <c r="J73" s="350">
        <v>6760089.1125124507</v>
      </c>
      <c r="K73" s="350">
        <v>2009857.0534420726</v>
      </c>
      <c r="L73" s="350">
        <v>2031217.6184016122</v>
      </c>
      <c r="M73" s="350">
        <v>2050947.1428568703</v>
      </c>
      <c r="N73" s="350">
        <v>2068990.5126596694</v>
      </c>
      <c r="O73" s="348">
        <v>14921101.439872675</v>
      </c>
      <c r="P73" s="369"/>
      <c r="Q73" s="350">
        <f t="shared" si="44"/>
        <v>1956017.8975493275</v>
      </c>
      <c r="R73" s="350">
        <f t="shared" si="45"/>
        <v>1980182.4362346802</v>
      </c>
      <c r="S73" s="350">
        <f t="shared" si="46"/>
        <v>2002805.2136945708</v>
      </c>
      <c r="T73" s="350">
        <f t="shared" si="47"/>
        <v>2023830.9147904413</v>
      </c>
      <c r="U73" s="350">
        <f t="shared" si="48"/>
        <v>2043204.3591672098</v>
      </c>
      <c r="V73" s="350">
        <f t="shared" si="49"/>
        <v>10006040.82143623</v>
      </c>
      <c r="W73" s="365"/>
      <c r="X73" s="377">
        <f t="shared" si="28"/>
        <v>0</v>
      </c>
      <c r="Y73" s="377">
        <f t="shared" si="29"/>
        <v>0</v>
      </c>
      <c r="Z73" s="377">
        <f t="shared" si="30"/>
        <v>0</v>
      </c>
      <c r="AA73" s="377">
        <f t="shared" si="31"/>
        <v>0</v>
      </c>
      <c r="AB73" s="377">
        <f t="shared" si="32"/>
        <v>0</v>
      </c>
      <c r="AC73" s="377">
        <f t="shared" si="33"/>
        <v>0</v>
      </c>
      <c r="AD73" s="376"/>
      <c r="AE73" s="332">
        <v>58</v>
      </c>
      <c r="AF73" s="350">
        <v>5377650.0734914085</v>
      </c>
      <c r="AG73" s="350">
        <v>33217.598213182879</v>
      </c>
      <c r="AH73" s="350">
        <v>31804.684698467339</v>
      </c>
      <c r="AI73" s="350">
        <v>30353.751917761037</v>
      </c>
      <c r="AJ73" s="350">
        <v>28864.873982690933</v>
      </c>
      <c r="AK73" s="348">
        <v>5501890.9823035104</v>
      </c>
      <c r="AL73" s="369"/>
      <c r="AM73" s="350">
        <v>7829025.5598641746</v>
      </c>
      <c r="AN73" s="350">
        <v>2514877.2439727308</v>
      </c>
      <c r="AO73" s="350">
        <v>2541816.2806974901</v>
      </c>
      <c r="AP73" s="350">
        <v>2566715.7654230827</v>
      </c>
      <c r="AQ73" s="350">
        <v>2589506.6175923832</v>
      </c>
      <c r="AR73" s="348">
        <v>18041941.46754986</v>
      </c>
      <c r="AS73" s="369"/>
      <c r="AT73" s="350">
        <f t="shared" si="50"/>
        <v>2451375.4863727661</v>
      </c>
      <c r="AU73" s="350">
        <f t="shared" si="34"/>
        <v>2481659.6457595481</v>
      </c>
      <c r="AV73" s="350">
        <f t="shared" si="35"/>
        <v>2510011.5959990229</v>
      </c>
      <c r="AW73" s="350">
        <f t="shared" si="36"/>
        <v>2536362.0135053219</v>
      </c>
      <c r="AX73" s="350">
        <f t="shared" si="37"/>
        <v>2560641.7436096924</v>
      </c>
      <c r="AY73" s="350">
        <f t="shared" si="38"/>
        <v>12540050.485246349</v>
      </c>
      <c r="AZ73" s="365"/>
      <c r="BA73" s="377">
        <f t="shared" si="51"/>
        <v>0</v>
      </c>
      <c r="BB73" s="377">
        <f t="shared" si="39"/>
        <v>0</v>
      </c>
      <c r="BC73" s="377">
        <f t="shared" si="40"/>
        <v>0</v>
      </c>
      <c r="BD73" s="377">
        <f t="shared" si="41"/>
        <v>0</v>
      </c>
      <c r="BE73" s="377">
        <f t="shared" si="42"/>
        <v>0</v>
      </c>
      <c r="BF73" s="377">
        <f t="shared" si="43"/>
        <v>0</v>
      </c>
      <c r="BG73" s="328"/>
    </row>
    <row r="74" spans="2:59">
      <c r="B74" s="332">
        <v>59</v>
      </c>
      <c r="C74" s="350">
        <v>6149002.4926097291</v>
      </c>
      <c r="D74" s="350">
        <v>37982.221122609408</v>
      </c>
      <c r="E74" s="350">
        <v>36366.643945758449</v>
      </c>
      <c r="F74" s="350">
        <v>34707.594144590257</v>
      </c>
      <c r="G74" s="350">
        <v>33005.156461063765</v>
      </c>
      <c r="H74" s="348">
        <v>6291064.1082837507</v>
      </c>
      <c r="I74" s="369"/>
      <c r="J74" s="350">
        <v>7463850.9597519524</v>
      </c>
      <c r="K74" s="350">
        <v>1369074.2546910103</v>
      </c>
      <c r="L74" s="350">
        <v>1382665.8616114543</v>
      </c>
      <c r="M74" s="350">
        <v>1395140.4303682416</v>
      </c>
      <c r="N74" s="350">
        <v>1406460.9530952391</v>
      </c>
      <c r="O74" s="348">
        <v>13017192.459517896</v>
      </c>
      <c r="P74" s="369"/>
      <c r="Q74" s="350">
        <f t="shared" si="44"/>
        <v>1314848.4671422234</v>
      </c>
      <c r="R74" s="350">
        <f t="shared" si="45"/>
        <v>1331092.0335684009</v>
      </c>
      <c r="S74" s="350">
        <f t="shared" si="46"/>
        <v>1346299.2176656958</v>
      </c>
      <c r="T74" s="350">
        <f t="shared" si="47"/>
        <v>1360432.8362236514</v>
      </c>
      <c r="U74" s="350">
        <f t="shared" si="48"/>
        <v>1373455.7966341753</v>
      </c>
      <c r="V74" s="350">
        <f t="shared" si="49"/>
        <v>6726128.3512341455</v>
      </c>
      <c r="W74" s="365"/>
      <c r="X74" s="377">
        <f t="shared" si="28"/>
        <v>0</v>
      </c>
      <c r="Y74" s="377">
        <f t="shared" si="29"/>
        <v>0</v>
      </c>
      <c r="Z74" s="377">
        <f t="shared" si="30"/>
        <v>0</v>
      </c>
      <c r="AA74" s="377">
        <f t="shared" si="31"/>
        <v>0</v>
      </c>
      <c r="AB74" s="377">
        <f t="shared" si="32"/>
        <v>0</v>
      </c>
      <c r="AC74" s="377">
        <f t="shared" si="33"/>
        <v>0</v>
      </c>
      <c r="AD74" s="376"/>
      <c r="AE74" s="332">
        <v>59</v>
      </c>
      <c r="AF74" s="350">
        <v>6194245.7662726929</v>
      </c>
      <c r="AG74" s="350">
        <v>38261.687593252318</v>
      </c>
      <c r="AH74" s="350">
        <v>36634.223285044121</v>
      </c>
      <c r="AI74" s="350">
        <v>34962.966488634447</v>
      </c>
      <c r="AJ74" s="350">
        <v>33248.002569494209</v>
      </c>
      <c r="AK74" s="348">
        <v>6337352.646209118</v>
      </c>
      <c r="AL74" s="369"/>
      <c r="AM74" s="350">
        <v>8259253.9731586594</v>
      </c>
      <c r="AN74" s="350">
        <v>2128780.8935162872</v>
      </c>
      <c r="AO74" s="350">
        <v>2151036.7593022236</v>
      </c>
      <c r="AP74" s="350">
        <v>2171562.7663309099</v>
      </c>
      <c r="AQ74" s="350">
        <v>2190300.7449353524</v>
      </c>
      <c r="AR74" s="348">
        <v>16900935.137243431</v>
      </c>
      <c r="AS74" s="369"/>
      <c r="AT74" s="350">
        <f t="shared" si="50"/>
        <v>2065008.2068859665</v>
      </c>
      <c r="AU74" s="350">
        <f t="shared" si="34"/>
        <v>2090519.2059230348</v>
      </c>
      <c r="AV74" s="350">
        <f t="shared" si="35"/>
        <v>2114402.5360171795</v>
      </c>
      <c r="AW74" s="350">
        <f t="shared" si="36"/>
        <v>2136599.7998422757</v>
      </c>
      <c r="AX74" s="350">
        <f t="shared" si="37"/>
        <v>2157052.7423658581</v>
      </c>
      <c r="AY74" s="350">
        <f t="shared" si="38"/>
        <v>10563582.491034314</v>
      </c>
      <c r="AZ74" s="365"/>
      <c r="BA74" s="377">
        <f t="shared" si="51"/>
        <v>0</v>
      </c>
      <c r="BB74" s="377">
        <f t="shared" si="39"/>
        <v>0</v>
      </c>
      <c r="BC74" s="377">
        <f t="shared" si="40"/>
        <v>0</v>
      </c>
      <c r="BD74" s="377">
        <f t="shared" si="41"/>
        <v>0</v>
      </c>
      <c r="BE74" s="377">
        <f t="shared" si="42"/>
        <v>0</v>
      </c>
      <c r="BF74" s="377">
        <f t="shared" si="43"/>
        <v>0</v>
      </c>
      <c r="BG74" s="328"/>
    </row>
    <row r="75" spans="2:59">
      <c r="B75" s="332">
        <v>60</v>
      </c>
      <c r="C75" s="350">
        <v>7393821.6521674311</v>
      </c>
      <c r="D75" s="350">
        <v>45671.435207790404</v>
      </c>
      <c r="E75" s="350">
        <v>43728.796621237307</v>
      </c>
      <c r="F75" s="350">
        <v>41733.884705583216</v>
      </c>
      <c r="G75" s="350">
        <v>39686.801358151475</v>
      </c>
      <c r="H75" s="348">
        <v>7564642.5700601935</v>
      </c>
      <c r="I75" s="369"/>
      <c r="J75" s="350">
        <v>9528673.4924067948</v>
      </c>
      <c r="K75" s="350">
        <v>2206897.1189306909</v>
      </c>
      <c r="L75" s="350">
        <v>2229645.6031360514</v>
      </c>
      <c r="M75" s="350">
        <v>2250598.7208540151</v>
      </c>
      <c r="N75" s="350">
        <v>2269696.3486216143</v>
      </c>
      <c r="O75" s="348">
        <v>18485511.283949167</v>
      </c>
      <c r="P75" s="369"/>
      <c r="Q75" s="350">
        <f t="shared" si="44"/>
        <v>2134851.8402393637</v>
      </c>
      <c r="R75" s="350">
        <f t="shared" si="45"/>
        <v>2161225.6837229007</v>
      </c>
      <c r="S75" s="350">
        <f t="shared" si="46"/>
        <v>2185916.806514814</v>
      </c>
      <c r="T75" s="350">
        <f t="shared" si="47"/>
        <v>2208864.836148432</v>
      </c>
      <c r="U75" s="350">
        <f t="shared" si="48"/>
        <v>2230009.547263463</v>
      </c>
      <c r="V75" s="350">
        <f t="shared" si="49"/>
        <v>10920868.713888973</v>
      </c>
      <c r="W75" s="365"/>
      <c r="X75" s="377">
        <f t="shared" si="28"/>
        <v>0</v>
      </c>
      <c r="Y75" s="377">
        <f t="shared" si="29"/>
        <v>0</v>
      </c>
      <c r="Z75" s="377">
        <f t="shared" si="30"/>
        <v>0</v>
      </c>
      <c r="AA75" s="377">
        <f t="shared" si="31"/>
        <v>0</v>
      </c>
      <c r="AB75" s="377">
        <f t="shared" si="32"/>
        <v>0</v>
      </c>
      <c r="AC75" s="377">
        <f t="shared" si="33"/>
        <v>0</v>
      </c>
      <c r="AD75" s="376"/>
      <c r="AE75" s="332">
        <v>60</v>
      </c>
      <c r="AF75" s="350">
        <v>6167171.0018760776</v>
      </c>
      <c r="AG75" s="350">
        <v>38094.447510100821</v>
      </c>
      <c r="AH75" s="350">
        <v>36474.096773808662</v>
      </c>
      <c r="AI75" s="350">
        <v>34810.144964270366</v>
      </c>
      <c r="AJ75" s="350">
        <v>33102.677073832616</v>
      </c>
      <c r="AK75" s="348">
        <v>6309652.3681980902</v>
      </c>
      <c r="AL75" s="369"/>
      <c r="AM75" s="350">
        <v>9444462.7085561268</v>
      </c>
      <c r="AN75" s="350">
        <v>3355873.6376270223</v>
      </c>
      <c r="AO75" s="350">
        <v>3392157.562226993</v>
      </c>
      <c r="AP75" s="350">
        <v>3425721.997598866</v>
      </c>
      <c r="AQ75" s="350">
        <v>3456474.5745093217</v>
      </c>
      <c r="AR75" s="348">
        <v>23074690.480518334</v>
      </c>
      <c r="AS75" s="369"/>
      <c r="AT75" s="350">
        <f t="shared" si="50"/>
        <v>3277291.7066800492</v>
      </c>
      <c r="AU75" s="350">
        <f t="shared" si="34"/>
        <v>3317779.1901169214</v>
      </c>
      <c r="AV75" s="350">
        <f t="shared" si="35"/>
        <v>3355683.4654531842</v>
      </c>
      <c r="AW75" s="350">
        <f t="shared" si="36"/>
        <v>3390911.8526345957</v>
      </c>
      <c r="AX75" s="350">
        <f t="shared" si="37"/>
        <v>3423371.8974354891</v>
      </c>
      <c r="AY75" s="350">
        <f t="shared" si="38"/>
        <v>16765038.112320244</v>
      </c>
      <c r="AZ75" s="365"/>
      <c r="BA75" s="377">
        <f t="shared" si="51"/>
        <v>0</v>
      </c>
      <c r="BB75" s="377">
        <f t="shared" si="39"/>
        <v>0</v>
      </c>
      <c r="BC75" s="377">
        <f t="shared" si="40"/>
        <v>0</v>
      </c>
      <c r="BD75" s="377">
        <f t="shared" si="41"/>
        <v>0</v>
      </c>
      <c r="BE75" s="377">
        <f t="shared" si="42"/>
        <v>0</v>
      </c>
      <c r="BF75" s="377">
        <f t="shared" si="43"/>
        <v>0</v>
      </c>
      <c r="BG75" s="328"/>
    </row>
    <row r="76" spans="2:59">
      <c r="B76" s="332">
        <v>61</v>
      </c>
      <c r="C76" s="350">
        <v>5579125.2808864824</v>
      </c>
      <c r="D76" s="350">
        <v>34462.105088436459</v>
      </c>
      <c r="E76" s="350">
        <v>32996.256362332817</v>
      </c>
      <c r="F76" s="350">
        <v>31490.963967498599</v>
      </c>
      <c r="G76" s="350">
        <v>29946.30479217543</v>
      </c>
      <c r="H76" s="348">
        <v>5708020.9110969249</v>
      </c>
      <c r="I76" s="369"/>
      <c r="J76" s="350">
        <v>8017887.1296369871</v>
      </c>
      <c r="K76" s="350">
        <v>2503352.2850328069</v>
      </c>
      <c r="L76" s="350">
        <v>2530092.5006024726</v>
      </c>
      <c r="M76" s="350">
        <v>2554802.0387263615</v>
      </c>
      <c r="N76" s="350">
        <v>2577412.1774617052</v>
      </c>
      <c r="O76" s="348">
        <v>18183546.131460331</v>
      </c>
      <c r="P76" s="369"/>
      <c r="Q76" s="350">
        <f t="shared" si="44"/>
        <v>2438761.8487505047</v>
      </c>
      <c r="R76" s="350">
        <f t="shared" si="45"/>
        <v>2468890.1799443704</v>
      </c>
      <c r="S76" s="350">
        <f t="shared" si="46"/>
        <v>2497096.2442401396</v>
      </c>
      <c r="T76" s="350">
        <f t="shared" si="47"/>
        <v>2523311.0747588631</v>
      </c>
      <c r="U76" s="350">
        <f t="shared" si="48"/>
        <v>2547465.8726695296</v>
      </c>
      <c r="V76" s="350">
        <f t="shared" si="49"/>
        <v>12475525.220363406</v>
      </c>
      <c r="W76" s="365"/>
      <c r="X76" s="377">
        <f t="shared" si="28"/>
        <v>0</v>
      </c>
      <c r="Y76" s="377">
        <f t="shared" si="29"/>
        <v>0</v>
      </c>
      <c r="Z76" s="377">
        <f t="shared" si="30"/>
        <v>0</v>
      </c>
      <c r="AA76" s="377">
        <f t="shared" si="31"/>
        <v>0</v>
      </c>
      <c r="AB76" s="377">
        <f t="shared" si="32"/>
        <v>0</v>
      </c>
      <c r="AC76" s="377">
        <f t="shared" si="33"/>
        <v>0</v>
      </c>
      <c r="AD76" s="376"/>
      <c r="AE76" s="332">
        <v>61</v>
      </c>
      <c r="AF76" s="350">
        <v>4838585.6541983793</v>
      </c>
      <c r="AG76" s="350">
        <v>29887.811959635455</v>
      </c>
      <c r="AH76" s="350">
        <v>28616.531201406044</v>
      </c>
      <c r="AI76" s="350">
        <v>27311.042290451234</v>
      </c>
      <c r="AJ76" s="350">
        <v>25971.411909331538</v>
      </c>
      <c r="AK76" s="348">
        <v>4950372.4515592037</v>
      </c>
      <c r="AL76" s="369"/>
      <c r="AM76" s="350">
        <v>7064821.6882729605</v>
      </c>
      <c r="AN76" s="350">
        <v>2283626.6448764568</v>
      </c>
      <c r="AO76" s="350">
        <v>2308103.4119429225</v>
      </c>
      <c r="AP76" s="350">
        <v>2330728.2630763776</v>
      </c>
      <c r="AQ76" s="350">
        <v>2351438.4616000643</v>
      </c>
      <c r="AR76" s="348">
        <v>16338718.469768781</v>
      </c>
      <c r="AS76" s="369"/>
      <c r="AT76" s="350">
        <f t="shared" si="50"/>
        <v>2226236.0340745812</v>
      </c>
      <c r="AU76" s="350">
        <f t="shared" si="34"/>
        <v>2253738.8329168214</v>
      </c>
      <c r="AV76" s="350">
        <f t="shared" si="35"/>
        <v>2279486.8807415166</v>
      </c>
      <c r="AW76" s="350">
        <f t="shared" si="36"/>
        <v>2303417.2207859266</v>
      </c>
      <c r="AX76" s="350">
        <f t="shared" si="37"/>
        <v>2325467.0496907327</v>
      </c>
      <c r="AY76" s="350">
        <f t="shared" si="38"/>
        <v>11388346.018209577</v>
      </c>
      <c r="AZ76" s="365"/>
      <c r="BA76" s="377">
        <f t="shared" si="51"/>
        <v>0</v>
      </c>
      <c r="BB76" s="377">
        <f t="shared" si="39"/>
        <v>0</v>
      </c>
      <c r="BC76" s="377">
        <f t="shared" si="40"/>
        <v>0</v>
      </c>
      <c r="BD76" s="377">
        <f t="shared" si="41"/>
        <v>0</v>
      </c>
      <c r="BE76" s="377">
        <f t="shared" si="42"/>
        <v>0</v>
      </c>
      <c r="BF76" s="377">
        <f t="shared" si="43"/>
        <v>0</v>
      </c>
      <c r="BG76" s="328"/>
    </row>
    <row r="77" spans="2:59">
      <c r="B77" s="332">
        <v>62</v>
      </c>
      <c r="C77" s="350">
        <v>4594705.5739682112</v>
      </c>
      <c r="D77" s="350">
        <v>28381.371338439738</v>
      </c>
      <c r="E77" s="350">
        <v>27174.16716693795</v>
      </c>
      <c r="F77" s="350">
        <v>25934.479042224742</v>
      </c>
      <c r="G77" s="350">
        <v>24662.370285847905</v>
      </c>
      <c r="H77" s="348">
        <v>4700857.9618016621</v>
      </c>
      <c r="I77" s="369"/>
      <c r="J77" s="350">
        <v>6531597.6291770162</v>
      </c>
      <c r="K77" s="350">
        <v>1989201.6856169011</v>
      </c>
      <c r="L77" s="350">
        <v>2010396.0545515143</v>
      </c>
      <c r="M77" s="350">
        <v>2029976.4792993912</v>
      </c>
      <c r="N77" s="350">
        <v>2047888.3823776762</v>
      </c>
      <c r="O77" s="348">
        <v>14609060.2310225</v>
      </c>
      <c r="P77" s="369"/>
      <c r="Q77" s="350">
        <f t="shared" si="44"/>
        <v>1936892.055208805</v>
      </c>
      <c r="R77" s="350">
        <f t="shared" si="45"/>
        <v>1960820.3142784615</v>
      </c>
      <c r="S77" s="350">
        <f t="shared" si="46"/>
        <v>1983221.8873845765</v>
      </c>
      <c r="T77" s="350">
        <f t="shared" si="47"/>
        <v>2004042.0002571663</v>
      </c>
      <c r="U77" s="350">
        <f t="shared" si="48"/>
        <v>2023226.0120918283</v>
      </c>
      <c r="V77" s="350">
        <f t="shared" si="49"/>
        <v>9908202.2692208365</v>
      </c>
      <c r="W77" s="365"/>
      <c r="X77" s="377">
        <f t="shared" si="28"/>
        <v>0</v>
      </c>
      <c r="Y77" s="377">
        <f t="shared" si="29"/>
        <v>0</v>
      </c>
      <c r="Z77" s="377">
        <f t="shared" si="30"/>
        <v>0</v>
      </c>
      <c r="AA77" s="377">
        <f t="shared" si="31"/>
        <v>0</v>
      </c>
      <c r="AB77" s="377">
        <f t="shared" si="32"/>
        <v>0</v>
      </c>
      <c r="AC77" s="377">
        <f t="shared" si="33"/>
        <v>0</v>
      </c>
      <c r="AD77" s="376"/>
      <c r="AE77" s="332">
        <v>62</v>
      </c>
      <c r="AF77" s="350">
        <v>4840151.0201922189</v>
      </c>
      <c r="AG77" s="350">
        <v>29897.481182796364</v>
      </c>
      <c r="AH77" s="350">
        <v>28625.789143293376</v>
      </c>
      <c r="AI77" s="350">
        <v>27319.877884137299</v>
      </c>
      <c r="AJ77" s="350">
        <v>25979.814109462957</v>
      </c>
      <c r="AK77" s="348">
        <v>4951973.9825119087</v>
      </c>
      <c r="AL77" s="369"/>
      <c r="AM77" s="350">
        <v>6471597.6301631127</v>
      </c>
      <c r="AN77" s="350">
        <v>1681498.8938112338</v>
      </c>
      <c r="AO77" s="350">
        <v>1699096.0749253477</v>
      </c>
      <c r="AP77" s="350">
        <v>1715326.9708795096</v>
      </c>
      <c r="AQ77" s="350">
        <v>1730145.624359692</v>
      </c>
      <c r="AR77" s="348">
        <v>13297665.194138896</v>
      </c>
      <c r="AS77" s="369"/>
      <c r="AT77" s="350">
        <f t="shared" si="50"/>
        <v>1631446.6099708937</v>
      </c>
      <c r="AU77" s="350">
        <f t="shared" si="34"/>
        <v>1651601.4126284374</v>
      </c>
      <c r="AV77" s="350">
        <f t="shared" si="35"/>
        <v>1670470.2857820543</v>
      </c>
      <c r="AW77" s="350">
        <f t="shared" si="36"/>
        <v>1688007.0929953724</v>
      </c>
      <c r="AX77" s="350">
        <f t="shared" si="37"/>
        <v>1704165.810250229</v>
      </c>
      <c r="AY77" s="350">
        <f t="shared" si="38"/>
        <v>8345691.211626987</v>
      </c>
      <c r="AZ77" s="365"/>
      <c r="BA77" s="377">
        <f t="shared" si="51"/>
        <v>0</v>
      </c>
      <c r="BB77" s="377">
        <f t="shared" si="39"/>
        <v>0</v>
      </c>
      <c r="BC77" s="377">
        <f t="shared" si="40"/>
        <v>0</v>
      </c>
      <c r="BD77" s="377">
        <f t="shared" si="41"/>
        <v>0</v>
      </c>
      <c r="BE77" s="377">
        <f t="shared" si="42"/>
        <v>0</v>
      </c>
      <c r="BF77" s="377">
        <f t="shared" si="43"/>
        <v>0</v>
      </c>
      <c r="BG77" s="328"/>
    </row>
    <row r="78" spans="2:59">
      <c r="B78" s="332">
        <v>63</v>
      </c>
      <c r="C78" s="350">
        <v>3998244.5862138113</v>
      </c>
      <c r="D78" s="350">
        <v>24697.048042893268</v>
      </c>
      <c r="E78" s="350">
        <v>23646.556892707227</v>
      </c>
      <c r="F78" s="350">
        <v>22567.798688632476</v>
      </c>
      <c r="G78" s="350">
        <v>21460.828532137897</v>
      </c>
      <c r="H78" s="348">
        <v>4090616.8183701821</v>
      </c>
      <c r="I78" s="369"/>
      <c r="J78" s="350">
        <v>5994219.5532278484</v>
      </c>
      <c r="K78" s="350">
        <v>2045330.1812045081</v>
      </c>
      <c r="L78" s="350">
        <v>2067364.6002439689</v>
      </c>
      <c r="M78" s="350">
        <v>2087741.0511685333</v>
      </c>
      <c r="N78" s="350">
        <v>2106403.2815133794</v>
      </c>
      <c r="O78" s="348">
        <v>14301058.667358238</v>
      </c>
      <c r="P78" s="369"/>
      <c r="Q78" s="350">
        <f t="shared" si="44"/>
        <v>1995974.9670140371</v>
      </c>
      <c r="R78" s="350">
        <f t="shared" si="45"/>
        <v>2020633.1331616149</v>
      </c>
      <c r="S78" s="350">
        <f t="shared" si="46"/>
        <v>2043718.0433512616</v>
      </c>
      <c r="T78" s="350">
        <f t="shared" si="47"/>
        <v>2065173.2524799008</v>
      </c>
      <c r="U78" s="350">
        <f t="shared" si="48"/>
        <v>2084942.4529812415</v>
      </c>
      <c r="V78" s="350">
        <f t="shared" si="49"/>
        <v>10210441.848988056</v>
      </c>
      <c r="W78" s="365"/>
      <c r="X78" s="377">
        <f t="shared" si="28"/>
        <v>0</v>
      </c>
      <c r="Y78" s="377">
        <f t="shared" si="29"/>
        <v>0</v>
      </c>
      <c r="Z78" s="377">
        <f t="shared" si="30"/>
        <v>0</v>
      </c>
      <c r="AA78" s="377">
        <f t="shared" si="31"/>
        <v>0</v>
      </c>
      <c r="AB78" s="377">
        <f t="shared" si="32"/>
        <v>0</v>
      </c>
      <c r="AC78" s="377">
        <f t="shared" si="33"/>
        <v>0</v>
      </c>
      <c r="AD78" s="376"/>
      <c r="AE78" s="332">
        <v>63</v>
      </c>
      <c r="AF78" s="350">
        <v>7825192.469407348</v>
      </c>
      <c r="AG78" s="350">
        <v>48336.001011096319</v>
      </c>
      <c r="AH78" s="350">
        <v>46280.024879479606</v>
      </c>
      <c r="AI78" s="350">
        <v>44168.725684843863</v>
      </c>
      <c r="AJ78" s="350">
        <v>42002.211269410174</v>
      </c>
      <c r="AK78" s="348">
        <v>8005979.432252178</v>
      </c>
      <c r="AL78" s="369"/>
      <c r="AM78" s="350">
        <v>9637735.1398395672</v>
      </c>
      <c r="AN78" s="350">
        <v>1883270.7249789152</v>
      </c>
      <c r="AO78" s="350">
        <v>1902178.1303792957</v>
      </c>
      <c r="AP78" s="350">
        <v>1919550.2829770844</v>
      </c>
      <c r="AQ78" s="350">
        <v>1935336.1577755387</v>
      </c>
      <c r="AR78" s="348">
        <v>17278070.435950398</v>
      </c>
      <c r="AS78" s="369"/>
      <c r="AT78" s="350">
        <f t="shared" si="50"/>
        <v>1812542.6704322193</v>
      </c>
      <c r="AU78" s="350">
        <f t="shared" si="34"/>
        <v>1834934.7239678188</v>
      </c>
      <c r="AV78" s="350">
        <f t="shared" si="35"/>
        <v>1855898.1054998161</v>
      </c>
      <c r="AW78" s="350">
        <f t="shared" si="36"/>
        <v>1875381.5572922404</v>
      </c>
      <c r="AX78" s="350">
        <f t="shared" si="37"/>
        <v>1893333.9465061286</v>
      </c>
      <c r="AY78" s="350">
        <f t="shared" si="38"/>
        <v>9272091.0036982205</v>
      </c>
      <c r="AZ78" s="365"/>
      <c r="BA78" s="377">
        <f t="shared" si="51"/>
        <v>0</v>
      </c>
      <c r="BB78" s="377">
        <f t="shared" si="39"/>
        <v>0</v>
      </c>
      <c r="BC78" s="377">
        <f t="shared" si="40"/>
        <v>0</v>
      </c>
      <c r="BD78" s="377">
        <f t="shared" si="41"/>
        <v>0</v>
      </c>
      <c r="BE78" s="377">
        <f t="shared" si="42"/>
        <v>0</v>
      </c>
      <c r="BF78" s="377">
        <f t="shared" si="43"/>
        <v>0</v>
      </c>
      <c r="BG78" s="328"/>
    </row>
    <row r="79" spans="2:59">
      <c r="B79" s="332">
        <v>64</v>
      </c>
      <c r="C79" s="350">
        <v>4833342.6869281968</v>
      </c>
      <c r="D79" s="350">
        <v>29855.426293434208</v>
      </c>
      <c r="E79" s="350">
        <v>28585.523062416036</v>
      </c>
      <c r="F79" s="350">
        <v>27281.448745751692</v>
      </c>
      <c r="G79" s="350">
        <v>25943.269953741597</v>
      </c>
      <c r="H79" s="348">
        <v>4945008.3549835412</v>
      </c>
      <c r="I79" s="369"/>
      <c r="J79" s="350">
        <v>7184874.6652119095</v>
      </c>
      <c r="K79" s="350">
        <v>2410438.1026971759</v>
      </c>
      <c r="L79" s="350">
        <v>2436365.3865170428</v>
      </c>
      <c r="M79" s="350">
        <v>2460338.4881171859</v>
      </c>
      <c r="N79" s="350">
        <v>2482291.1360801612</v>
      </c>
      <c r="O79" s="348">
        <v>16974307.778623477</v>
      </c>
      <c r="P79" s="369"/>
      <c r="Q79" s="350">
        <f t="shared" si="44"/>
        <v>2351531.9782837126</v>
      </c>
      <c r="R79" s="350">
        <f t="shared" si="45"/>
        <v>2380582.6764037418</v>
      </c>
      <c r="S79" s="350">
        <f t="shared" si="46"/>
        <v>2407779.8634546269</v>
      </c>
      <c r="T79" s="350">
        <f t="shared" si="47"/>
        <v>2433057.0393714341</v>
      </c>
      <c r="U79" s="350">
        <f t="shared" si="48"/>
        <v>2456347.8661264195</v>
      </c>
      <c r="V79" s="350">
        <f t="shared" si="49"/>
        <v>12029299.423639935</v>
      </c>
      <c r="W79" s="365"/>
      <c r="X79" s="377">
        <f t="shared" si="28"/>
        <v>0</v>
      </c>
      <c r="Y79" s="377">
        <f t="shared" si="29"/>
        <v>0</v>
      </c>
      <c r="Z79" s="377">
        <f t="shared" si="30"/>
        <v>0</v>
      </c>
      <c r="AA79" s="377">
        <f t="shared" si="31"/>
        <v>0</v>
      </c>
      <c r="AB79" s="377">
        <f t="shared" si="32"/>
        <v>0</v>
      </c>
      <c r="AC79" s="377">
        <f t="shared" si="33"/>
        <v>0</v>
      </c>
      <c r="AD79" s="376"/>
      <c r="AE79" s="332">
        <v>64</v>
      </c>
      <c r="AF79" s="350">
        <v>8281165.8502198076</v>
      </c>
      <c r="AG79" s="350">
        <v>51152.536180312723</v>
      </c>
      <c r="AH79" s="350">
        <v>48976.758473046924</v>
      </c>
      <c r="AI79" s="350">
        <v>46742.434032009602</v>
      </c>
      <c r="AJ79" s="350">
        <v>44449.676983384597</v>
      </c>
      <c r="AK79" s="348">
        <v>8472487.2558885608</v>
      </c>
      <c r="AL79" s="369"/>
      <c r="AM79" s="350">
        <v>10630651.582276395</v>
      </c>
      <c r="AN79" s="350">
        <v>2429663.6871423693</v>
      </c>
      <c r="AO79" s="350">
        <v>2454661.4301519096</v>
      </c>
      <c r="AP79" s="350">
        <v>2477682.2860408332</v>
      </c>
      <c r="AQ79" s="350">
        <v>2498660.0886333245</v>
      </c>
      <c r="AR79" s="348">
        <v>20491319.074244831</v>
      </c>
      <c r="AS79" s="369"/>
      <c r="AT79" s="350">
        <f t="shared" si="50"/>
        <v>2349485.732056587</v>
      </c>
      <c r="AU79" s="350">
        <f t="shared" si="34"/>
        <v>2378511.1509620566</v>
      </c>
      <c r="AV79" s="350">
        <f t="shared" si="35"/>
        <v>2405684.6716788625</v>
      </c>
      <c r="AW79" s="350">
        <f t="shared" si="36"/>
        <v>2430939.8520088238</v>
      </c>
      <c r="AX79" s="350">
        <f t="shared" si="37"/>
        <v>2454210.4116499401</v>
      </c>
      <c r="AY79" s="350">
        <f t="shared" si="38"/>
        <v>12018831.81835627</v>
      </c>
      <c r="AZ79" s="365"/>
      <c r="BA79" s="377">
        <f t="shared" si="51"/>
        <v>0</v>
      </c>
      <c r="BB79" s="377">
        <f t="shared" si="39"/>
        <v>0</v>
      </c>
      <c r="BC79" s="377">
        <f t="shared" si="40"/>
        <v>0</v>
      </c>
      <c r="BD79" s="377">
        <f t="shared" si="41"/>
        <v>0</v>
      </c>
      <c r="BE79" s="377">
        <f t="shared" si="42"/>
        <v>0</v>
      </c>
      <c r="BF79" s="377">
        <f t="shared" si="43"/>
        <v>0</v>
      </c>
      <c r="BG79" s="328"/>
    </row>
    <row r="80" spans="2:59">
      <c r="B80" s="332">
        <v>65</v>
      </c>
      <c r="C80" s="350">
        <v>5680323.6123111323</v>
      </c>
      <c r="D80" s="350">
        <v>35087.204428700607</v>
      </c>
      <c r="E80" s="350">
        <v>33594.767046180932</v>
      </c>
      <c r="F80" s="350">
        <v>32062.170536274029</v>
      </c>
      <c r="G80" s="350">
        <v>30489.493181881851</v>
      </c>
      <c r="H80" s="348">
        <v>5811557.2475041691</v>
      </c>
      <c r="I80" s="369"/>
      <c r="J80" s="350">
        <v>8124558.3468896225</v>
      </c>
      <c r="K80" s="350">
        <v>2509517.8819348132</v>
      </c>
      <c r="L80" s="350">
        <v>2536294.8067750959</v>
      </c>
      <c r="M80" s="350">
        <v>2561035.8701339355</v>
      </c>
      <c r="N80" s="350">
        <v>2583672.1970700677</v>
      </c>
      <c r="O80" s="348">
        <v>18315079.102803536</v>
      </c>
      <c r="P80" s="369"/>
      <c r="Q80" s="350">
        <f t="shared" si="44"/>
        <v>2444234.7345784903</v>
      </c>
      <c r="R80" s="350">
        <f t="shared" si="45"/>
        <v>2474430.6775061125</v>
      </c>
      <c r="S80" s="350">
        <f t="shared" si="46"/>
        <v>2502700.0397289149</v>
      </c>
      <c r="T80" s="350">
        <f t="shared" si="47"/>
        <v>2528973.6995976614</v>
      </c>
      <c r="U80" s="350">
        <f t="shared" si="48"/>
        <v>2553182.7038881858</v>
      </c>
      <c r="V80" s="350">
        <f t="shared" si="49"/>
        <v>12503521.855299367</v>
      </c>
      <c r="W80" s="365"/>
      <c r="X80" s="377">
        <f t="shared" ref="X80:X143" si="52">IF(Q80&lt;Q$8,1,0)</f>
        <v>0</v>
      </c>
      <c r="Y80" s="377">
        <f t="shared" ref="Y80:Y143" si="53">IF(R80&lt;R$8,1,0)</f>
        <v>0</v>
      </c>
      <c r="Z80" s="377">
        <f t="shared" ref="Z80:Z143" si="54">IF(S80&lt;S$8,1,0)</f>
        <v>0</v>
      </c>
      <c r="AA80" s="377">
        <f t="shared" ref="AA80:AA143" si="55">IF(T80&lt;T$8,1,0)</f>
        <v>0</v>
      </c>
      <c r="AB80" s="377">
        <f t="shared" ref="AB80:AB143" si="56">IF(U80&lt;U$8,1,0)</f>
        <v>0</v>
      </c>
      <c r="AC80" s="377">
        <f t="shared" ref="AC80:AC143" si="57">IF(V80&lt;V$8,1,0)</f>
        <v>0</v>
      </c>
      <c r="AD80" s="376"/>
      <c r="AE80" s="332">
        <v>65</v>
      </c>
      <c r="AF80" s="350">
        <v>4592027.4215660747</v>
      </c>
      <c r="AG80" s="350">
        <v>28364.828463907088</v>
      </c>
      <c r="AH80" s="350">
        <v>27158.32794505432</v>
      </c>
      <c r="AI80" s="350">
        <v>25919.362407170294</v>
      </c>
      <c r="AJ80" s="350">
        <v>24647.995134892721</v>
      </c>
      <c r="AK80" s="348">
        <v>4698117.9355170997</v>
      </c>
      <c r="AL80" s="369"/>
      <c r="AM80" s="350">
        <v>5595444.2018086333</v>
      </c>
      <c r="AN80" s="350">
        <v>1044177.7650167336</v>
      </c>
      <c r="AO80" s="350">
        <v>1054576.5133800043</v>
      </c>
      <c r="AP80" s="350">
        <v>1064123.5132069539</v>
      </c>
      <c r="AQ80" s="350">
        <v>1072790.5208355919</v>
      </c>
      <c r="AR80" s="348">
        <v>9831112.5142479166</v>
      </c>
      <c r="AS80" s="369"/>
      <c r="AT80" s="350">
        <f t="shared" si="50"/>
        <v>1003416.7802425586</v>
      </c>
      <c r="AU80" s="350">
        <f t="shared" ref="AU80:AU143" si="58">AN80-AG80</f>
        <v>1015812.9365528264</v>
      </c>
      <c r="AV80" s="350">
        <f t="shared" ref="AV80:AV143" si="59">AO80-AH80</f>
        <v>1027418.18543495</v>
      </c>
      <c r="AW80" s="350">
        <f t="shared" ref="AW80:AW143" si="60">AP80-AI80</f>
        <v>1038204.1507997836</v>
      </c>
      <c r="AX80" s="350">
        <f t="shared" ref="AX80:AX143" si="61">AQ80-AJ80</f>
        <v>1048142.5257006992</v>
      </c>
      <c r="AY80" s="350">
        <f t="shared" ref="AY80:AY143" si="62">AR80-AK80</f>
        <v>5132994.578730817</v>
      </c>
      <c r="AZ80" s="365"/>
      <c r="BA80" s="377">
        <f t="shared" ref="BA80:BA143" si="63">IF(AT80&lt;AT$8,1,0)</f>
        <v>0</v>
      </c>
      <c r="BB80" s="377">
        <f t="shared" ref="BB80:BB143" si="64">IF(AU80&lt;AU$8,1,0)</f>
        <v>0</v>
      </c>
      <c r="BC80" s="377">
        <f t="shared" ref="BC80:BC143" si="65">IF(AV80&lt;AV$8,1,0)</f>
        <v>0</v>
      </c>
      <c r="BD80" s="377">
        <f t="shared" ref="BD80:BD143" si="66">IF(AW80&lt;AW$8,1,0)</f>
        <v>0</v>
      </c>
      <c r="BE80" s="377">
        <f t="shared" ref="BE80:BE143" si="67">IF(AX80&lt;AX$8,1,0)</f>
        <v>0</v>
      </c>
      <c r="BF80" s="377">
        <f t="shared" ref="BF80:BF143" si="68">IF(AY80&lt;AY$8,1,0)</f>
        <v>0</v>
      </c>
      <c r="BG80" s="328"/>
    </row>
    <row r="81" spans="2:59">
      <c r="B81" s="332">
        <v>66</v>
      </c>
      <c r="C81" s="350">
        <v>4695151.6181755085</v>
      </c>
      <c r="D81" s="350">
        <v>29001.823821026839</v>
      </c>
      <c r="E81" s="350">
        <v>27768.228647614982</v>
      </c>
      <c r="F81" s="350">
        <v>26501.439380909243</v>
      </c>
      <c r="G81" s="350">
        <v>25201.52072674207</v>
      </c>
      <c r="H81" s="348">
        <v>4803624.6307518017</v>
      </c>
      <c r="I81" s="369"/>
      <c r="J81" s="350">
        <v>6496145.4336599708</v>
      </c>
      <c r="K81" s="350">
        <v>1852245.0189153992</v>
      </c>
      <c r="L81" s="350">
        <v>1871841.2343206084</v>
      </c>
      <c r="M81" s="350">
        <v>1889933.7554606909</v>
      </c>
      <c r="N81" s="350">
        <v>1906471.8400021493</v>
      </c>
      <c r="O81" s="348">
        <v>14016637.282358818</v>
      </c>
      <c r="P81" s="369"/>
      <c r="Q81" s="350">
        <f t="shared" ref="Q81:Q144" si="69">J81-C81</f>
        <v>1800993.8154844623</v>
      </c>
      <c r="R81" s="350">
        <f t="shared" ref="R81:R144" si="70">K81-D81</f>
        <v>1823243.1950943724</v>
      </c>
      <c r="S81" s="350">
        <f t="shared" ref="S81:S144" si="71">L81-E81</f>
        <v>1844073.0056729934</v>
      </c>
      <c r="T81" s="350">
        <f t="shared" ref="T81:T144" si="72">M81-F81</f>
        <v>1863432.3160797816</v>
      </c>
      <c r="U81" s="350">
        <f t="shared" ref="U81:U144" si="73">N81-G81</f>
        <v>1881270.3192754074</v>
      </c>
      <c r="V81" s="350">
        <f t="shared" ref="V81:V144" si="74">O81-H81</f>
        <v>9213012.6516070161</v>
      </c>
      <c r="W81" s="365"/>
      <c r="X81" s="377">
        <f t="shared" si="52"/>
        <v>0</v>
      </c>
      <c r="Y81" s="377">
        <f t="shared" si="53"/>
        <v>0</v>
      </c>
      <c r="Z81" s="377">
        <f t="shared" si="54"/>
        <v>0</v>
      </c>
      <c r="AA81" s="377">
        <f t="shared" si="55"/>
        <v>0</v>
      </c>
      <c r="AB81" s="377">
        <f t="shared" si="56"/>
        <v>0</v>
      </c>
      <c r="AC81" s="377">
        <f t="shared" si="57"/>
        <v>0</v>
      </c>
      <c r="AD81" s="376"/>
      <c r="AE81" s="332">
        <v>66</v>
      </c>
      <c r="AF81" s="350">
        <v>5813524.1284241555</v>
      </c>
      <c r="AG81" s="350">
        <v>35909.980393212885</v>
      </c>
      <c r="AH81" s="350">
        <v>34382.546161361199</v>
      </c>
      <c r="AI81" s="350">
        <v>32814.01109230845</v>
      </c>
      <c r="AJ81" s="350">
        <v>31204.455304648836</v>
      </c>
      <c r="AK81" s="348">
        <v>5947835.1213756874</v>
      </c>
      <c r="AL81" s="369"/>
      <c r="AM81" s="350">
        <v>7439885.2274283189</v>
      </c>
      <c r="AN81" s="350">
        <v>1682363.0559291225</v>
      </c>
      <c r="AO81" s="350">
        <v>1699645.6771974249</v>
      </c>
      <c r="AP81" s="350">
        <v>1715559.2839760797</v>
      </c>
      <c r="AQ81" s="350">
        <v>1730058.0758306244</v>
      </c>
      <c r="AR81" s="348">
        <v>14267511.32036157</v>
      </c>
      <c r="AS81" s="369"/>
      <c r="AT81" s="350">
        <f t="shared" ref="AT81:AT144" si="75">AM81-AF81</f>
        <v>1626361.0990041634</v>
      </c>
      <c r="AU81" s="350">
        <f t="shared" si="58"/>
        <v>1646453.0755359095</v>
      </c>
      <c r="AV81" s="350">
        <f t="shared" si="59"/>
        <v>1665263.1310360637</v>
      </c>
      <c r="AW81" s="350">
        <f t="shared" si="60"/>
        <v>1682745.2728837712</v>
      </c>
      <c r="AX81" s="350">
        <f t="shared" si="61"/>
        <v>1698853.6205259757</v>
      </c>
      <c r="AY81" s="350">
        <f t="shared" si="62"/>
        <v>8319676.1989858821</v>
      </c>
      <c r="AZ81" s="365"/>
      <c r="BA81" s="377">
        <f t="shared" si="63"/>
        <v>0</v>
      </c>
      <c r="BB81" s="377">
        <f t="shared" si="64"/>
        <v>0</v>
      </c>
      <c r="BC81" s="377">
        <f t="shared" si="65"/>
        <v>0</v>
      </c>
      <c r="BD81" s="377">
        <f t="shared" si="66"/>
        <v>0</v>
      </c>
      <c r="BE81" s="377">
        <f t="shared" si="67"/>
        <v>0</v>
      </c>
      <c r="BF81" s="377">
        <f t="shared" si="68"/>
        <v>0</v>
      </c>
      <c r="BG81" s="328"/>
    </row>
    <row r="82" spans="2:59">
      <c r="B82" s="332">
        <v>67</v>
      </c>
      <c r="C82" s="350">
        <v>5929902.8485812284</v>
      </c>
      <c r="D82" s="350">
        <v>36628.848581717706</v>
      </c>
      <c r="E82" s="350">
        <v>35070.837227091644</v>
      </c>
      <c r="F82" s="350">
        <v>33470.902253294487</v>
      </c>
      <c r="G82" s="350">
        <v>31829.125382785078</v>
      </c>
      <c r="H82" s="348">
        <v>6066902.5620261161</v>
      </c>
      <c r="I82" s="369"/>
      <c r="J82" s="350">
        <v>7822608.3667902853</v>
      </c>
      <c r="K82" s="350">
        <v>1952716.7477863906</v>
      </c>
      <c r="L82" s="350">
        <v>1973049.259922985</v>
      </c>
      <c r="M82" s="350">
        <v>1991794.466237633</v>
      </c>
      <c r="N82" s="350">
        <v>2008899.0541752209</v>
      </c>
      <c r="O82" s="348">
        <v>15749067.894912513</v>
      </c>
      <c r="P82" s="369"/>
      <c r="Q82" s="350">
        <f t="shared" si="69"/>
        <v>1892705.5182090569</v>
      </c>
      <c r="R82" s="350">
        <f t="shared" si="70"/>
        <v>1916087.8992046728</v>
      </c>
      <c r="S82" s="350">
        <f t="shared" si="71"/>
        <v>1937978.4226958933</v>
      </c>
      <c r="T82" s="350">
        <f t="shared" si="72"/>
        <v>1958323.5639843384</v>
      </c>
      <c r="U82" s="350">
        <f t="shared" si="73"/>
        <v>1977069.9287924359</v>
      </c>
      <c r="V82" s="350">
        <f t="shared" si="74"/>
        <v>9682165.3328863978</v>
      </c>
      <c r="W82" s="365"/>
      <c r="X82" s="377">
        <f t="shared" si="52"/>
        <v>0</v>
      </c>
      <c r="Y82" s="377">
        <f t="shared" si="53"/>
        <v>0</v>
      </c>
      <c r="Z82" s="377">
        <f t="shared" si="54"/>
        <v>0</v>
      </c>
      <c r="AA82" s="377">
        <f t="shared" si="55"/>
        <v>0</v>
      </c>
      <c r="AB82" s="377">
        <f t="shared" si="56"/>
        <v>0</v>
      </c>
      <c r="AC82" s="377">
        <f t="shared" si="57"/>
        <v>0</v>
      </c>
      <c r="AD82" s="376"/>
      <c r="AE82" s="332">
        <v>67</v>
      </c>
      <c r="AF82" s="350">
        <v>6742817.7494177045</v>
      </c>
      <c r="AG82" s="350">
        <v>41650.201810072962</v>
      </c>
      <c r="AH82" s="350">
        <v>39878.606746204394</v>
      </c>
      <c r="AI82" s="350">
        <v>38059.340863659265</v>
      </c>
      <c r="AJ82" s="350">
        <v>36192.49708801401</v>
      </c>
      <c r="AK82" s="348">
        <v>6898598.395925655</v>
      </c>
      <c r="AL82" s="369"/>
      <c r="AM82" s="350">
        <v>9685463.614510674</v>
      </c>
      <c r="AN82" s="350">
        <v>3020649.3538200068</v>
      </c>
      <c r="AO82" s="350">
        <v>3052911.6102012964</v>
      </c>
      <c r="AP82" s="350">
        <v>3082723.5438430314</v>
      </c>
      <c r="AQ82" s="350">
        <v>3110002.2339908411</v>
      </c>
      <c r="AR82" s="348">
        <v>21951750.356365848</v>
      </c>
      <c r="AS82" s="369"/>
      <c r="AT82" s="350">
        <f t="shared" si="75"/>
        <v>2942645.8650929695</v>
      </c>
      <c r="AU82" s="350">
        <f t="shared" si="58"/>
        <v>2978999.1520099337</v>
      </c>
      <c r="AV82" s="350">
        <f t="shared" si="59"/>
        <v>3013033.0034550922</v>
      </c>
      <c r="AW82" s="350">
        <f t="shared" si="60"/>
        <v>3044664.2029793723</v>
      </c>
      <c r="AX82" s="350">
        <f t="shared" si="61"/>
        <v>3073809.7369028269</v>
      </c>
      <c r="AY82" s="350">
        <f t="shared" si="62"/>
        <v>15053151.960440192</v>
      </c>
      <c r="AZ82" s="365"/>
      <c r="BA82" s="377">
        <f t="shared" si="63"/>
        <v>0</v>
      </c>
      <c r="BB82" s="377">
        <f t="shared" si="64"/>
        <v>0</v>
      </c>
      <c r="BC82" s="377">
        <f t="shared" si="65"/>
        <v>0</v>
      </c>
      <c r="BD82" s="377">
        <f t="shared" si="66"/>
        <v>0</v>
      </c>
      <c r="BE82" s="377">
        <f t="shared" si="67"/>
        <v>0</v>
      </c>
      <c r="BF82" s="377">
        <f t="shared" si="68"/>
        <v>0</v>
      </c>
      <c r="BG82" s="328"/>
    </row>
    <row r="83" spans="2:59">
      <c r="B83" s="332">
        <v>68</v>
      </c>
      <c r="C83" s="350">
        <v>5512284.7736880537</v>
      </c>
      <c r="D83" s="350">
        <v>34049.233093765462</v>
      </c>
      <c r="E83" s="350">
        <v>32600.945914929889</v>
      </c>
      <c r="F83" s="350">
        <v>31113.687620798948</v>
      </c>
      <c r="G83" s="350">
        <v>29587.534178457274</v>
      </c>
      <c r="H83" s="348">
        <v>5639636.1744960053</v>
      </c>
      <c r="I83" s="369"/>
      <c r="J83" s="350">
        <v>7392392.3531317189</v>
      </c>
      <c r="K83" s="350">
        <v>1937383.5592829541</v>
      </c>
      <c r="L83" s="350">
        <v>1957680.0912203938</v>
      </c>
      <c r="M83" s="350">
        <v>1976402.555977874</v>
      </c>
      <c r="N83" s="350">
        <v>1993497.9906397744</v>
      </c>
      <c r="O83" s="348">
        <v>15257356.550252715</v>
      </c>
      <c r="P83" s="369"/>
      <c r="Q83" s="350">
        <f t="shared" si="69"/>
        <v>1880107.5794436652</v>
      </c>
      <c r="R83" s="350">
        <f t="shared" si="70"/>
        <v>1903334.3261891885</v>
      </c>
      <c r="S83" s="350">
        <f t="shared" si="71"/>
        <v>1925079.1453054638</v>
      </c>
      <c r="T83" s="350">
        <f t="shared" si="72"/>
        <v>1945288.8683570749</v>
      </c>
      <c r="U83" s="350">
        <f t="shared" si="73"/>
        <v>1963910.4564613171</v>
      </c>
      <c r="V83" s="350">
        <f t="shared" si="74"/>
        <v>9617720.3757567108</v>
      </c>
      <c r="W83" s="365"/>
      <c r="X83" s="377">
        <f t="shared" si="52"/>
        <v>0</v>
      </c>
      <c r="Y83" s="377">
        <f t="shared" si="53"/>
        <v>0</v>
      </c>
      <c r="Z83" s="377">
        <f t="shared" si="54"/>
        <v>0</v>
      </c>
      <c r="AA83" s="377">
        <f t="shared" si="55"/>
        <v>0</v>
      </c>
      <c r="AB83" s="377">
        <f t="shared" si="56"/>
        <v>0</v>
      </c>
      <c r="AC83" s="377">
        <f t="shared" si="57"/>
        <v>0</v>
      </c>
      <c r="AD83" s="376"/>
      <c r="AE83" s="332">
        <v>68</v>
      </c>
      <c r="AF83" s="350">
        <v>6639215.7552686417</v>
      </c>
      <c r="AG83" s="350">
        <v>41010.255110548671</v>
      </c>
      <c r="AH83" s="350">
        <v>39265.880236854166</v>
      </c>
      <c r="AI83" s="350">
        <v>37474.566996707988</v>
      </c>
      <c r="AJ83" s="350">
        <v>35636.406887907491</v>
      </c>
      <c r="AK83" s="348">
        <v>6792602.8645006595</v>
      </c>
      <c r="AL83" s="369"/>
      <c r="AM83" s="350">
        <v>9247339.1193585843</v>
      </c>
      <c r="AN83" s="350">
        <v>2681354.2333404161</v>
      </c>
      <c r="AO83" s="350">
        <v>2709774.7125448314</v>
      </c>
      <c r="AP83" s="350">
        <v>2736018.7369890772</v>
      </c>
      <c r="AQ83" s="350">
        <v>2760012.8215572038</v>
      </c>
      <c r="AR83" s="348">
        <v>20134499.623790115</v>
      </c>
      <c r="AS83" s="369"/>
      <c r="AT83" s="350">
        <f t="shared" si="75"/>
        <v>2608123.3640899425</v>
      </c>
      <c r="AU83" s="350">
        <f t="shared" si="58"/>
        <v>2640343.9782298673</v>
      </c>
      <c r="AV83" s="350">
        <f t="shared" si="59"/>
        <v>2670508.8323079771</v>
      </c>
      <c r="AW83" s="350">
        <f t="shared" si="60"/>
        <v>2698544.1699923691</v>
      </c>
      <c r="AX83" s="350">
        <f t="shared" si="61"/>
        <v>2724376.4146692962</v>
      </c>
      <c r="AY83" s="350">
        <f t="shared" si="62"/>
        <v>13341896.759289455</v>
      </c>
      <c r="AZ83" s="365"/>
      <c r="BA83" s="377">
        <f t="shared" si="63"/>
        <v>0</v>
      </c>
      <c r="BB83" s="377">
        <f t="shared" si="64"/>
        <v>0</v>
      </c>
      <c r="BC83" s="377">
        <f t="shared" si="65"/>
        <v>0</v>
      </c>
      <c r="BD83" s="377">
        <f t="shared" si="66"/>
        <v>0</v>
      </c>
      <c r="BE83" s="377">
        <f t="shared" si="67"/>
        <v>0</v>
      </c>
      <c r="BF83" s="377">
        <f t="shared" si="68"/>
        <v>0</v>
      </c>
      <c r="BG83" s="328"/>
    </row>
    <row r="84" spans="2:59">
      <c r="B84" s="332">
        <v>69</v>
      </c>
      <c r="C84" s="350">
        <v>4500610.1435363842</v>
      </c>
      <c r="D84" s="350">
        <v>27800.146424384675</v>
      </c>
      <c r="E84" s="350">
        <v>26617.664706652748</v>
      </c>
      <c r="F84" s="350">
        <v>25403.364277803328</v>
      </c>
      <c r="G84" s="350">
        <v>24157.307162616664</v>
      </c>
      <c r="H84" s="348">
        <v>4604588.6261078417</v>
      </c>
      <c r="I84" s="369"/>
      <c r="J84" s="350">
        <v>6419966.7911545523</v>
      </c>
      <c r="K84" s="350">
        <v>1970868.4216408818</v>
      </c>
      <c r="L84" s="350">
        <v>1991884.7032164871</v>
      </c>
      <c r="M84" s="350">
        <v>2011302.0233979346</v>
      </c>
      <c r="N84" s="350">
        <v>2029066.2980892218</v>
      </c>
      <c r="O84" s="348">
        <v>14423088.237499077</v>
      </c>
      <c r="P84" s="369"/>
      <c r="Q84" s="350">
        <f t="shared" si="69"/>
        <v>1919356.647618168</v>
      </c>
      <c r="R84" s="350">
        <f t="shared" si="70"/>
        <v>1943068.275216497</v>
      </c>
      <c r="S84" s="350">
        <f t="shared" si="71"/>
        <v>1965267.0385098343</v>
      </c>
      <c r="T84" s="350">
        <f t="shared" si="72"/>
        <v>1985898.6591201313</v>
      </c>
      <c r="U84" s="350">
        <f t="shared" si="73"/>
        <v>2004908.9909266052</v>
      </c>
      <c r="V84" s="350">
        <f t="shared" si="74"/>
        <v>9818499.6113912351</v>
      </c>
      <c r="W84" s="365"/>
      <c r="X84" s="377">
        <f t="shared" si="52"/>
        <v>0</v>
      </c>
      <c r="Y84" s="377">
        <f t="shared" si="53"/>
        <v>0</v>
      </c>
      <c r="Z84" s="377">
        <f t="shared" si="54"/>
        <v>0</v>
      </c>
      <c r="AA84" s="377">
        <f t="shared" si="55"/>
        <v>0</v>
      </c>
      <c r="AB84" s="377">
        <f t="shared" si="56"/>
        <v>0</v>
      </c>
      <c r="AC84" s="377">
        <f t="shared" si="57"/>
        <v>0</v>
      </c>
      <c r="AD84" s="376"/>
      <c r="AE84" s="332">
        <v>69</v>
      </c>
      <c r="AF84" s="350">
        <v>5238533.4258188615</v>
      </c>
      <c r="AG84" s="350">
        <v>32358.278464965369</v>
      </c>
      <c r="AH84" s="350">
        <v>30981.91619269532</v>
      </c>
      <c r="AI84" s="350">
        <v>29568.518190505147</v>
      </c>
      <c r="AJ84" s="350">
        <v>28118.156652802736</v>
      </c>
      <c r="AK84" s="348">
        <v>5359560.2953198301</v>
      </c>
      <c r="AL84" s="369"/>
      <c r="AM84" s="350">
        <v>7369331.4627124667</v>
      </c>
      <c r="AN84" s="350">
        <v>2189480.0783761274</v>
      </c>
      <c r="AO84" s="350">
        <v>2212747.9536954532</v>
      </c>
      <c r="AP84" s="350">
        <v>2234239.0100316005</v>
      </c>
      <c r="AQ84" s="350">
        <v>2253893.2085787579</v>
      </c>
      <c r="AR84" s="348">
        <v>16259691.713394407</v>
      </c>
      <c r="AS84" s="369"/>
      <c r="AT84" s="350">
        <f t="shared" si="75"/>
        <v>2130798.0368936053</v>
      </c>
      <c r="AU84" s="350">
        <f t="shared" si="58"/>
        <v>2157121.7999111619</v>
      </c>
      <c r="AV84" s="350">
        <f t="shared" si="59"/>
        <v>2181766.0375027577</v>
      </c>
      <c r="AW84" s="350">
        <f t="shared" si="60"/>
        <v>2204670.4918410955</v>
      </c>
      <c r="AX84" s="350">
        <f t="shared" si="61"/>
        <v>2225775.0519259553</v>
      </c>
      <c r="AY84" s="350">
        <f t="shared" si="62"/>
        <v>10900131.418074578</v>
      </c>
      <c r="AZ84" s="365"/>
      <c r="BA84" s="377">
        <f t="shared" si="63"/>
        <v>0</v>
      </c>
      <c r="BB84" s="377">
        <f t="shared" si="64"/>
        <v>0</v>
      </c>
      <c r="BC84" s="377">
        <f t="shared" si="65"/>
        <v>0</v>
      </c>
      <c r="BD84" s="377">
        <f t="shared" si="66"/>
        <v>0</v>
      </c>
      <c r="BE84" s="377">
        <f t="shared" si="67"/>
        <v>0</v>
      </c>
      <c r="BF84" s="377">
        <f t="shared" si="68"/>
        <v>0</v>
      </c>
      <c r="BG84" s="328"/>
    </row>
    <row r="85" spans="2:59">
      <c r="B85" s="332">
        <v>70</v>
      </c>
      <c r="C85" s="350">
        <v>4200956.4578729132</v>
      </c>
      <c r="D85" s="350">
        <v>25949.193759663285</v>
      </c>
      <c r="E85" s="350">
        <v>24845.44247928269</v>
      </c>
      <c r="F85" s="350">
        <v>23711.990999220612</v>
      </c>
      <c r="G85" s="350">
        <v>22548.897214605815</v>
      </c>
      <c r="H85" s="348">
        <v>4298011.9823256852</v>
      </c>
      <c r="I85" s="369"/>
      <c r="J85" s="350">
        <v>5476598.8513186574</v>
      </c>
      <c r="K85" s="350">
        <v>1317350.8039302221</v>
      </c>
      <c r="L85" s="350">
        <v>1331000.7898326567</v>
      </c>
      <c r="M85" s="350">
        <v>1343579.5215097188</v>
      </c>
      <c r="N85" s="350">
        <v>1355051.0702736378</v>
      </c>
      <c r="O85" s="348">
        <v>10823581.036864892</v>
      </c>
      <c r="P85" s="369"/>
      <c r="Q85" s="350">
        <f t="shared" si="69"/>
        <v>1275642.3934457442</v>
      </c>
      <c r="R85" s="350">
        <f t="shared" si="70"/>
        <v>1291401.6101705588</v>
      </c>
      <c r="S85" s="350">
        <f t="shared" si="71"/>
        <v>1306155.3473533741</v>
      </c>
      <c r="T85" s="350">
        <f t="shared" si="72"/>
        <v>1319867.5305104982</v>
      </c>
      <c r="U85" s="350">
        <f t="shared" si="73"/>
        <v>1332502.1730590321</v>
      </c>
      <c r="V85" s="350">
        <f t="shared" si="74"/>
        <v>6525569.0545392064</v>
      </c>
      <c r="W85" s="365"/>
      <c r="X85" s="377">
        <f t="shared" si="52"/>
        <v>0</v>
      </c>
      <c r="Y85" s="377">
        <f t="shared" si="53"/>
        <v>0</v>
      </c>
      <c r="Z85" s="377">
        <f t="shared" si="54"/>
        <v>0</v>
      </c>
      <c r="AA85" s="377">
        <f t="shared" si="55"/>
        <v>0</v>
      </c>
      <c r="AB85" s="377">
        <f t="shared" si="56"/>
        <v>0</v>
      </c>
      <c r="AC85" s="377">
        <f t="shared" si="57"/>
        <v>0</v>
      </c>
      <c r="AD85" s="376"/>
      <c r="AE85" s="332">
        <v>70</v>
      </c>
      <c r="AF85" s="350">
        <v>5732734.9325356772</v>
      </c>
      <c r="AG85" s="350">
        <v>35410.947727956212</v>
      </c>
      <c r="AH85" s="350">
        <v>33904.739895211504</v>
      </c>
      <c r="AI85" s="350">
        <v>32358.002394062769</v>
      </c>
      <c r="AJ85" s="350">
        <v>30770.814229714404</v>
      </c>
      <c r="AK85" s="348">
        <v>5865179.4367826218</v>
      </c>
      <c r="AL85" s="369"/>
      <c r="AM85" s="350">
        <v>7636857.4586488213</v>
      </c>
      <c r="AN85" s="350">
        <v>1963056.8999311987</v>
      </c>
      <c r="AO85" s="350">
        <v>1983573.2616355706</v>
      </c>
      <c r="AP85" s="350">
        <v>2002494.3895533062</v>
      </c>
      <c r="AQ85" s="350">
        <v>2019766.6463318812</v>
      </c>
      <c r="AR85" s="348">
        <v>15605748.656100776</v>
      </c>
      <c r="AS85" s="369"/>
      <c r="AT85" s="350">
        <f t="shared" si="75"/>
        <v>1904122.5261131441</v>
      </c>
      <c r="AU85" s="350">
        <f t="shared" si="58"/>
        <v>1927645.9522032426</v>
      </c>
      <c r="AV85" s="350">
        <f t="shared" si="59"/>
        <v>1949668.521740359</v>
      </c>
      <c r="AW85" s="350">
        <f t="shared" si="60"/>
        <v>1970136.3871592435</v>
      </c>
      <c r="AX85" s="350">
        <f t="shared" si="61"/>
        <v>1988995.8321021667</v>
      </c>
      <c r="AY85" s="350">
        <f t="shared" si="62"/>
        <v>9740569.2193181552</v>
      </c>
      <c r="AZ85" s="365"/>
      <c r="BA85" s="377">
        <f t="shared" si="63"/>
        <v>0</v>
      </c>
      <c r="BB85" s="377">
        <f t="shared" si="64"/>
        <v>0</v>
      </c>
      <c r="BC85" s="377">
        <f t="shared" si="65"/>
        <v>0</v>
      </c>
      <c r="BD85" s="377">
        <f t="shared" si="66"/>
        <v>0</v>
      </c>
      <c r="BE85" s="377">
        <f t="shared" si="67"/>
        <v>0</v>
      </c>
      <c r="BF85" s="377">
        <f t="shared" si="68"/>
        <v>0</v>
      </c>
      <c r="BG85" s="328"/>
    </row>
    <row r="86" spans="2:59">
      <c r="B86" s="332">
        <v>71</v>
      </c>
      <c r="C86" s="350">
        <v>5290637.3326244662</v>
      </c>
      <c r="D86" s="350">
        <v>32680.122879896975</v>
      </c>
      <c r="E86" s="350">
        <v>31290.07092661396</v>
      </c>
      <c r="F86" s="350">
        <v>29862.614875769996</v>
      </c>
      <c r="G86" s="350">
        <v>28397.827639829888</v>
      </c>
      <c r="H86" s="348">
        <v>5412867.968946578</v>
      </c>
      <c r="I86" s="369"/>
      <c r="J86" s="350">
        <v>6881872.8125921097</v>
      </c>
      <c r="K86" s="350">
        <v>1643573.6393927895</v>
      </c>
      <c r="L86" s="350">
        <v>1660587.3894674373</v>
      </c>
      <c r="M86" s="350">
        <v>1676264.5016400572</v>
      </c>
      <c r="N86" s="350">
        <v>1690560.1591833371</v>
      </c>
      <c r="O86" s="348">
        <v>13552858.50227573</v>
      </c>
      <c r="P86" s="369"/>
      <c r="Q86" s="350">
        <f t="shared" si="69"/>
        <v>1591235.4799676435</v>
      </c>
      <c r="R86" s="350">
        <f t="shared" si="70"/>
        <v>1610893.5165128924</v>
      </c>
      <c r="S86" s="350">
        <f t="shared" si="71"/>
        <v>1629297.3185408234</v>
      </c>
      <c r="T86" s="350">
        <f t="shared" si="72"/>
        <v>1646401.8867642873</v>
      </c>
      <c r="U86" s="350">
        <f t="shared" si="73"/>
        <v>1662162.3315435073</v>
      </c>
      <c r="V86" s="350">
        <f t="shared" si="74"/>
        <v>8139990.5333291516</v>
      </c>
      <c r="W86" s="365"/>
      <c r="X86" s="377">
        <f t="shared" si="52"/>
        <v>0</v>
      </c>
      <c r="Y86" s="377">
        <f t="shared" si="53"/>
        <v>0</v>
      </c>
      <c r="Z86" s="377">
        <f t="shared" si="54"/>
        <v>0</v>
      </c>
      <c r="AA86" s="377">
        <f t="shared" si="55"/>
        <v>0</v>
      </c>
      <c r="AB86" s="377">
        <f t="shared" si="56"/>
        <v>0</v>
      </c>
      <c r="AC86" s="377">
        <f t="shared" si="57"/>
        <v>0</v>
      </c>
      <c r="AD86" s="376"/>
      <c r="AE86" s="332">
        <v>71</v>
      </c>
      <c r="AF86" s="350">
        <v>7095290.2348891525</v>
      </c>
      <c r="AG86" s="350">
        <v>43827.414764353831</v>
      </c>
      <c r="AH86" s="350">
        <v>41963.211752499803</v>
      </c>
      <c r="AI86" s="350">
        <v>40048.845988692512</v>
      </c>
      <c r="AJ86" s="350">
        <v>38084.415256071668</v>
      </c>
      <c r="AK86" s="348">
        <v>7259214.1226507705</v>
      </c>
      <c r="AL86" s="369"/>
      <c r="AM86" s="350">
        <v>9679626.7105621025</v>
      </c>
      <c r="AN86" s="350">
        <v>2660090.6426518979</v>
      </c>
      <c r="AO86" s="350">
        <v>2688116.1809577872</v>
      </c>
      <c r="AP86" s="350">
        <v>2713981.4619634375</v>
      </c>
      <c r="AQ86" s="350">
        <v>2737613.6778796208</v>
      </c>
      <c r="AR86" s="348">
        <v>20479428.674014844</v>
      </c>
      <c r="AS86" s="369"/>
      <c r="AT86" s="350">
        <f t="shared" si="75"/>
        <v>2584336.47567295</v>
      </c>
      <c r="AU86" s="350">
        <f t="shared" si="58"/>
        <v>2616263.2278875438</v>
      </c>
      <c r="AV86" s="350">
        <f t="shared" si="59"/>
        <v>2646152.9692052873</v>
      </c>
      <c r="AW86" s="350">
        <f t="shared" si="60"/>
        <v>2673932.6159747448</v>
      </c>
      <c r="AX86" s="350">
        <f t="shared" si="61"/>
        <v>2699529.262623549</v>
      </c>
      <c r="AY86" s="350">
        <f t="shared" si="62"/>
        <v>13220214.551364074</v>
      </c>
      <c r="AZ86" s="365"/>
      <c r="BA86" s="377">
        <f t="shared" si="63"/>
        <v>0</v>
      </c>
      <c r="BB86" s="377">
        <f t="shared" si="64"/>
        <v>0</v>
      </c>
      <c r="BC86" s="377">
        <f t="shared" si="65"/>
        <v>0</v>
      </c>
      <c r="BD86" s="377">
        <f t="shared" si="66"/>
        <v>0</v>
      </c>
      <c r="BE86" s="377">
        <f t="shared" si="67"/>
        <v>0</v>
      </c>
      <c r="BF86" s="377">
        <f t="shared" si="68"/>
        <v>0</v>
      </c>
      <c r="BG86" s="328"/>
    </row>
    <row r="87" spans="2:59">
      <c r="B87" s="332">
        <v>72</v>
      </c>
      <c r="C87" s="350">
        <v>7098846.551375729</v>
      </c>
      <c r="D87" s="350">
        <v>43849.382034547467</v>
      </c>
      <c r="E87" s="350">
        <v>41984.244642887068</v>
      </c>
      <c r="F87" s="350">
        <v>40068.919356594466</v>
      </c>
      <c r="G87" s="350">
        <v>38103.504007818119</v>
      </c>
      <c r="H87" s="348">
        <v>7262852.6014175769</v>
      </c>
      <c r="I87" s="369"/>
      <c r="J87" s="350">
        <v>8609103.3116025236</v>
      </c>
      <c r="K87" s="350">
        <v>1572763.7721087174</v>
      </c>
      <c r="L87" s="350">
        <v>1588365.8586298395</v>
      </c>
      <c r="M87" s="350">
        <v>1602684.6420694087</v>
      </c>
      <c r="N87" s="350">
        <v>1615677.6150746201</v>
      </c>
      <c r="O87" s="348">
        <v>14988595.199485108</v>
      </c>
      <c r="P87" s="369"/>
      <c r="Q87" s="350">
        <f t="shared" si="69"/>
        <v>1510256.7602267945</v>
      </c>
      <c r="R87" s="350">
        <f t="shared" si="70"/>
        <v>1528914.39007417</v>
      </c>
      <c r="S87" s="350">
        <f t="shared" si="71"/>
        <v>1546381.6139869525</v>
      </c>
      <c r="T87" s="350">
        <f t="shared" si="72"/>
        <v>1562615.7227128141</v>
      </c>
      <c r="U87" s="350">
        <f t="shared" si="73"/>
        <v>1577574.1110668019</v>
      </c>
      <c r="V87" s="350">
        <f t="shared" si="74"/>
        <v>7725742.5980675314</v>
      </c>
      <c r="W87" s="365"/>
      <c r="X87" s="377">
        <f t="shared" si="52"/>
        <v>0</v>
      </c>
      <c r="Y87" s="377">
        <f t="shared" si="53"/>
        <v>0</v>
      </c>
      <c r="Z87" s="377">
        <f t="shared" si="54"/>
        <v>0</v>
      </c>
      <c r="AA87" s="377">
        <f t="shared" si="55"/>
        <v>0</v>
      </c>
      <c r="AB87" s="377">
        <f t="shared" si="56"/>
        <v>0</v>
      </c>
      <c r="AC87" s="377">
        <f t="shared" si="57"/>
        <v>0</v>
      </c>
      <c r="AD87" s="376"/>
      <c r="AE87" s="332">
        <v>72</v>
      </c>
      <c r="AF87" s="350">
        <v>5080101.3992993655</v>
      </c>
      <c r="AG87" s="350">
        <v>31379.648147056152</v>
      </c>
      <c r="AH87" s="350">
        <v>30044.91200299736</v>
      </c>
      <c r="AI87" s="350">
        <v>28674.260222232861</v>
      </c>
      <c r="AJ87" s="350">
        <v>27267.762815750095</v>
      </c>
      <c r="AK87" s="348">
        <v>5197467.9824874019</v>
      </c>
      <c r="AL87" s="369"/>
      <c r="AM87" s="350">
        <v>6860332.9587395042</v>
      </c>
      <c r="AN87" s="350">
        <v>1833604.0914155459</v>
      </c>
      <c r="AO87" s="350">
        <v>1852859.0351751056</v>
      </c>
      <c r="AP87" s="350">
        <v>1870624.5153781632</v>
      </c>
      <c r="AQ87" s="350">
        <v>1886850.3807111988</v>
      </c>
      <c r="AR87" s="348">
        <v>14304270.981419519</v>
      </c>
      <c r="AS87" s="369"/>
      <c r="AT87" s="350">
        <f t="shared" si="75"/>
        <v>1780231.5594401387</v>
      </c>
      <c r="AU87" s="350">
        <f t="shared" si="58"/>
        <v>1802224.4432684898</v>
      </c>
      <c r="AV87" s="350">
        <f t="shared" si="59"/>
        <v>1822814.1231721081</v>
      </c>
      <c r="AW87" s="350">
        <f t="shared" si="60"/>
        <v>1841950.2551559303</v>
      </c>
      <c r="AX87" s="350">
        <f t="shared" si="61"/>
        <v>1859582.6178954486</v>
      </c>
      <c r="AY87" s="350">
        <f t="shared" si="62"/>
        <v>9106802.9989321157</v>
      </c>
      <c r="AZ87" s="365"/>
      <c r="BA87" s="377">
        <f t="shared" si="63"/>
        <v>0</v>
      </c>
      <c r="BB87" s="377">
        <f t="shared" si="64"/>
        <v>0</v>
      </c>
      <c r="BC87" s="377">
        <f t="shared" si="65"/>
        <v>0</v>
      </c>
      <c r="BD87" s="377">
        <f t="shared" si="66"/>
        <v>0</v>
      </c>
      <c r="BE87" s="377">
        <f t="shared" si="67"/>
        <v>0</v>
      </c>
      <c r="BF87" s="377">
        <f t="shared" si="68"/>
        <v>0</v>
      </c>
      <c r="BG87" s="328"/>
    </row>
    <row r="88" spans="2:59">
      <c r="B88" s="332">
        <v>73</v>
      </c>
      <c r="C88" s="350">
        <v>6021057.7432229454</v>
      </c>
      <c r="D88" s="350">
        <v>37191.909886189758</v>
      </c>
      <c r="E88" s="350">
        <v>35609.948668553043</v>
      </c>
      <c r="F88" s="350">
        <v>33985.419378849183</v>
      </c>
      <c r="G88" s="350">
        <v>32318.40499577186</v>
      </c>
      <c r="H88" s="348">
        <v>6160163.4261523094</v>
      </c>
      <c r="I88" s="369"/>
      <c r="J88" s="350">
        <v>7096077.18711178</v>
      </c>
      <c r="K88" s="350">
        <v>1125492.0854962962</v>
      </c>
      <c r="L88" s="350">
        <v>1136343.5103303012</v>
      </c>
      <c r="M88" s="350">
        <v>1146274.6204484866</v>
      </c>
      <c r="N88" s="350">
        <v>1155255.1719318659</v>
      </c>
      <c r="O88" s="348">
        <v>11659442.575318731</v>
      </c>
      <c r="P88" s="369"/>
      <c r="Q88" s="350">
        <f t="shared" si="69"/>
        <v>1075019.4438888347</v>
      </c>
      <c r="R88" s="350">
        <f t="shared" si="70"/>
        <v>1088300.1756101064</v>
      </c>
      <c r="S88" s="350">
        <f t="shared" si="71"/>
        <v>1100733.5616617482</v>
      </c>
      <c r="T88" s="350">
        <f t="shared" si="72"/>
        <v>1112289.2010696374</v>
      </c>
      <c r="U88" s="350">
        <f t="shared" si="73"/>
        <v>1122936.766936094</v>
      </c>
      <c r="V88" s="350">
        <f t="shared" si="74"/>
        <v>5499279.149166422</v>
      </c>
      <c r="W88" s="365"/>
      <c r="X88" s="377">
        <f t="shared" si="52"/>
        <v>0</v>
      </c>
      <c r="Y88" s="377">
        <f t="shared" si="53"/>
        <v>0</v>
      </c>
      <c r="Z88" s="377">
        <f t="shared" si="54"/>
        <v>0</v>
      </c>
      <c r="AA88" s="377">
        <f t="shared" si="55"/>
        <v>0</v>
      </c>
      <c r="AB88" s="377">
        <f t="shared" si="56"/>
        <v>0</v>
      </c>
      <c r="AC88" s="377">
        <f t="shared" si="57"/>
        <v>0</v>
      </c>
      <c r="AD88" s="376"/>
      <c r="AE88" s="332">
        <v>73</v>
      </c>
      <c r="AF88" s="350">
        <v>4209188.0199271003</v>
      </c>
      <c r="AG88" s="350">
        <v>26000.039894545367</v>
      </c>
      <c r="AH88" s="350">
        <v>24894.125869263109</v>
      </c>
      <c r="AI88" s="350">
        <v>23758.453448259846</v>
      </c>
      <c r="AJ88" s="350">
        <v>22593.080640103119</v>
      </c>
      <c r="AK88" s="348">
        <v>4306433.7197792716</v>
      </c>
      <c r="AL88" s="369"/>
      <c r="AM88" s="350">
        <v>5330583.7602524282</v>
      </c>
      <c r="AN88" s="350">
        <v>1161249.4421841279</v>
      </c>
      <c r="AO88" s="350">
        <v>1173113.2899946836</v>
      </c>
      <c r="AP88" s="350">
        <v>1184031.7668101476</v>
      </c>
      <c r="AQ88" s="350">
        <v>1193973.2954402438</v>
      </c>
      <c r="AR88" s="348">
        <v>10042951.554681631</v>
      </c>
      <c r="AS88" s="369"/>
      <c r="AT88" s="350">
        <f t="shared" si="75"/>
        <v>1121395.740325328</v>
      </c>
      <c r="AU88" s="350">
        <f t="shared" si="58"/>
        <v>1135249.4022895824</v>
      </c>
      <c r="AV88" s="350">
        <f t="shared" si="59"/>
        <v>1148219.1641254204</v>
      </c>
      <c r="AW88" s="350">
        <f t="shared" si="60"/>
        <v>1160273.3133618878</v>
      </c>
      <c r="AX88" s="350">
        <f t="shared" si="61"/>
        <v>1171380.2148001406</v>
      </c>
      <c r="AY88" s="350">
        <f t="shared" si="62"/>
        <v>5736517.8349023592</v>
      </c>
      <c r="AZ88" s="365"/>
      <c r="BA88" s="377">
        <f t="shared" si="63"/>
        <v>0</v>
      </c>
      <c r="BB88" s="377">
        <f t="shared" si="64"/>
        <v>0</v>
      </c>
      <c r="BC88" s="377">
        <f t="shared" si="65"/>
        <v>0</v>
      </c>
      <c r="BD88" s="377">
        <f t="shared" si="66"/>
        <v>0</v>
      </c>
      <c r="BE88" s="377">
        <f t="shared" si="67"/>
        <v>0</v>
      </c>
      <c r="BF88" s="377">
        <f t="shared" si="68"/>
        <v>0</v>
      </c>
      <c r="BG88" s="328"/>
    </row>
    <row r="89" spans="2:59">
      <c r="B89" s="332">
        <v>74</v>
      </c>
      <c r="C89" s="350">
        <v>5376922.7680205079</v>
      </c>
      <c r="D89" s="350">
        <v>33213.105667074429</v>
      </c>
      <c r="E89" s="350">
        <v>31800.383243209024</v>
      </c>
      <c r="F89" s="350">
        <v>30349.646695307605</v>
      </c>
      <c r="G89" s="350">
        <v>28860.970124968611</v>
      </c>
      <c r="H89" s="348">
        <v>5501146.8737510666</v>
      </c>
      <c r="I89" s="369"/>
      <c r="J89" s="350">
        <v>7436089.095902564</v>
      </c>
      <c r="K89" s="350">
        <v>2117818.2623308236</v>
      </c>
      <c r="L89" s="350">
        <v>2140221.3043981399</v>
      </c>
      <c r="M89" s="350">
        <v>2160905.0359299947</v>
      </c>
      <c r="N89" s="350">
        <v>2179811.4407981802</v>
      </c>
      <c r="O89" s="348">
        <v>16034845.139359703</v>
      </c>
      <c r="P89" s="369"/>
      <c r="Q89" s="350">
        <f t="shared" si="69"/>
        <v>2059166.3278820561</v>
      </c>
      <c r="R89" s="350">
        <f t="shared" si="70"/>
        <v>2084605.1566637491</v>
      </c>
      <c r="S89" s="350">
        <f t="shared" si="71"/>
        <v>2108420.9211549307</v>
      </c>
      <c r="T89" s="350">
        <f t="shared" si="72"/>
        <v>2130555.3892346872</v>
      </c>
      <c r="U89" s="350">
        <f t="shared" si="73"/>
        <v>2150950.4706732114</v>
      </c>
      <c r="V89" s="350">
        <f t="shared" si="74"/>
        <v>10533698.265608637</v>
      </c>
      <c r="W89" s="365"/>
      <c r="X89" s="377">
        <f t="shared" si="52"/>
        <v>0</v>
      </c>
      <c r="Y89" s="377">
        <f t="shared" si="53"/>
        <v>0</v>
      </c>
      <c r="Z89" s="377">
        <f t="shared" si="54"/>
        <v>0</v>
      </c>
      <c r="AA89" s="377">
        <f t="shared" si="55"/>
        <v>0</v>
      </c>
      <c r="AB89" s="377">
        <f t="shared" si="56"/>
        <v>0</v>
      </c>
      <c r="AC89" s="377">
        <f t="shared" si="57"/>
        <v>0</v>
      </c>
      <c r="AD89" s="376"/>
      <c r="AE89" s="332">
        <v>74</v>
      </c>
      <c r="AF89" s="350">
        <v>4404668.9675586419</v>
      </c>
      <c r="AG89" s="350">
        <v>27207.520390303693</v>
      </c>
      <c r="AH89" s="350">
        <v>26050.246074002131</v>
      </c>
      <c r="AI89" s="350">
        <v>24861.831337852527</v>
      </c>
      <c r="AJ89" s="350">
        <v>23642.336884428074</v>
      </c>
      <c r="AK89" s="348">
        <v>4506430.9022452282</v>
      </c>
      <c r="AL89" s="369"/>
      <c r="AM89" s="350">
        <v>6455437.5375729501</v>
      </c>
      <c r="AN89" s="350">
        <v>2103311.173742502</v>
      </c>
      <c r="AO89" s="350">
        <v>2125872.5377061972</v>
      </c>
      <c r="AP89" s="350">
        <v>2146728.3215553202</v>
      </c>
      <c r="AQ89" s="350">
        <v>2165820.732668086</v>
      </c>
      <c r="AR89" s="348">
        <v>14997170.303245056</v>
      </c>
      <c r="AS89" s="369"/>
      <c r="AT89" s="350">
        <f t="shared" si="75"/>
        <v>2050768.5700143082</v>
      </c>
      <c r="AU89" s="350">
        <f t="shared" si="58"/>
        <v>2076103.6533521982</v>
      </c>
      <c r="AV89" s="350">
        <f t="shared" si="59"/>
        <v>2099822.291632195</v>
      </c>
      <c r="AW89" s="350">
        <f t="shared" si="60"/>
        <v>2121866.4902174678</v>
      </c>
      <c r="AX89" s="350">
        <f t="shared" si="61"/>
        <v>2142178.3957836577</v>
      </c>
      <c r="AY89" s="350">
        <f t="shared" si="62"/>
        <v>10490739.400999829</v>
      </c>
      <c r="AZ89" s="365"/>
      <c r="BA89" s="377">
        <f t="shared" si="63"/>
        <v>0</v>
      </c>
      <c r="BB89" s="377">
        <f t="shared" si="64"/>
        <v>0</v>
      </c>
      <c r="BC89" s="377">
        <f t="shared" si="65"/>
        <v>0</v>
      </c>
      <c r="BD89" s="377">
        <f t="shared" si="66"/>
        <v>0</v>
      </c>
      <c r="BE89" s="377">
        <f t="shared" si="67"/>
        <v>0</v>
      </c>
      <c r="BF89" s="377">
        <f t="shared" si="68"/>
        <v>0</v>
      </c>
      <c r="BG89" s="328"/>
    </row>
    <row r="90" spans="2:59">
      <c r="B90" s="332">
        <v>75</v>
      </c>
      <c r="C90" s="350">
        <v>5381588.4565310879</v>
      </c>
      <c r="D90" s="350">
        <v>33241.925498080192</v>
      </c>
      <c r="E90" s="350">
        <v>31827.977220124641</v>
      </c>
      <c r="F90" s="350">
        <v>30375.98183233495</v>
      </c>
      <c r="G90" s="350">
        <v>28886.013500619101</v>
      </c>
      <c r="H90" s="348">
        <v>5505920.3545822464</v>
      </c>
      <c r="I90" s="369"/>
      <c r="J90" s="350">
        <v>7228686.6338398643</v>
      </c>
      <c r="K90" s="350">
        <v>1903159.053194348</v>
      </c>
      <c r="L90" s="350">
        <v>1923108.1461565471</v>
      </c>
      <c r="M90" s="350">
        <v>1941511.0479143697</v>
      </c>
      <c r="N90" s="350">
        <v>1958315.7249646632</v>
      </c>
      <c r="O90" s="348">
        <v>14954780.606069792</v>
      </c>
      <c r="P90" s="369"/>
      <c r="Q90" s="350">
        <f t="shared" si="69"/>
        <v>1847098.1773087764</v>
      </c>
      <c r="R90" s="350">
        <f t="shared" si="70"/>
        <v>1869917.1276962678</v>
      </c>
      <c r="S90" s="350">
        <f t="shared" si="71"/>
        <v>1891280.1689364226</v>
      </c>
      <c r="T90" s="350">
        <f t="shared" si="72"/>
        <v>1911135.0660820347</v>
      </c>
      <c r="U90" s="350">
        <f t="shared" si="73"/>
        <v>1929429.7114640439</v>
      </c>
      <c r="V90" s="350">
        <f t="shared" si="74"/>
        <v>9448860.2514875457</v>
      </c>
      <c r="W90" s="365"/>
      <c r="X90" s="377">
        <f t="shared" si="52"/>
        <v>0</v>
      </c>
      <c r="Y90" s="377">
        <f t="shared" si="53"/>
        <v>0</v>
      </c>
      <c r="Z90" s="377">
        <f t="shared" si="54"/>
        <v>0</v>
      </c>
      <c r="AA90" s="377">
        <f t="shared" si="55"/>
        <v>0</v>
      </c>
      <c r="AB90" s="377">
        <f t="shared" si="56"/>
        <v>0</v>
      </c>
      <c r="AC90" s="377">
        <f t="shared" si="57"/>
        <v>0</v>
      </c>
      <c r="AD90" s="376"/>
      <c r="AE90" s="332">
        <v>75</v>
      </c>
      <c r="AF90" s="350">
        <v>5753326.7607287718</v>
      </c>
      <c r="AG90" s="350">
        <v>35538.142890535782</v>
      </c>
      <c r="AH90" s="350">
        <v>34026.524800159197</v>
      </c>
      <c r="AI90" s="350">
        <v>32474.231459913466</v>
      </c>
      <c r="AJ90" s="350">
        <v>30881.342158780895</v>
      </c>
      <c r="AK90" s="348">
        <v>5886247.0020381613</v>
      </c>
      <c r="AL90" s="369"/>
      <c r="AM90" s="350">
        <v>7712029.0198624507</v>
      </c>
      <c r="AN90" s="350">
        <v>2018438.103166532</v>
      </c>
      <c r="AO90" s="350">
        <v>2039580.3091408957</v>
      </c>
      <c r="AP90" s="350">
        <v>2059082.5717369495</v>
      </c>
      <c r="AQ90" s="350">
        <v>2076889.7141612507</v>
      </c>
      <c r="AR90" s="348">
        <v>15906019.718068078</v>
      </c>
      <c r="AS90" s="369"/>
      <c r="AT90" s="350">
        <f t="shared" si="75"/>
        <v>1958702.2591336789</v>
      </c>
      <c r="AU90" s="350">
        <f t="shared" si="58"/>
        <v>1982899.9602759962</v>
      </c>
      <c r="AV90" s="350">
        <f t="shared" si="59"/>
        <v>2005553.7843407365</v>
      </c>
      <c r="AW90" s="350">
        <f t="shared" si="60"/>
        <v>2026608.340277036</v>
      </c>
      <c r="AX90" s="350">
        <f t="shared" si="61"/>
        <v>2046008.3720024698</v>
      </c>
      <c r="AY90" s="350">
        <f t="shared" si="62"/>
        <v>10019772.716029916</v>
      </c>
      <c r="AZ90" s="365"/>
      <c r="BA90" s="377">
        <f t="shared" si="63"/>
        <v>0</v>
      </c>
      <c r="BB90" s="377">
        <f t="shared" si="64"/>
        <v>0</v>
      </c>
      <c r="BC90" s="377">
        <f t="shared" si="65"/>
        <v>0</v>
      </c>
      <c r="BD90" s="377">
        <f t="shared" si="66"/>
        <v>0</v>
      </c>
      <c r="BE90" s="377">
        <f t="shared" si="67"/>
        <v>0</v>
      </c>
      <c r="BF90" s="377">
        <f t="shared" si="68"/>
        <v>0</v>
      </c>
      <c r="BG90" s="328"/>
    </row>
    <row r="91" spans="2:59">
      <c r="B91" s="332">
        <v>76</v>
      </c>
      <c r="C91" s="350">
        <v>4918339.5284550078</v>
      </c>
      <c r="D91" s="350">
        <v>30380.449471335898</v>
      </c>
      <c r="E91" s="350">
        <v>29088.214332428892</v>
      </c>
      <c r="F91" s="350">
        <v>27761.207191585589</v>
      </c>
      <c r="G91" s="350">
        <v>26399.495830484797</v>
      </c>
      <c r="H91" s="348">
        <v>5031968.8952808427</v>
      </c>
      <c r="I91" s="369"/>
      <c r="J91" s="350">
        <v>5909412.8851576131</v>
      </c>
      <c r="K91" s="350">
        <v>1033697.4725013635</v>
      </c>
      <c r="L91" s="350">
        <v>1043867.7255243494</v>
      </c>
      <c r="M91" s="350">
        <v>1053194.0013561309</v>
      </c>
      <c r="N91" s="350">
        <v>1061648.4090466155</v>
      </c>
      <c r="O91" s="348">
        <v>10101820.493586071</v>
      </c>
      <c r="P91" s="369"/>
      <c r="Q91" s="350">
        <f t="shared" si="69"/>
        <v>991073.35670260526</v>
      </c>
      <c r="R91" s="350">
        <f t="shared" si="70"/>
        <v>1003317.0230300276</v>
      </c>
      <c r="S91" s="350">
        <f t="shared" si="71"/>
        <v>1014779.5111919205</v>
      </c>
      <c r="T91" s="350">
        <f t="shared" si="72"/>
        <v>1025432.7941645454</v>
      </c>
      <c r="U91" s="350">
        <f t="shared" si="73"/>
        <v>1035248.9132161307</v>
      </c>
      <c r="V91" s="350">
        <f t="shared" si="74"/>
        <v>5069851.5983052282</v>
      </c>
      <c r="W91" s="365"/>
      <c r="X91" s="377">
        <f t="shared" si="52"/>
        <v>0</v>
      </c>
      <c r="Y91" s="377">
        <f t="shared" si="53"/>
        <v>0</v>
      </c>
      <c r="Z91" s="377">
        <f t="shared" si="54"/>
        <v>0</v>
      </c>
      <c r="AA91" s="377">
        <f t="shared" si="55"/>
        <v>0</v>
      </c>
      <c r="AB91" s="377">
        <f t="shared" si="56"/>
        <v>0</v>
      </c>
      <c r="AC91" s="377">
        <f t="shared" si="57"/>
        <v>0</v>
      </c>
      <c r="AD91" s="376"/>
      <c r="AE91" s="332">
        <v>76</v>
      </c>
      <c r="AF91" s="350">
        <v>5247002.7793909935</v>
      </c>
      <c r="AG91" s="350">
        <v>32410.593431585577</v>
      </c>
      <c r="AH91" s="350">
        <v>31032.005937523518</v>
      </c>
      <c r="AI91" s="350">
        <v>29616.322836347757</v>
      </c>
      <c r="AJ91" s="350">
        <v>28163.616439182137</v>
      </c>
      <c r="AK91" s="348">
        <v>5368225.3180356324</v>
      </c>
      <c r="AL91" s="369"/>
      <c r="AM91" s="350">
        <v>6816394.0365505945</v>
      </c>
      <c r="AN91" s="350">
        <v>1621190.0247963406</v>
      </c>
      <c r="AO91" s="350">
        <v>1637962.5949183216</v>
      </c>
      <c r="AP91" s="350">
        <v>1653416.6712998445</v>
      </c>
      <c r="AQ91" s="350">
        <v>1667508.0528499631</v>
      </c>
      <c r="AR91" s="348">
        <v>13396471.380415065</v>
      </c>
      <c r="AS91" s="369"/>
      <c r="AT91" s="350">
        <f t="shared" si="75"/>
        <v>1569391.257159601</v>
      </c>
      <c r="AU91" s="350">
        <f t="shared" si="58"/>
        <v>1588779.4313647551</v>
      </c>
      <c r="AV91" s="350">
        <f t="shared" si="59"/>
        <v>1606930.5889807981</v>
      </c>
      <c r="AW91" s="350">
        <f t="shared" si="60"/>
        <v>1623800.3484634967</v>
      </c>
      <c r="AX91" s="350">
        <f t="shared" si="61"/>
        <v>1639344.436410781</v>
      </c>
      <c r="AY91" s="350">
        <f t="shared" si="62"/>
        <v>8028246.0623794328</v>
      </c>
      <c r="AZ91" s="365"/>
      <c r="BA91" s="377">
        <f t="shared" si="63"/>
        <v>0</v>
      </c>
      <c r="BB91" s="377">
        <f t="shared" si="64"/>
        <v>0</v>
      </c>
      <c r="BC91" s="377">
        <f t="shared" si="65"/>
        <v>0</v>
      </c>
      <c r="BD91" s="377">
        <f t="shared" si="66"/>
        <v>0</v>
      </c>
      <c r="BE91" s="377">
        <f t="shared" si="67"/>
        <v>0</v>
      </c>
      <c r="BF91" s="377">
        <f t="shared" si="68"/>
        <v>0</v>
      </c>
      <c r="BG91" s="328"/>
    </row>
    <row r="92" spans="2:59">
      <c r="B92" s="332">
        <v>77</v>
      </c>
      <c r="C92" s="350">
        <v>5988646.9142016945</v>
      </c>
      <c r="D92" s="350">
        <v>36991.709077013315</v>
      </c>
      <c r="E92" s="350">
        <v>35418.263418723625</v>
      </c>
      <c r="F92" s="350">
        <v>33802.478828586274</v>
      </c>
      <c r="G92" s="350">
        <v>32144.43783863305</v>
      </c>
      <c r="H92" s="348">
        <v>6127003.8033646513</v>
      </c>
      <c r="I92" s="369"/>
      <c r="J92" s="350">
        <v>8106860.6309144124</v>
      </c>
      <c r="K92" s="350">
        <v>2181373.7228004495</v>
      </c>
      <c r="L92" s="350">
        <v>2204298.967867699</v>
      </c>
      <c r="M92" s="350">
        <v>2225452.3657684647</v>
      </c>
      <c r="N92" s="350">
        <v>2244774.2430452392</v>
      </c>
      <c r="O92" s="348">
        <v>16962759.930396263</v>
      </c>
      <c r="P92" s="369"/>
      <c r="Q92" s="350">
        <f t="shared" si="69"/>
        <v>2118213.7167127179</v>
      </c>
      <c r="R92" s="350">
        <f t="shared" si="70"/>
        <v>2144382.0137234363</v>
      </c>
      <c r="S92" s="350">
        <f t="shared" si="71"/>
        <v>2168880.7044489752</v>
      </c>
      <c r="T92" s="350">
        <f t="shared" si="72"/>
        <v>2191649.8869398786</v>
      </c>
      <c r="U92" s="350">
        <f t="shared" si="73"/>
        <v>2212629.8052066062</v>
      </c>
      <c r="V92" s="350">
        <f t="shared" si="74"/>
        <v>10835756.127031611</v>
      </c>
      <c r="W92" s="365"/>
      <c r="X92" s="377">
        <f t="shared" si="52"/>
        <v>0</v>
      </c>
      <c r="Y92" s="377">
        <f t="shared" si="53"/>
        <v>0</v>
      </c>
      <c r="Z92" s="377">
        <f t="shared" si="54"/>
        <v>0</v>
      </c>
      <c r="AA92" s="377">
        <f t="shared" si="55"/>
        <v>0</v>
      </c>
      <c r="AB92" s="377">
        <f t="shared" si="56"/>
        <v>0</v>
      </c>
      <c r="AC92" s="377">
        <f t="shared" si="57"/>
        <v>0</v>
      </c>
      <c r="AD92" s="376"/>
      <c r="AE92" s="332">
        <v>77</v>
      </c>
      <c r="AF92" s="350">
        <v>6133074.6990932291</v>
      </c>
      <c r="AG92" s="350">
        <v>37883.835575349418</v>
      </c>
      <c r="AH92" s="350">
        <v>36272.44323656238</v>
      </c>
      <c r="AI92" s="350">
        <v>34617.690880824019</v>
      </c>
      <c r="AJ92" s="350">
        <v>32919.663030589683</v>
      </c>
      <c r="AK92" s="348">
        <v>6274768.331816555</v>
      </c>
      <c r="AL92" s="369"/>
      <c r="AM92" s="350">
        <v>8707702.5630213227</v>
      </c>
      <c r="AN92" s="350">
        <v>2644318.5120567568</v>
      </c>
      <c r="AO92" s="350">
        <v>2672484.573840783</v>
      </c>
      <c r="AP92" s="350">
        <v>2698505.1080802605</v>
      </c>
      <c r="AQ92" s="350">
        <v>2722307.5676106354</v>
      </c>
      <c r="AR92" s="348">
        <v>19445318.32460976</v>
      </c>
      <c r="AS92" s="369"/>
      <c r="AT92" s="350">
        <f t="shared" si="75"/>
        <v>2574627.8639280936</v>
      </c>
      <c r="AU92" s="350">
        <f t="shared" si="58"/>
        <v>2606434.6764814071</v>
      </c>
      <c r="AV92" s="350">
        <f t="shared" si="59"/>
        <v>2636212.1306042206</v>
      </c>
      <c r="AW92" s="350">
        <f t="shared" si="60"/>
        <v>2663887.4171994366</v>
      </c>
      <c r="AX92" s="350">
        <f t="shared" si="61"/>
        <v>2689387.904580046</v>
      </c>
      <c r="AY92" s="350">
        <f t="shared" si="62"/>
        <v>13170549.992793206</v>
      </c>
      <c r="AZ92" s="365"/>
      <c r="BA92" s="377">
        <f t="shared" si="63"/>
        <v>0</v>
      </c>
      <c r="BB92" s="377">
        <f t="shared" si="64"/>
        <v>0</v>
      </c>
      <c r="BC92" s="377">
        <f t="shared" si="65"/>
        <v>0</v>
      </c>
      <c r="BD92" s="377">
        <f t="shared" si="66"/>
        <v>0</v>
      </c>
      <c r="BE92" s="377">
        <f t="shared" si="67"/>
        <v>0</v>
      </c>
      <c r="BF92" s="377">
        <f t="shared" si="68"/>
        <v>0</v>
      </c>
      <c r="BG92" s="328"/>
    </row>
    <row r="93" spans="2:59">
      <c r="B93" s="332">
        <v>78</v>
      </c>
      <c r="C93" s="350">
        <v>6491693.7568906639</v>
      </c>
      <c r="D93" s="350">
        <v>40099.015739681432</v>
      </c>
      <c r="E93" s="350">
        <v>38393.400514225701</v>
      </c>
      <c r="F93" s="350">
        <v>36641.889883104042</v>
      </c>
      <c r="G93" s="350">
        <v>34844.573311035747</v>
      </c>
      <c r="H93" s="348">
        <v>6641672.6363387099</v>
      </c>
      <c r="I93" s="369"/>
      <c r="J93" s="350">
        <v>8547394.6087825149</v>
      </c>
      <c r="K93" s="350">
        <v>2121195.8841113877</v>
      </c>
      <c r="L93" s="350">
        <v>2143265.952612916</v>
      </c>
      <c r="M93" s="350">
        <v>2163611.658836795</v>
      </c>
      <c r="N93" s="350">
        <v>2182175.0997809498</v>
      </c>
      <c r="O93" s="348">
        <v>17157643.204124562</v>
      </c>
      <c r="P93" s="369"/>
      <c r="Q93" s="350">
        <f t="shared" si="69"/>
        <v>2055700.8518918511</v>
      </c>
      <c r="R93" s="350">
        <f t="shared" si="70"/>
        <v>2081096.8683717062</v>
      </c>
      <c r="S93" s="350">
        <f t="shared" si="71"/>
        <v>2104872.5520986905</v>
      </c>
      <c r="T93" s="350">
        <f t="shared" si="72"/>
        <v>2126969.7689536908</v>
      </c>
      <c r="U93" s="350">
        <f t="shared" si="73"/>
        <v>2147330.5264699142</v>
      </c>
      <c r="V93" s="350">
        <f t="shared" si="74"/>
        <v>10515970.567785852</v>
      </c>
      <c r="W93" s="365"/>
      <c r="X93" s="377">
        <f t="shared" si="52"/>
        <v>0</v>
      </c>
      <c r="Y93" s="377">
        <f t="shared" si="53"/>
        <v>0</v>
      </c>
      <c r="Z93" s="377">
        <f t="shared" si="54"/>
        <v>0</v>
      </c>
      <c r="AA93" s="377">
        <f t="shared" si="55"/>
        <v>0</v>
      </c>
      <c r="AB93" s="377">
        <f t="shared" si="56"/>
        <v>0</v>
      </c>
      <c r="AC93" s="377">
        <f t="shared" si="57"/>
        <v>0</v>
      </c>
      <c r="AD93" s="376"/>
      <c r="AE93" s="332">
        <v>78</v>
      </c>
      <c r="AF93" s="350">
        <v>5517028.1086276006</v>
      </c>
      <c r="AG93" s="350">
        <v>34078.532544651738</v>
      </c>
      <c r="AH93" s="350">
        <v>32628.999111049074</v>
      </c>
      <c r="AI93" s="350">
        <v>31140.461027407426</v>
      </c>
      <c r="AJ93" s="350">
        <v>29612.994326183441</v>
      </c>
      <c r="AK93" s="348">
        <v>5644489.0956368921</v>
      </c>
      <c r="AL93" s="369"/>
      <c r="AM93" s="350">
        <v>7406939.3997529093</v>
      </c>
      <c r="AN93" s="350">
        <v>1947337.6849362084</v>
      </c>
      <c r="AO93" s="350">
        <v>1967746.3577141284</v>
      </c>
      <c r="AP93" s="350">
        <v>1986572.9251081506</v>
      </c>
      <c r="AQ93" s="350">
        <v>2003764.1476998602</v>
      </c>
      <c r="AR93" s="348">
        <v>15312360.515211256</v>
      </c>
      <c r="AS93" s="369"/>
      <c r="AT93" s="350">
        <f t="shared" si="75"/>
        <v>1889911.2911253087</v>
      </c>
      <c r="AU93" s="350">
        <f t="shared" si="58"/>
        <v>1913259.1523915567</v>
      </c>
      <c r="AV93" s="350">
        <f t="shared" si="59"/>
        <v>1935117.3586030793</v>
      </c>
      <c r="AW93" s="350">
        <f t="shared" si="60"/>
        <v>1955432.4640807433</v>
      </c>
      <c r="AX93" s="350">
        <f t="shared" si="61"/>
        <v>1974151.1533736768</v>
      </c>
      <c r="AY93" s="350">
        <f t="shared" si="62"/>
        <v>9667871.419574365</v>
      </c>
      <c r="AZ93" s="365"/>
      <c r="BA93" s="377">
        <f t="shared" si="63"/>
        <v>0</v>
      </c>
      <c r="BB93" s="377">
        <f t="shared" si="64"/>
        <v>0</v>
      </c>
      <c r="BC93" s="377">
        <f t="shared" si="65"/>
        <v>0</v>
      </c>
      <c r="BD93" s="377">
        <f t="shared" si="66"/>
        <v>0</v>
      </c>
      <c r="BE93" s="377">
        <f t="shared" si="67"/>
        <v>0</v>
      </c>
      <c r="BF93" s="377">
        <f t="shared" si="68"/>
        <v>0</v>
      </c>
      <c r="BG93" s="328"/>
    </row>
    <row r="94" spans="2:59">
      <c r="B94" s="332">
        <v>79</v>
      </c>
      <c r="C94" s="350">
        <v>5281784.6257728925</v>
      </c>
      <c r="D94" s="350">
        <v>32625.439950498552</v>
      </c>
      <c r="E94" s="350">
        <v>31237.713940516634</v>
      </c>
      <c r="F94" s="350">
        <v>29812.646420421435</v>
      </c>
      <c r="G94" s="350">
        <v>28350.31018068179</v>
      </c>
      <c r="H94" s="348">
        <v>5403810.7362650111</v>
      </c>
      <c r="I94" s="369"/>
      <c r="J94" s="350">
        <v>7138585.3987801876</v>
      </c>
      <c r="K94" s="350">
        <v>1912365.0286846547</v>
      </c>
      <c r="L94" s="350">
        <v>1932452.5615297824</v>
      </c>
      <c r="M94" s="350">
        <v>1950986.6866616274</v>
      </c>
      <c r="N94" s="350">
        <v>1967915.0954859636</v>
      </c>
      <c r="O94" s="348">
        <v>14902304.771142215</v>
      </c>
      <c r="P94" s="369"/>
      <c r="Q94" s="350">
        <f t="shared" si="69"/>
        <v>1856800.7730072951</v>
      </c>
      <c r="R94" s="350">
        <f t="shared" si="70"/>
        <v>1879739.5887341562</v>
      </c>
      <c r="S94" s="350">
        <f t="shared" si="71"/>
        <v>1901214.8475892658</v>
      </c>
      <c r="T94" s="350">
        <f t="shared" si="72"/>
        <v>1921174.0402412058</v>
      </c>
      <c r="U94" s="350">
        <f t="shared" si="73"/>
        <v>1939564.7853052819</v>
      </c>
      <c r="V94" s="350">
        <f t="shared" si="74"/>
        <v>9498494.0348772034</v>
      </c>
      <c r="W94" s="365"/>
      <c r="X94" s="377">
        <f t="shared" si="52"/>
        <v>0</v>
      </c>
      <c r="Y94" s="377">
        <f t="shared" si="53"/>
        <v>0</v>
      </c>
      <c r="Z94" s="377">
        <f t="shared" si="54"/>
        <v>0</v>
      </c>
      <c r="AA94" s="377">
        <f t="shared" si="55"/>
        <v>0</v>
      </c>
      <c r="AB94" s="377">
        <f t="shared" si="56"/>
        <v>0</v>
      </c>
      <c r="AC94" s="377">
        <f t="shared" si="57"/>
        <v>0</v>
      </c>
      <c r="AD94" s="376"/>
      <c r="AE94" s="332">
        <v>79</v>
      </c>
      <c r="AF94" s="350">
        <v>6534849.4722040538</v>
      </c>
      <c r="AG94" s="350">
        <v>40365.587419184238</v>
      </c>
      <c r="AH94" s="350">
        <v>38648.63354347281</v>
      </c>
      <c r="AI94" s="350">
        <v>36885.479156960108</v>
      </c>
      <c r="AJ94" s="350">
        <v>35076.214319121609</v>
      </c>
      <c r="AK94" s="348">
        <v>6685825.3866427923</v>
      </c>
      <c r="AL94" s="369"/>
      <c r="AM94" s="350">
        <v>8456292.896145191</v>
      </c>
      <c r="AN94" s="350">
        <v>1985546.4188798112</v>
      </c>
      <c r="AO94" s="350">
        <v>2006052.3633917121</v>
      </c>
      <c r="AP94" s="350">
        <v>2024943.2608699778</v>
      </c>
      <c r="AQ94" s="350">
        <v>2042164.9963841618</v>
      </c>
      <c r="AR94" s="348">
        <v>16514999.935670855</v>
      </c>
      <c r="AS94" s="369"/>
      <c r="AT94" s="350">
        <f t="shared" si="75"/>
        <v>1921443.4239411373</v>
      </c>
      <c r="AU94" s="350">
        <f t="shared" si="58"/>
        <v>1945180.831460627</v>
      </c>
      <c r="AV94" s="350">
        <f t="shared" si="59"/>
        <v>1967403.7298482393</v>
      </c>
      <c r="AW94" s="350">
        <f t="shared" si="60"/>
        <v>1988057.7817130177</v>
      </c>
      <c r="AX94" s="350">
        <f t="shared" si="61"/>
        <v>2007088.7820650402</v>
      </c>
      <c r="AY94" s="350">
        <f t="shared" si="62"/>
        <v>9829174.5490280613</v>
      </c>
      <c r="AZ94" s="365"/>
      <c r="BA94" s="377">
        <f t="shared" si="63"/>
        <v>0</v>
      </c>
      <c r="BB94" s="377">
        <f t="shared" si="64"/>
        <v>0</v>
      </c>
      <c r="BC94" s="377">
        <f t="shared" si="65"/>
        <v>0</v>
      </c>
      <c r="BD94" s="377">
        <f t="shared" si="66"/>
        <v>0</v>
      </c>
      <c r="BE94" s="377">
        <f t="shared" si="67"/>
        <v>0</v>
      </c>
      <c r="BF94" s="377">
        <f t="shared" si="68"/>
        <v>0</v>
      </c>
      <c r="BG94" s="328"/>
    </row>
    <row r="95" spans="2:59">
      <c r="B95" s="332">
        <v>80</v>
      </c>
      <c r="C95" s="350">
        <v>5241462.89849729</v>
      </c>
      <c r="D95" s="350">
        <v>32376.373738007649</v>
      </c>
      <c r="E95" s="350">
        <v>30999.241781679582</v>
      </c>
      <c r="F95" s="350">
        <v>29585.053384449246</v>
      </c>
      <c r="G95" s="350">
        <v>28133.880781100183</v>
      </c>
      <c r="H95" s="348">
        <v>5362557.448182527</v>
      </c>
      <c r="I95" s="369"/>
      <c r="J95" s="350">
        <v>6534019.4943425916</v>
      </c>
      <c r="K95" s="350">
        <v>1340901.1434443174</v>
      </c>
      <c r="L95" s="350">
        <v>1354473.373791249</v>
      </c>
      <c r="M95" s="350">
        <v>1366953.18333125</v>
      </c>
      <c r="N95" s="350">
        <v>1378304.1805571294</v>
      </c>
      <c r="O95" s="348">
        <v>11974651.375466537</v>
      </c>
      <c r="P95" s="369"/>
      <c r="Q95" s="350">
        <f t="shared" si="69"/>
        <v>1292556.5958453016</v>
      </c>
      <c r="R95" s="350">
        <f t="shared" si="70"/>
        <v>1308524.7697063098</v>
      </c>
      <c r="S95" s="350">
        <f t="shared" si="71"/>
        <v>1323474.1320095693</v>
      </c>
      <c r="T95" s="350">
        <f t="shared" si="72"/>
        <v>1337368.1299468006</v>
      </c>
      <c r="U95" s="350">
        <f t="shared" si="73"/>
        <v>1350170.2997760293</v>
      </c>
      <c r="V95" s="350">
        <f t="shared" si="74"/>
        <v>6612093.9272840098</v>
      </c>
      <c r="W95" s="365"/>
      <c r="X95" s="377">
        <f t="shared" si="52"/>
        <v>0</v>
      </c>
      <c r="Y95" s="377">
        <f t="shared" si="53"/>
        <v>0</v>
      </c>
      <c r="Z95" s="377">
        <f t="shared" si="54"/>
        <v>0</v>
      </c>
      <c r="AA95" s="377">
        <f t="shared" si="55"/>
        <v>0</v>
      </c>
      <c r="AB95" s="377">
        <f t="shared" si="56"/>
        <v>0</v>
      </c>
      <c r="AC95" s="377">
        <f t="shared" si="57"/>
        <v>0</v>
      </c>
      <c r="AD95" s="376"/>
      <c r="AE95" s="332">
        <v>80</v>
      </c>
      <c r="AF95" s="350">
        <v>5149252.7241987297</v>
      </c>
      <c r="AG95" s="350">
        <v>31806.793999803394</v>
      </c>
      <c r="AH95" s="350">
        <v>30453.889168646478</v>
      </c>
      <c r="AI95" s="350">
        <v>29064.579810173611</v>
      </c>
      <c r="AJ95" s="350">
        <v>27638.93688838138</v>
      </c>
      <c r="AK95" s="348">
        <v>5268216.9240657343</v>
      </c>
      <c r="AL95" s="369"/>
      <c r="AM95" s="350">
        <v>6892090.4097555764</v>
      </c>
      <c r="AN95" s="350">
        <v>1796175.4015015322</v>
      </c>
      <c r="AO95" s="350">
        <v>1814979.6890756516</v>
      </c>
      <c r="AP95" s="350">
        <v>1832324.5560665098</v>
      </c>
      <c r="AQ95" s="350">
        <v>1848160.9070156207</v>
      </c>
      <c r="AR95" s="348">
        <v>14183730.963414893</v>
      </c>
      <c r="AS95" s="369"/>
      <c r="AT95" s="350">
        <f t="shared" si="75"/>
        <v>1742837.6855568467</v>
      </c>
      <c r="AU95" s="350">
        <f t="shared" si="58"/>
        <v>1764368.6075017287</v>
      </c>
      <c r="AV95" s="350">
        <f t="shared" si="59"/>
        <v>1784525.7999070052</v>
      </c>
      <c r="AW95" s="350">
        <f t="shared" si="60"/>
        <v>1803259.9762563361</v>
      </c>
      <c r="AX95" s="350">
        <f t="shared" si="61"/>
        <v>1820521.9701272394</v>
      </c>
      <c r="AY95" s="350">
        <f t="shared" si="62"/>
        <v>8915514.0393491574</v>
      </c>
      <c r="AZ95" s="365"/>
      <c r="BA95" s="377">
        <f t="shared" si="63"/>
        <v>0</v>
      </c>
      <c r="BB95" s="377">
        <f t="shared" si="64"/>
        <v>0</v>
      </c>
      <c r="BC95" s="377">
        <f t="shared" si="65"/>
        <v>0</v>
      </c>
      <c r="BD95" s="377">
        <f t="shared" si="66"/>
        <v>0</v>
      </c>
      <c r="BE95" s="377">
        <f t="shared" si="67"/>
        <v>0</v>
      </c>
      <c r="BF95" s="377">
        <f t="shared" si="68"/>
        <v>0</v>
      </c>
      <c r="BG95" s="328"/>
    </row>
    <row r="96" spans="2:59">
      <c r="B96" s="332">
        <v>81</v>
      </c>
      <c r="C96" s="350">
        <v>5231179.5336470623</v>
      </c>
      <c r="D96" s="350">
        <v>32312.853673071986</v>
      </c>
      <c r="E96" s="350">
        <v>30938.423548392406</v>
      </c>
      <c r="F96" s="350">
        <v>29527.009684826615</v>
      </c>
      <c r="G96" s="350">
        <v>28078.684175433373</v>
      </c>
      <c r="H96" s="348">
        <v>5352036.5047287857</v>
      </c>
      <c r="I96" s="369"/>
      <c r="J96" s="350">
        <v>7452232.6979649663</v>
      </c>
      <c r="K96" s="350">
        <v>2280804.787942226</v>
      </c>
      <c r="L96" s="350">
        <v>2305118.4619631693</v>
      </c>
      <c r="M96" s="350">
        <v>2327581.6762456428</v>
      </c>
      <c r="N96" s="350">
        <v>2348131.8457350293</v>
      </c>
      <c r="O96" s="348">
        <v>16713869.469851036</v>
      </c>
      <c r="P96" s="369"/>
      <c r="Q96" s="350">
        <f t="shared" si="69"/>
        <v>2221053.164317904</v>
      </c>
      <c r="R96" s="350">
        <f t="shared" si="70"/>
        <v>2248491.934269154</v>
      </c>
      <c r="S96" s="350">
        <f t="shared" si="71"/>
        <v>2274180.0384147768</v>
      </c>
      <c r="T96" s="350">
        <f t="shared" si="72"/>
        <v>2298054.6665608161</v>
      </c>
      <c r="U96" s="350">
        <f t="shared" si="73"/>
        <v>2320053.1615595957</v>
      </c>
      <c r="V96" s="350">
        <f t="shared" si="74"/>
        <v>11361832.965122249</v>
      </c>
      <c r="W96" s="365"/>
      <c r="X96" s="377">
        <f t="shared" si="52"/>
        <v>0</v>
      </c>
      <c r="Y96" s="377">
        <f t="shared" si="53"/>
        <v>0</v>
      </c>
      <c r="Z96" s="377">
        <f t="shared" si="54"/>
        <v>0</v>
      </c>
      <c r="AA96" s="377">
        <f t="shared" si="55"/>
        <v>0</v>
      </c>
      <c r="AB96" s="377">
        <f t="shared" si="56"/>
        <v>0</v>
      </c>
      <c r="AC96" s="377">
        <f t="shared" si="57"/>
        <v>0</v>
      </c>
      <c r="AD96" s="376"/>
      <c r="AE96" s="332">
        <v>81</v>
      </c>
      <c r="AF96" s="350">
        <v>4652946.7925080154</v>
      </c>
      <c r="AG96" s="350">
        <v>28741.125760996441</v>
      </c>
      <c r="AH96" s="350">
        <v>27518.619402914715</v>
      </c>
      <c r="AI96" s="350">
        <v>26263.217334003606</v>
      </c>
      <c r="AJ96" s="350">
        <v>24974.983678459113</v>
      </c>
      <c r="AK96" s="348">
        <v>4760444.7386843888</v>
      </c>
      <c r="AL96" s="369"/>
      <c r="AM96" s="350">
        <v>5947734.1065420583</v>
      </c>
      <c r="AN96" s="350">
        <v>1339524.171827184</v>
      </c>
      <c r="AO96" s="350">
        <v>1353276.8276595823</v>
      </c>
      <c r="AP96" s="350">
        <v>1365939.4020476935</v>
      </c>
      <c r="AQ96" s="350">
        <v>1377475.4324439294</v>
      </c>
      <c r="AR96" s="348">
        <v>11383949.940520449</v>
      </c>
      <c r="AS96" s="369"/>
      <c r="AT96" s="350">
        <f t="shared" si="75"/>
        <v>1294787.3140340429</v>
      </c>
      <c r="AU96" s="350">
        <f t="shared" si="58"/>
        <v>1310783.0460661876</v>
      </c>
      <c r="AV96" s="350">
        <f t="shared" si="59"/>
        <v>1325758.2082566675</v>
      </c>
      <c r="AW96" s="350">
        <f t="shared" si="60"/>
        <v>1339676.1847136898</v>
      </c>
      <c r="AX96" s="350">
        <f t="shared" si="61"/>
        <v>1352500.4487654702</v>
      </c>
      <c r="AY96" s="350">
        <f t="shared" si="62"/>
        <v>6623505.2018360598</v>
      </c>
      <c r="AZ96" s="365"/>
      <c r="BA96" s="377">
        <f t="shared" si="63"/>
        <v>0</v>
      </c>
      <c r="BB96" s="377">
        <f t="shared" si="64"/>
        <v>0</v>
      </c>
      <c r="BC96" s="377">
        <f t="shared" si="65"/>
        <v>0</v>
      </c>
      <c r="BD96" s="377">
        <f t="shared" si="66"/>
        <v>0</v>
      </c>
      <c r="BE96" s="377">
        <f t="shared" si="67"/>
        <v>0</v>
      </c>
      <c r="BF96" s="377">
        <f t="shared" si="68"/>
        <v>0</v>
      </c>
      <c r="BG96" s="328"/>
    </row>
    <row r="97" spans="2:59">
      <c r="B97" s="332">
        <v>82</v>
      </c>
      <c r="C97" s="350">
        <v>7426594.0984448008</v>
      </c>
      <c r="D97" s="350">
        <v>45873.869716919129</v>
      </c>
      <c r="E97" s="350">
        <v>43922.620560394549</v>
      </c>
      <c r="F97" s="350">
        <v>41918.86637795734</v>
      </c>
      <c r="G97" s="350">
        <v>39862.70951858956</v>
      </c>
      <c r="H97" s="348">
        <v>7598172.1646186616</v>
      </c>
      <c r="I97" s="369"/>
      <c r="J97" s="350">
        <v>10546107.482163293</v>
      </c>
      <c r="K97" s="350">
        <v>3203925.5520546529</v>
      </c>
      <c r="L97" s="350">
        <v>3238053.7565429225</v>
      </c>
      <c r="M97" s="350">
        <v>3269582.3928630529</v>
      </c>
      <c r="N97" s="350">
        <v>3298423.5601527989</v>
      </c>
      <c r="O97" s="348">
        <v>23556092.74377672</v>
      </c>
      <c r="P97" s="369"/>
      <c r="Q97" s="350">
        <f t="shared" si="69"/>
        <v>3119513.3837184925</v>
      </c>
      <c r="R97" s="350">
        <f t="shared" si="70"/>
        <v>3158051.6823377339</v>
      </c>
      <c r="S97" s="350">
        <f t="shared" si="71"/>
        <v>3194131.1359825279</v>
      </c>
      <c r="T97" s="350">
        <f t="shared" si="72"/>
        <v>3227663.5264850957</v>
      </c>
      <c r="U97" s="350">
        <f t="shared" si="73"/>
        <v>3258560.8506342093</v>
      </c>
      <c r="V97" s="350">
        <f t="shared" si="74"/>
        <v>15957920.579158058</v>
      </c>
      <c r="W97" s="365"/>
      <c r="X97" s="377">
        <f t="shared" si="52"/>
        <v>0</v>
      </c>
      <c r="Y97" s="377">
        <f t="shared" si="53"/>
        <v>0</v>
      </c>
      <c r="Z97" s="377">
        <f t="shared" si="54"/>
        <v>0</v>
      </c>
      <c r="AA97" s="377">
        <f t="shared" si="55"/>
        <v>0</v>
      </c>
      <c r="AB97" s="377">
        <f t="shared" si="56"/>
        <v>0</v>
      </c>
      <c r="AC97" s="377">
        <f t="shared" si="57"/>
        <v>0</v>
      </c>
      <c r="AD97" s="376"/>
      <c r="AE97" s="332">
        <v>82</v>
      </c>
      <c r="AF97" s="350">
        <v>5400740.4342644392</v>
      </c>
      <c r="AG97" s="350">
        <v>33360.226743540727</v>
      </c>
      <c r="AH97" s="350">
        <v>31941.246511513171</v>
      </c>
      <c r="AI97" s="350">
        <v>30484.083767734901</v>
      </c>
      <c r="AJ97" s="350">
        <v>28988.812942053763</v>
      </c>
      <c r="AK97" s="348">
        <v>5525514.8042292818</v>
      </c>
      <c r="AL97" s="369"/>
      <c r="AM97" s="350">
        <v>6977499.8057070011</v>
      </c>
      <c r="AN97" s="350">
        <v>1629598.797674234</v>
      </c>
      <c r="AO97" s="350">
        <v>1646416.1926883797</v>
      </c>
      <c r="AP97" s="350">
        <v>1661907.9910382596</v>
      </c>
      <c r="AQ97" s="350">
        <v>1676029.7858930412</v>
      </c>
      <c r="AR97" s="348">
        <v>13591452.573000915</v>
      </c>
      <c r="AS97" s="369"/>
      <c r="AT97" s="350">
        <f t="shared" si="75"/>
        <v>1576759.371442562</v>
      </c>
      <c r="AU97" s="350">
        <f t="shared" si="58"/>
        <v>1596238.5709306933</v>
      </c>
      <c r="AV97" s="350">
        <f t="shared" si="59"/>
        <v>1614474.9461768665</v>
      </c>
      <c r="AW97" s="350">
        <f t="shared" si="60"/>
        <v>1631423.9072705247</v>
      </c>
      <c r="AX97" s="350">
        <f t="shared" si="61"/>
        <v>1647040.9729509875</v>
      </c>
      <c r="AY97" s="350">
        <f t="shared" si="62"/>
        <v>8065937.7687716335</v>
      </c>
      <c r="AZ97" s="365"/>
      <c r="BA97" s="377">
        <f t="shared" si="63"/>
        <v>0</v>
      </c>
      <c r="BB97" s="377">
        <f t="shared" si="64"/>
        <v>0</v>
      </c>
      <c r="BC97" s="377">
        <f t="shared" si="65"/>
        <v>0</v>
      </c>
      <c r="BD97" s="377">
        <f t="shared" si="66"/>
        <v>0</v>
      </c>
      <c r="BE97" s="377">
        <f t="shared" si="67"/>
        <v>0</v>
      </c>
      <c r="BF97" s="377">
        <f t="shared" si="68"/>
        <v>0</v>
      </c>
      <c r="BG97" s="328"/>
    </row>
    <row r="98" spans="2:59">
      <c r="B98" s="332">
        <v>83</v>
      </c>
      <c r="C98" s="350">
        <v>6715449.4179938007</v>
      </c>
      <c r="D98" s="350">
        <v>41481.14837138162</v>
      </c>
      <c r="E98" s="350">
        <v>39716.744010667462</v>
      </c>
      <c r="F98" s="350">
        <v>37904.862321714281</v>
      </c>
      <c r="G98" s="350">
        <v>36045.595852925806</v>
      </c>
      <c r="H98" s="348">
        <v>6870597.7685504891</v>
      </c>
      <c r="I98" s="369"/>
      <c r="J98" s="350">
        <v>8702815.2501480635</v>
      </c>
      <c r="K98" s="350">
        <v>2053398.7898895598</v>
      </c>
      <c r="L98" s="350">
        <v>2074619.7247778103</v>
      </c>
      <c r="M98" s="350">
        <v>2094170.510581508</v>
      </c>
      <c r="N98" s="350">
        <v>2111995.175151269</v>
      </c>
      <c r="O98" s="348">
        <v>17036999.450548209</v>
      </c>
      <c r="P98" s="369"/>
      <c r="Q98" s="350">
        <f t="shared" si="69"/>
        <v>1987365.8321542628</v>
      </c>
      <c r="R98" s="350">
        <f t="shared" si="70"/>
        <v>2011917.6415181782</v>
      </c>
      <c r="S98" s="350">
        <f t="shared" si="71"/>
        <v>2034902.9807671427</v>
      </c>
      <c r="T98" s="350">
        <f t="shared" si="72"/>
        <v>2056265.6482597939</v>
      </c>
      <c r="U98" s="350">
        <f t="shared" si="73"/>
        <v>2075949.579298343</v>
      </c>
      <c r="V98" s="350">
        <f t="shared" si="74"/>
        <v>10166401.68199772</v>
      </c>
      <c r="W98" s="365"/>
      <c r="X98" s="377">
        <f t="shared" si="52"/>
        <v>0</v>
      </c>
      <c r="Y98" s="377">
        <f t="shared" si="53"/>
        <v>0</v>
      </c>
      <c r="Z98" s="377">
        <f t="shared" si="54"/>
        <v>0</v>
      </c>
      <c r="AA98" s="377">
        <f t="shared" si="55"/>
        <v>0</v>
      </c>
      <c r="AB98" s="377">
        <f t="shared" si="56"/>
        <v>0</v>
      </c>
      <c r="AC98" s="377">
        <f t="shared" si="57"/>
        <v>0</v>
      </c>
      <c r="AD98" s="376"/>
      <c r="AE98" s="332">
        <v>83</v>
      </c>
      <c r="AF98" s="350">
        <v>5283033.6297129877</v>
      </c>
      <c r="AG98" s="350">
        <v>32633.155013859268</v>
      </c>
      <c r="AH98" s="350">
        <v>31245.100842966047</v>
      </c>
      <c r="AI98" s="350">
        <v>29819.696331669922</v>
      </c>
      <c r="AJ98" s="350">
        <v>28357.014287651091</v>
      </c>
      <c r="AK98" s="348">
        <v>5405088.5961891338</v>
      </c>
      <c r="AL98" s="369"/>
      <c r="AM98" s="350">
        <v>7323626.3271672577</v>
      </c>
      <c r="AN98" s="350">
        <v>2098435.2236300511</v>
      </c>
      <c r="AO98" s="350">
        <v>2120648.1163311806</v>
      </c>
      <c r="AP98" s="350">
        <v>2141157.5275334045</v>
      </c>
      <c r="AQ98" s="350">
        <v>2159905.9637870733</v>
      </c>
      <c r="AR98" s="348">
        <v>15843773.158448968</v>
      </c>
      <c r="AS98" s="369"/>
      <c r="AT98" s="350">
        <f t="shared" si="75"/>
        <v>2040592.69745427</v>
      </c>
      <c r="AU98" s="350">
        <f t="shared" si="58"/>
        <v>2065802.0686161919</v>
      </c>
      <c r="AV98" s="350">
        <f t="shared" si="59"/>
        <v>2089403.0154882146</v>
      </c>
      <c r="AW98" s="350">
        <f t="shared" si="60"/>
        <v>2111337.8312017345</v>
      </c>
      <c r="AX98" s="350">
        <f t="shared" si="61"/>
        <v>2131548.9494994222</v>
      </c>
      <c r="AY98" s="350">
        <f t="shared" si="62"/>
        <v>10438684.562259834</v>
      </c>
      <c r="AZ98" s="365"/>
      <c r="BA98" s="377">
        <f t="shared" si="63"/>
        <v>0</v>
      </c>
      <c r="BB98" s="377">
        <f t="shared" si="64"/>
        <v>0</v>
      </c>
      <c r="BC98" s="377">
        <f t="shared" si="65"/>
        <v>0</v>
      </c>
      <c r="BD98" s="377">
        <f t="shared" si="66"/>
        <v>0</v>
      </c>
      <c r="BE98" s="377">
        <f t="shared" si="67"/>
        <v>0</v>
      </c>
      <c r="BF98" s="377">
        <f t="shared" si="68"/>
        <v>0</v>
      </c>
      <c r="BG98" s="328"/>
    </row>
    <row r="99" spans="2:59">
      <c r="B99" s="332">
        <v>84</v>
      </c>
      <c r="C99" s="350">
        <v>5243366.1897330256</v>
      </c>
      <c r="D99" s="350">
        <v>32388.130316195966</v>
      </c>
      <c r="E99" s="350">
        <v>31010.498292758268</v>
      </c>
      <c r="F99" s="350">
        <v>29595.796372410623</v>
      </c>
      <c r="G99" s="350">
        <v>28144.096816155688</v>
      </c>
      <c r="H99" s="348">
        <v>5364504.7115305467</v>
      </c>
      <c r="I99" s="369"/>
      <c r="J99" s="350">
        <v>7284641.7539511546</v>
      </c>
      <c r="K99" s="350">
        <v>2098881.501795094</v>
      </c>
      <c r="L99" s="350">
        <v>2121112.7144971932</v>
      </c>
      <c r="M99" s="350">
        <v>2141640.168587449</v>
      </c>
      <c r="N99" s="350">
        <v>2160406.3508054786</v>
      </c>
      <c r="O99" s="348">
        <v>15806682.489636371</v>
      </c>
      <c r="P99" s="369"/>
      <c r="Q99" s="350">
        <f t="shared" si="69"/>
        <v>2041275.564218129</v>
      </c>
      <c r="R99" s="350">
        <f t="shared" si="70"/>
        <v>2066493.371478898</v>
      </c>
      <c r="S99" s="350">
        <f t="shared" si="71"/>
        <v>2090102.2162044349</v>
      </c>
      <c r="T99" s="350">
        <f t="shared" si="72"/>
        <v>2112044.3722150382</v>
      </c>
      <c r="U99" s="350">
        <f t="shared" si="73"/>
        <v>2132262.253989323</v>
      </c>
      <c r="V99" s="350">
        <f t="shared" si="74"/>
        <v>10442177.778105825</v>
      </c>
      <c r="W99" s="365"/>
      <c r="X99" s="377">
        <f t="shared" si="52"/>
        <v>0</v>
      </c>
      <c r="Y99" s="377">
        <f t="shared" si="53"/>
        <v>0</v>
      </c>
      <c r="Z99" s="377">
        <f t="shared" si="54"/>
        <v>0</v>
      </c>
      <c r="AA99" s="377">
        <f t="shared" si="55"/>
        <v>0</v>
      </c>
      <c r="AB99" s="377">
        <f t="shared" si="56"/>
        <v>0</v>
      </c>
      <c r="AC99" s="377">
        <f t="shared" si="57"/>
        <v>0</v>
      </c>
      <c r="AD99" s="376"/>
      <c r="AE99" s="332">
        <v>84</v>
      </c>
      <c r="AF99" s="350">
        <v>5349889.4458748</v>
      </c>
      <c r="AG99" s="350">
        <v>33046.12157158021</v>
      </c>
      <c r="AH99" s="350">
        <v>31640.501831172529</v>
      </c>
      <c r="AI99" s="350">
        <v>30197.059088692524</v>
      </c>
      <c r="AJ99" s="350">
        <v>28715.867073188976</v>
      </c>
      <c r="AK99" s="348">
        <v>5473488.9954394335</v>
      </c>
      <c r="AL99" s="369"/>
      <c r="AM99" s="350">
        <v>7408318.0427217139</v>
      </c>
      <c r="AN99" s="350">
        <v>2116904.433311115</v>
      </c>
      <c r="AO99" s="350">
        <v>2139306.0456629526</v>
      </c>
      <c r="AP99" s="350">
        <v>2159989.1409540582</v>
      </c>
      <c r="AQ99" s="350">
        <v>2178895.7234954871</v>
      </c>
      <c r="AR99" s="348">
        <v>16003413.386145327</v>
      </c>
      <c r="AS99" s="369"/>
      <c r="AT99" s="350">
        <f t="shared" si="75"/>
        <v>2058428.5968469139</v>
      </c>
      <c r="AU99" s="350">
        <f t="shared" si="58"/>
        <v>2083858.3117395348</v>
      </c>
      <c r="AV99" s="350">
        <f t="shared" si="59"/>
        <v>2107665.5438317801</v>
      </c>
      <c r="AW99" s="350">
        <f t="shared" si="60"/>
        <v>2129792.0818653656</v>
      </c>
      <c r="AX99" s="350">
        <f t="shared" si="61"/>
        <v>2150179.8564222981</v>
      </c>
      <c r="AY99" s="350">
        <f t="shared" si="62"/>
        <v>10529924.390705895</v>
      </c>
      <c r="AZ99" s="365"/>
      <c r="BA99" s="377">
        <f t="shared" si="63"/>
        <v>0</v>
      </c>
      <c r="BB99" s="377">
        <f t="shared" si="64"/>
        <v>0</v>
      </c>
      <c r="BC99" s="377">
        <f t="shared" si="65"/>
        <v>0</v>
      </c>
      <c r="BD99" s="377">
        <f t="shared" si="66"/>
        <v>0</v>
      </c>
      <c r="BE99" s="377">
        <f t="shared" si="67"/>
        <v>0</v>
      </c>
      <c r="BF99" s="377">
        <f t="shared" si="68"/>
        <v>0</v>
      </c>
      <c r="BG99" s="328"/>
    </row>
    <row r="100" spans="2:59">
      <c r="B100" s="332">
        <v>85</v>
      </c>
      <c r="C100" s="350">
        <v>7377268.9841509471</v>
      </c>
      <c r="D100" s="350">
        <v>45569.189827741422</v>
      </c>
      <c r="E100" s="350">
        <v>43630.900257586094</v>
      </c>
      <c r="F100" s="350">
        <v>41640.45438347428</v>
      </c>
      <c r="G100" s="350">
        <v>39597.953874615501</v>
      </c>
      <c r="H100" s="348">
        <v>7547707.4824943645</v>
      </c>
      <c r="I100" s="369"/>
      <c r="J100" s="350">
        <v>9780499.8741503563</v>
      </c>
      <c r="K100" s="350">
        <v>2478489.4634897346</v>
      </c>
      <c r="L100" s="350">
        <v>2504346.2966928976</v>
      </c>
      <c r="M100" s="350">
        <v>2528188.7506203675</v>
      </c>
      <c r="N100" s="350">
        <v>2549949.1304584974</v>
      </c>
      <c r="O100" s="348">
        <v>19841473.515411854</v>
      </c>
      <c r="P100" s="369"/>
      <c r="Q100" s="350">
        <f t="shared" si="69"/>
        <v>2403230.8899994092</v>
      </c>
      <c r="R100" s="350">
        <f t="shared" si="70"/>
        <v>2432920.273661993</v>
      </c>
      <c r="S100" s="350">
        <f t="shared" si="71"/>
        <v>2460715.3964353115</v>
      </c>
      <c r="T100" s="350">
        <f t="shared" si="72"/>
        <v>2486548.2962368932</v>
      </c>
      <c r="U100" s="350">
        <f t="shared" si="73"/>
        <v>2510351.176583882</v>
      </c>
      <c r="V100" s="350">
        <f t="shared" si="74"/>
        <v>12293766.032917488</v>
      </c>
      <c r="W100" s="365"/>
      <c r="X100" s="377">
        <f t="shared" si="52"/>
        <v>0</v>
      </c>
      <c r="Y100" s="377">
        <f t="shared" si="53"/>
        <v>0</v>
      </c>
      <c r="Z100" s="377">
        <f t="shared" si="54"/>
        <v>0</v>
      </c>
      <c r="AA100" s="377">
        <f t="shared" si="55"/>
        <v>0</v>
      </c>
      <c r="AB100" s="377">
        <f t="shared" si="56"/>
        <v>0</v>
      </c>
      <c r="AC100" s="377">
        <f t="shared" si="57"/>
        <v>0</v>
      </c>
      <c r="AD100" s="376"/>
      <c r="AE100" s="332">
        <v>85</v>
      </c>
      <c r="AF100" s="350">
        <v>6226494.9734718455</v>
      </c>
      <c r="AG100" s="350">
        <v>38460.89006883074</v>
      </c>
      <c r="AH100" s="350">
        <v>36824.952665485915</v>
      </c>
      <c r="AI100" s="350">
        <v>35144.994776360276</v>
      </c>
      <c r="AJ100" s="350">
        <v>33421.102211367433</v>
      </c>
      <c r="AK100" s="348">
        <v>6370346.9131938908</v>
      </c>
      <c r="AL100" s="369"/>
      <c r="AM100" s="350">
        <v>8533016.1082689092</v>
      </c>
      <c r="AN100" s="350">
        <v>2373476.6614743918</v>
      </c>
      <c r="AO100" s="350">
        <v>2398517.3277996858</v>
      </c>
      <c r="AP100" s="350">
        <v>2421630.713576952</v>
      </c>
      <c r="AQ100" s="350">
        <v>2442751.8363693403</v>
      </c>
      <c r="AR100" s="348">
        <v>18169392.64748928</v>
      </c>
      <c r="AS100" s="369"/>
      <c r="AT100" s="350">
        <f t="shared" si="75"/>
        <v>2306521.1347970637</v>
      </c>
      <c r="AU100" s="350">
        <f t="shared" si="58"/>
        <v>2335015.7714055609</v>
      </c>
      <c r="AV100" s="350">
        <f t="shared" si="59"/>
        <v>2361692.3751341999</v>
      </c>
      <c r="AW100" s="350">
        <f t="shared" si="60"/>
        <v>2386485.7188005918</v>
      </c>
      <c r="AX100" s="350">
        <f t="shared" si="61"/>
        <v>2409330.734157973</v>
      </c>
      <c r="AY100" s="350">
        <f t="shared" si="62"/>
        <v>11799045.734295389</v>
      </c>
      <c r="AZ100" s="365"/>
      <c r="BA100" s="377">
        <f t="shared" si="63"/>
        <v>0</v>
      </c>
      <c r="BB100" s="377">
        <f t="shared" si="64"/>
        <v>0</v>
      </c>
      <c r="BC100" s="377">
        <f t="shared" si="65"/>
        <v>0</v>
      </c>
      <c r="BD100" s="377">
        <f t="shared" si="66"/>
        <v>0</v>
      </c>
      <c r="BE100" s="377">
        <f t="shared" si="67"/>
        <v>0</v>
      </c>
      <c r="BF100" s="377">
        <f t="shared" si="68"/>
        <v>0</v>
      </c>
      <c r="BG100" s="328"/>
    </row>
    <row r="101" spans="2:59">
      <c r="B101" s="332">
        <v>86</v>
      </c>
      <c r="C101" s="350">
        <v>5202947.3503227429</v>
      </c>
      <c r="D101" s="350">
        <v>32138.46424469028</v>
      </c>
      <c r="E101" s="350">
        <v>30771.451789965453</v>
      </c>
      <c r="F101" s="350">
        <v>29367.655194107941</v>
      </c>
      <c r="G101" s="350">
        <v>27927.146161100678</v>
      </c>
      <c r="H101" s="348">
        <v>5323152.0677126087</v>
      </c>
      <c r="I101" s="369"/>
      <c r="J101" s="350">
        <v>6900283.3554762695</v>
      </c>
      <c r="K101" s="350">
        <v>1750443.2660590045</v>
      </c>
      <c r="L101" s="350">
        <v>1768707.185799408</v>
      </c>
      <c r="M101" s="350">
        <v>1785548.4571798365</v>
      </c>
      <c r="N101" s="350">
        <v>1800919.2691095504</v>
      </c>
      <c r="O101" s="348">
        <v>14005901.53362407</v>
      </c>
      <c r="P101" s="369"/>
      <c r="Q101" s="350">
        <f t="shared" si="69"/>
        <v>1697336.0051535266</v>
      </c>
      <c r="R101" s="350">
        <f t="shared" si="70"/>
        <v>1718304.8018143142</v>
      </c>
      <c r="S101" s="350">
        <f t="shared" si="71"/>
        <v>1737935.7340094426</v>
      </c>
      <c r="T101" s="350">
        <f t="shared" si="72"/>
        <v>1756180.8019857286</v>
      </c>
      <c r="U101" s="350">
        <f t="shared" si="73"/>
        <v>1772992.1229484498</v>
      </c>
      <c r="V101" s="350">
        <f t="shared" si="74"/>
        <v>8682749.465911461</v>
      </c>
      <c r="W101" s="365"/>
      <c r="X101" s="377">
        <f t="shared" si="52"/>
        <v>0</v>
      </c>
      <c r="Y101" s="377">
        <f t="shared" si="53"/>
        <v>0</v>
      </c>
      <c r="Z101" s="377">
        <f t="shared" si="54"/>
        <v>0</v>
      </c>
      <c r="AA101" s="377">
        <f t="shared" si="55"/>
        <v>0</v>
      </c>
      <c r="AB101" s="377">
        <f t="shared" si="56"/>
        <v>0</v>
      </c>
      <c r="AC101" s="377">
        <f t="shared" si="57"/>
        <v>0</v>
      </c>
      <c r="AD101" s="376"/>
      <c r="AE101" s="332">
        <v>86</v>
      </c>
      <c r="AF101" s="350">
        <v>4538514.1745298384</v>
      </c>
      <c r="AG101" s="350">
        <v>28034.278592709918</v>
      </c>
      <c r="AH101" s="350">
        <v>26841.838042230833</v>
      </c>
      <c r="AI101" s="350">
        <v>25617.310804211324</v>
      </c>
      <c r="AJ101" s="350">
        <v>24360.75942580089</v>
      </c>
      <c r="AK101" s="348">
        <v>4643368.3613947928</v>
      </c>
      <c r="AL101" s="369"/>
      <c r="AM101" s="350">
        <v>6669741.4928313289</v>
      </c>
      <c r="AN101" s="350">
        <v>2185590.6632309151</v>
      </c>
      <c r="AO101" s="350">
        <v>2209047.425225453</v>
      </c>
      <c r="AP101" s="350">
        <v>2230731.9667736157</v>
      </c>
      <c r="AQ101" s="350">
        <v>2250584.2273120591</v>
      </c>
      <c r="AR101" s="348">
        <v>15545695.775373373</v>
      </c>
      <c r="AS101" s="369"/>
      <c r="AT101" s="350">
        <f t="shared" si="75"/>
        <v>2131227.3183014905</v>
      </c>
      <c r="AU101" s="350">
        <f t="shared" si="58"/>
        <v>2157556.3846382052</v>
      </c>
      <c r="AV101" s="350">
        <f t="shared" si="59"/>
        <v>2182205.5871832222</v>
      </c>
      <c r="AW101" s="350">
        <f t="shared" si="60"/>
        <v>2205114.6559694041</v>
      </c>
      <c r="AX101" s="350">
        <f t="shared" si="61"/>
        <v>2226223.4678862584</v>
      </c>
      <c r="AY101" s="350">
        <f t="shared" si="62"/>
        <v>10902327.41397858</v>
      </c>
      <c r="AZ101" s="365"/>
      <c r="BA101" s="377">
        <f t="shared" si="63"/>
        <v>0</v>
      </c>
      <c r="BB101" s="377">
        <f t="shared" si="64"/>
        <v>0</v>
      </c>
      <c r="BC101" s="377">
        <f t="shared" si="65"/>
        <v>0</v>
      </c>
      <c r="BD101" s="377">
        <f t="shared" si="66"/>
        <v>0</v>
      </c>
      <c r="BE101" s="377">
        <f t="shared" si="67"/>
        <v>0</v>
      </c>
      <c r="BF101" s="377">
        <f t="shared" si="68"/>
        <v>0</v>
      </c>
      <c r="BG101" s="328"/>
    </row>
    <row r="102" spans="2:59">
      <c r="B102" s="332">
        <v>87</v>
      </c>
      <c r="C102" s="350">
        <v>5715937.9305220582</v>
      </c>
      <c r="D102" s="350">
        <v>35307.193103455895</v>
      </c>
      <c r="E102" s="350">
        <v>33805.398482954493</v>
      </c>
      <c r="F102" s="350">
        <v>32263.192946605857</v>
      </c>
      <c r="G102" s="350">
        <v>30680.655268125636</v>
      </c>
      <c r="H102" s="348">
        <v>5847994.3703231998</v>
      </c>
      <c r="I102" s="369"/>
      <c r="J102" s="350">
        <v>7832407.4355730731</v>
      </c>
      <c r="K102" s="350">
        <v>2177923.4472692162</v>
      </c>
      <c r="L102" s="350">
        <v>2200900.1702908101</v>
      </c>
      <c r="M102" s="350">
        <v>2222108.3982998207</v>
      </c>
      <c r="N102" s="350">
        <v>2241488.5032856017</v>
      </c>
      <c r="O102" s="348">
        <v>16674827.954718523</v>
      </c>
      <c r="P102" s="369"/>
      <c r="Q102" s="350">
        <f t="shared" si="69"/>
        <v>2116469.5050510149</v>
      </c>
      <c r="R102" s="350">
        <f t="shared" si="70"/>
        <v>2142616.2541657602</v>
      </c>
      <c r="S102" s="350">
        <f t="shared" si="71"/>
        <v>2167094.7718078555</v>
      </c>
      <c r="T102" s="350">
        <f t="shared" si="72"/>
        <v>2189845.2053532149</v>
      </c>
      <c r="U102" s="350">
        <f t="shared" si="73"/>
        <v>2210807.848017476</v>
      </c>
      <c r="V102" s="350">
        <f t="shared" si="74"/>
        <v>10826833.584395323</v>
      </c>
      <c r="W102" s="365"/>
      <c r="X102" s="377">
        <f t="shared" si="52"/>
        <v>0</v>
      </c>
      <c r="Y102" s="377">
        <f t="shared" si="53"/>
        <v>0</v>
      </c>
      <c r="Z102" s="377">
        <f t="shared" si="54"/>
        <v>0</v>
      </c>
      <c r="AA102" s="377">
        <f t="shared" si="55"/>
        <v>0</v>
      </c>
      <c r="AB102" s="377">
        <f t="shared" si="56"/>
        <v>0</v>
      </c>
      <c r="AC102" s="377">
        <f t="shared" si="57"/>
        <v>0</v>
      </c>
      <c r="AD102" s="376"/>
      <c r="AE102" s="332">
        <v>87</v>
      </c>
      <c r="AF102" s="350">
        <v>4144046.9408611106</v>
      </c>
      <c r="AG102" s="350">
        <v>25597.665221217943</v>
      </c>
      <c r="AH102" s="350">
        <v>24508.866238700346</v>
      </c>
      <c r="AI102" s="350">
        <v>23390.769399167191</v>
      </c>
      <c r="AJ102" s="350">
        <v>22243.431813452611</v>
      </c>
      <c r="AK102" s="348">
        <v>4239787.6735336483</v>
      </c>
      <c r="AL102" s="369"/>
      <c r="AM102" s="350">
        <v>5774012.2895701639</v>
      </c>
      <c r="AN102" s="350">
        <v>1675699.5171667761</v>
      </c>
      <c r="AO102" s="350">
        <v>1693462.4594681074</v>
      </c>
      <c r="AP102" s="350">
        <v>1709865.247412666</v>
      </c>
      <c r="AQ102" s="350">
        <v>1724861.9558803346</v>
      </c>
      <c r="AR102" s="348">
        <v>12577901.469498049</v>
      </c>
      <c r="AS102" s="369"/>
      <c r="AT102" s="350">
        <f t="shared" si="75"/>
        <v>1629965.3487090534</v>
      </c>
      <c r="AU102" s="350">
        <f t="shared" si="58"/>
        <v>1650101.8519455581</v>
      </c>
      <c r="AV102" s="350">
        <f t="shared" si="59"/>
        <v>1668953.593229407</v>
      </c>
      <c r="AW102" s="350">
        <f t="shared" si="60"/>
        <v>1686474.4780134987</v>
      </c>
      <c r="AX102" s="350">
        <f t="shared" si="61"/>
        <v>1702618.524066882</v>
      </c>
      <c r="AY102" s="350">
        <f t="shared" si="62"/>
        <v>8338113.7959644012</v>
      </c>
      <c r="AZ102" s="365"/>
      <c r="BA102" s="377">
        <f t="shared" si="63"/>
        <v>0</v>
      </c>
      <c r="BB102" s="377">
        <f t="shared" si="64"/>
        <v>0</v>
      </c>
      <c r="BC102" s="377">
        <f t="shared" si="65"/>
        <v>0</v>
      </c>
      <c r="BD102" s="377">
        <f t="shared" si="66"/>
        <v>0</v>
      </c>
      <c r="BE102" s="377">
        <f t="shared" si="67"/>
        <v>0</v>
      </c>
      <c r="BF102" s="377">
        <f t="shared" si="68"/>
        <v>0</v>
      </c>
      <c r="BG102" s="328"/>
    </row>
    <row r="103" spans="2:59">
      <c r="B103" s="332">
        <v>88</v>
      </c>
      <c r="C103" s="350">
        <v>5296852.6283673858</v>
      </c>
      <c r="D103" s="350">
        <v>32718.514592623342</v>
      </c>
      <c r="E103" s="350">
        <v>31326.829644403209</v>
      </c>
      <c r="F103" s="350">
        <v>29897.696657308228</v>
      </c>
      <c r="G103" s="350">
        <v>28431.18862946903</v>
      </c>
      <c r="H103" s="348">
        <v>5419226.8578911899</v>
      </c>
      <c r="I103" s="369"/>
      <c r="J103" s="350">
        <v>6762965.0152500216</v>
      </c>
      <c r="K103" s="350">
        <v>1516943.1741361017</v>
      </c>
      <c r="L103" s="350">
        <v>1532508.1511392829</v>
      </c>
      <c r="M103" s="350">
        <v>1546838.6085210526</v>
      </c>
      <c r="N103" s="350">
        <v>1559893.2594319689</v>
      </c>
      <c r="O103" s="348">
        <v>12919148.208478428</v>
      </c>
      <c r="P103" s="369"/>
      <c r="Q103" s="350">
        <f t="shared" si="69"/>
        <v>1466112.3868826358</v>
      </c>
      <c r="R103" s="350">
        <f t="shared" si="70"/>
        <v>1484224.6595434784</v>
      </c>
      <c r="S103" s="350">
        <f t="shared" si="71"/>
        <v>1501181.3214948797</v>
      </c>
      <c r="T103" s="350">
        <f t="shared" si="72"/>
        <v>1516940.9118637445</v>
      </c>
      <c r="U103" s="350">
        <f t="shared" si="73"/>
        <v>1531462.0708024998</v>
      </c>
      <c r="V103" s="350">
        <f t="shared" si="74"/>
        <v>7499921.3505872386</v>
      </c>
      <c r="W103" s="365"/>
      <c r="X103" s="377">
        <f t="shared" si="52"/>
        <v>0</v>
      </c>
      <c r="Y103" s="377">
        <f t="shared" si="53"/>
        <v>0</v>
      </c>
      <c r="Z103" s="377">
        <f t="shared" si="54"/>
        <v>0</v>
      </c>
      <c r="AA103" s="377">
        <f t="shared" si="55"/>
        <v>0</v>
      </c>
      <c r="AB103" s="377">
        <f t="shared" si="56"/>
        <v>0</v>
      </c>
      <c r="AC103" s="377">
        <f t="shared" si="57"/>
        <v>0</v>
      </c>
      <c r="AD103" s="376"/>
      <c r="AE103" s="332">
        <v>88</v>
      </c>
      <c r="AF103" s="350">
        <v>4330786.869260422</v>
      </c>
      <c r="AG103" s="350">
        <v>26751.1526789659</v>
      </c>
      <c r="AH103" s="350">
        <v>25613.290004134233</v>
      </c>
      <c r="AI103" s="350">
        <v>24444.809245998182</v>
      </c>
      <c r="AJ103" s="350">
        <v>23245.77008892989</v>
      </c>
      <c r="AK103" s="348">
        <v>4430841.8912784494</v>
      </c>
      <c r="AL103" s="369"/>
      <c r="AM103" s="350">
        <v>6148438.2386133038</v>
      </c>
      <c r="AN103" s="350">
        <v>1866857.6881559631</v>
      </c>
      <c r="AO103" s="350">
        <v>1886742.2928522388</v>
      </c>
      <c r="AP103" s="350">
        <v>1905112.1785049608</v>
      </c>
      <c r="AQ103" s="350">
        <v>1921916.1278402973</v>
      </c>
      <c r="AR103" s="348">
        <v>13729066.525966763</v>
      </c>
      <c r="AS103" s="369"/>
      <c r="AT103" s="350">
        <f t="shared" si="75"/>
        <v>1817651.3693528818</v>
      </c>
      <c r="AU103" s="350">
        <f t="shared" si="58"/>
        <v>1840106.5354769973</v>
      </c>
      <c r="AV103" s="350">
        <f t="shared" si="59"/>
        <v>1861129.0028481046</v>
      </c>
      <c r="AW103" s="350">
        <f t="shared" si="60"/>
        <v>1880667.3692589626</v>
      </c>
      <c r="AX103" s="350">
        <f t="shared" si="61"/>
        <v>1898670.3577513674</v>
      </c>
      <c r="AY103" s="350">
        <f t="shared" si="62"/>
        <v>9298224.6346883141</v>
      </c>
      <c r="AZ103" s="365"/>
      <c r="BA103" s="377">
        <f t="shared" si="63"/>
        <v>0</v>
      </c>
      <c r="BB103" s="377">
        <f t="shared" si="64"/>
        <v>0</v>
      </c>
      <c r="BC103" s="377">
        <f t="shared" si="65"/>
        <v>0</v>
      </c>
      <c r="BD103" s="377">
        <f t="shared" si="66"/>
        <v>0</v>
      </c>
      <c r="BE103" s="377">
        <f t="shared" si="67"/>
        <v>0</v>
      </c>
      <c r="BF103" s="377">
        <f t="shared" si="68"/>
        <v>0</v>
      </c>
      <c r="BG103" s="328"/>
    </row>
    <row r="104" spans="2:59">
      <c r="B104" s="332">
        <v>89</v>
      </c>
      <c r="C104" s="350">
        <v>6307289.0130797448</v>
      </c>
      <c r="D104" s="350">
        <v>38959.952653609456</v>
      </c>
      <c r="E104" s="350">
        <v>37302.787578529438</v>
      </c>
      <c r="F104" s="350">
        <v>35601.030814624224</v>
      </c>
      <c r="G104" s="350">
        <v>33854.769285269096</v>
      </c>
      <c r="H104" s="348">
        <v>6453007.5534117771</v>
      </c>
      <c r="I104" s="369"/>
      <c r="J104" s="350">
        <v>7946797.438168034</v>
      </c>
      <c r="K104" s="350">
        <v>1698722.7756247839</v>
      </c>
      <c r="L104" s="350">
        <v>1716027.7244909194</v>
      </c>
      <c r="M104" s="350">
        <v>1731949.4333063702</v>
      </c>
      <c r="N104" s="350">
        <v>1746441.7375480607</v>
      </c>
      <c r="O104" s="348">
        <v>14839939.109138168</v>
      </c>
      <c r="P104" s="369"/>
      <c r="Q104" s="350">
        <f t="shared" si="69"/>
        <v>1639508.4250882892</v>
      </c>
      <c r="R104" s="350">
        <f t="shared" si="70"/>
        <v>1659762.8229711745</v>
      </c>
      <c r="S104" s="350">
        <f t="shared" si="71"/>
        <v>1678724.9369123899</v>
      </c>
      <c r="T104" s="350">
        <f t="shared" si="72"/>
        <v>1696348.402491746</v>
      </c>
      <c r="U104" s="350">
        <f t="shared" si="73"/>
        <v>1712586.9682627916</v>
      </c>
      <c r="V104" s="350">
        <f t="shared" si="74"/>
        <v>8386931.5557263913</v>
      </c>
      <c r="W104" s="365"/>
      <c r="X104" s="377">
        <f t="shared" si="52"/>
        <v>0</v>
      </c>
      <c r="Y104" s="377">
        <f t="shared" si="53"/>
        <v>0</v>
      </c>
      <c r="Z104" s="377">
        <f t="shared" si="54"/>
        <v>0</v>
      </c>
      <c r="AA104" s="377">
        <f t="shared" si="55"/>
        <v>0</v>
      </c>
      <c r="AB104" s="377">
        <f t="shared" si="56"/>
        <v>0</v>
      </c>
      <c r="AC104" s="377">
        <f t="shared" si="57"/>
        <v>0</v>
      </c>
      <c r="AD104" s="376"/>
      <c r="AE104" s="332">
        <v>89</v>
      </c>
      <c r="AF104" s="350">
        <v>3921944.2884079134</v>
      </c>
      <c r="AG104" s="350">
        <v>24225.743178979093</v>
      </c>
      <c r="AH104" s="350">
        <v>23195.299023386389</v>
      </c>
      <c r="AI104" s="350">
        <v>22137.127246794273</v>
      </c>
      <c r="AJ104" s="350">
        <v>21051.281899145517</v>
      </c>
      <c r="AK104" s="348">
        <v>4012553.7397562186</v>
      </c>
      <c r="AL104" s="369"/>
      <c r="AM104" s="350">
        <v>5499988.3730399739</v>
      </c>
      <c r="AN104" s="350">
        <v>1621764.8985760151</v>
      </c>
      <c r="AO104" s="350">
        <v>1638985.6883141682</v>
      </c>
      <c r="AP104" s="350">
        <v>1654890.2873185365</v>
      </c>
      <c r="AQ104" s="350">
        <v>1669434.2321358987</v>
      </c>
      <c r="AR104" s="348">
        <v>12085063.479384594</v>
      </c>
      <c r="AS104" s="369"/>
      <c r="AT104" s="350">
        <f t="shared" si="75"/>
        <v>1578044.0846320605</v>
      </c>
      <c r="AU104" s="350">
        <f t="shared" si="58"/>
        <v>1597539.1553970361</v>
      </c>
      <c r="AV104" s="350">
        <f t="shared" si="59"/>
        <v>1615790.3892907819</v>
      </c>
      <c r="AW104" s="350">
        <f t="shared" si="60"/>
        <v>1632753.1600717423</v>
      </c>
      <c r="AX104" s="350">
        <f t="shared" si="61"/>
        <v>1648382.9502367531</v>
      </c>
      <c r="AY104" s="350">
        <f t="shared" si="62"/>
        <v>8072509.7396283746</v>
      </c>
      <c r="AZ104" s="365"/>
      <c r="BA104" s="377">
        <f t="shared" si="63"/>
        <v>0</v>
      </c>
      <c r="BB104" s="377">
        <f t="shared" si="64"/>
        <v>0</v>
      </c>
      <c r="BC104" s="377">
        <f t="shared" si="65"/>
        <v>0</v>
      </c>
      <c r="BD104" s="377">
        <f t="shared" si="66"/>
        <v>0</v>
      </c>
      <c r="BE104" s="377">
        <f t="shared" si="67"/>
        <v>0</v>
      </c>
      <c r="BF104" s="377">
        <f t="shared" si="68"/>
        <v>0</v>
      </c>
      <c r="BG104" s="328"/>
    </row>
    <row r="105" spans="2:59">
      <c r="B105" s="332">
        <v>90</v>
      </c>
      <c r="C105" s="350">
        <v>3720415.9943333692</v>
      </c>
      <c r="D105" s="350">
        <v>22980.908388750853</v>
      </c>
      <c r="E105" s="350">
        <v>22003.413392438248</v>
      </c>
      <c r="F105" s="350">
        <v>20999.615553182462</v>
      </c>
      <c r="G105" s="350">
        <v>19969.566143581687</v>
      </c>
      <c r="H105" s="348">
        <v>3806369.4978113221</v>
      </c>
      <c r="I105" s="369"/>
      <c r="J105" s="350">
        <v>5137328.7059269715</v>
      </c>
      <c r="K105" s="350">
        <v>1457398.0825314794</v>
      </c>
      <c r="L105" s="350">
        <v>1472808.2192611506</v>
      </c>
      <c r="M105" s="350">
        <v>1487035.1527921096</v>
      </c>
      <c r="N105" s="350">
        <v>1500038.9624996406</v>
      </c>
      <c r="O105" s="348">
        <v>11054609.123011352</v>
      </c>
      <c r="P105" s="369"/>
      <c r="Q105" s="350">
        <f t="shared" si="69"/>
        <v>1416912.7115936023</v>
      </c>
      <c r="R105" s="350">
        <f t="shared" si="70"/>
        <v>1434417.1741427286</v>
      </c>
      <c r="S105" s="350">
        <f t="shared" si="71"/>
        <v>1450804.8058687123</v>
      </c>
      <c r="T105" s="350">
        <f t="shared" si="72"/>
        <v>1466035.5372389271</v>
      </c>
      <c r="U105" s="350">
        <f t="shared" si="73"/>
        <v>1480069.396356059</v>
      </c>
      <c r="V105" s="350">
        <f t="shared" si="74"/>
        <v>7248239.6252000304</v>
      </c>
      <c r="W105" s="365"/>
      <c r="X105" s="377">
        <f t="shared" si="52"/>
        <v>0</v>
      </c>
      <c r="Y105" s="377">
        <f t="shared" si="53"/>
        <v>0</v>
      </c>
      <c r="Z105" s="377">
        <f t="shared" si="54"/>
        <v>0</v>
      </c>
      <c r="AA105" s="377">
        <f t="shared" si="55"/>
        <v>0</v>
      </c>
      <c r="AB105" s="377">
        <f t="shared" si="56"/>
        <v>0</v>
      </c>
      <c r="AC105" s="377">
        <f t="shared" si="57"/>
        <v>0</v>
      </c>
      <c r="AD105" s="376"/>
      <c r="AE105" s="332">
        <v>90</v>
      </c>
      <c r="AF105" s="350">
        <v>6042073.1679821257</v>
      </c>
      <c r="AG105" s="350">
        <v>37321.721593235117</v>
      </c>
      <c r="AH105" s="350">
        <v>35734.238823014064</v>
      </c>
      <c r="AI105" s="350">
        <v>34104.039404485338</v>
      </c>
      <c r="AJ105" s="350">
        <v>32431.206605970026</v>
      </c>
      <c r="AK105" s="348">
        <v>6181664.37440883</v>
      </c>
      <c r="AL105" s="369"/>
      <c r="AM105" s="350">
        <v>8308857.9013007535</v>
      </c>
      <c r="AN105" s="350">
        <v>2332110.1901784339</v>
      </c>
      <c r="AO105" s="350">
        <v>2356739.7305937326</v>
      </c>
      <c r="AP105" s="350">
        <v>2379475.7388214404</v>
      </c>
      <c r="AQ105" s="350">
        <v>2400254.3508691518</v>
      </c>
      <c r="AR105" s="348">
        <v>17777437.911763512</v>
      </c>
      <c r="AS105" s="369"/>
      <c r="AT105" s="350">
        <f t="shared" si="75"/>
        <v>2266784.7333186278</v>
      </c>
      <c r="AU105" s="350">
        <f t="shared" si="58"/>
        <v>2294788.4685851987</v>
      </c>
      <c r="AV105" s="350">
        <f t="shared" si="59"/>
        <v>2321005.4917707187</v>
      </c>
      <c r="AW105" s="350">
        <f t="shared" si="60"/>
        <v>2345371.699416955</v>
      </c>
      <c r="AX105" s="350">
        <f t="shared" si="61"/>
        <v>2367823.1442631818</v>
      </c>
      <c r="AY105" s="350">
        <f t="shared" si="62"/>
        <v>11595773.537354682</v>
      </c>
      <c r="AZ105" s="365"/>
      <c r="BA105" s="377">
        <f t="shared" si="63"/>
        <v>0</v>
      </c>
      <c r="BB105" s="377">
        <f t="shared" si="64"/>
        <v>0</v>
      </c>
      <c r="BC105" s="377">
        <f t="shared" si="65"/>
        <v>0</v>
      </c>
      <c r="BD105" s="377">
        <f t="shared" si="66"/>
        <v>0</v>
      </c>
      <c r="BE105" s="377">
        <f t="shared" si="67"/>
        <v>0</v>
      </c>
      <c r="BF105" s="377">
        <f t="shared" si="68"/>
        <v>0</v>
      </c>
      <c r="BG105" s="328"/>
    </row>
    <row r="106" spans="2:59">
      <c r="B106" s="332">
        <v>91</v>
      </c>
      <c r="C106" s="350">
        <v>6585921.7123547709</v>
      </c>
      <c r="D106" s="350">
        <v>40681.059257252011</v>
      </c>
      <c r="E106" s="350">
        <v>38950.686758658543</v>
      </c>
      <c r="F106" s="350">
        <v>37173.752675361393</v>
      </c>
      <c r="G106" s="350">
        <v>35350.347770688255</v>
      </c>
      <c r="H106" s="348">
        <v>6738077.558816731</v>
      </c>
      <c r="I106" s="369"/>
      <c r="J106" s="350">
        <v>9251398.2331657149</v>
      </c>
      <c r="K106" s="350">
        <v>2739086.7319858377</v>
      </c>
      <c r="L106" s="350">
        <v>2768184.5447663376</v>
      </c>
      <c r="M106" s="350">
        <v>2795059.4510751194</v>
      </c>
      <c r="N106" s="350">
        <v>2819636.3470972469</v>
      </c>
      <c r="O106" s="348">
        <v>20373365.308090255</v>
      </c>
      <c r="P106" s="369"/>
      <c r="Q106" s="350">
        <f t="shared" si="69"/>
        <v>2665476.520810944</v>
      </c>
      <c r="R106" s="350">
        <f t="shared" si="70"/>
        <v>2698405.6727285855</v>
      </c>
      <c r="S106" s="350">
        <f t="shared" si="71"/>
        <v>2729233.8580076792</v>
      </c>
      <c r="T106" s="350">
        <f t="shared" si="72"/>
        <v>2757885.698399758</v>
      </c>
      <c r="U106" s="350">
        <f t="shared" si="73"/>
        <v>2784285.9993265588</v>
      </c>
      <c r="V106" s="350">
        <f t="shared" si="74"/>
        <v>13635287.749273524</v>
      </c>
      <c r="W106" s="365"/>
      <c r="X106" s="377">
        <f t="shared" si="52"/>
        <v>0</v>
      </c>
      <c r="Y106" s="377">
        <f t="shared" si="53"/>
        <v>0</v>
      </c>
      <c r="Z106" s="377">
        <f t="shared" si="54"/>
        <v>0</v>
      </c>
      <c r="AA106" s="377">
        <f t="shared" si="55"/>
        <v>0</v>
      </c>
      <c r="AB106" s="377">
        <f t="shared" si="56"/>
        <v>0</v>
      </c>
      <c r="AC106" s="377">
        <f t="shared" si="57"/>
        <v>0</v>
      </c>
      <c r="AD106" s="376"/>
      <c r="AE106" s="332">
        <v>91</v>
      </c>
      <c r="AF106" s="350">
        <v>4632292.9272462456</v>
      </c>
      <c r="AG106" s="350">
        <v>28613.547397131333</v>
      </c>
      <c r="AH106" s="350">
        <v>27396.467596180297</v>
      </c>
      <c r="AI106" s="350">
        <v>26146.638104466096</v>
      </c>
      <c r="AJ106" s="350">
        <v>24864.12276153588</v>
      </c>
      <c r="AK106" s="348">
        <v>4739313.7031055586</v>
      </c>
      <c r="AL106" s="369"/>
      <c r="AM106" s="350">
        <v>6594826.3056434346</v>
      </c>
      <c r="AN106" s="350">
        <v>2015391.9563755793</v>
      </c>
      <c r="AO106" s="350">
        <v>2036873.010335424</v>
      </c>
      <c r="AP106" s="350">
        <v>2056718.9183911807</v>
      </c>
      <c r="AQ106" s="350">
        <v>2074874.3802219559</v>
      </c>
      <c r="AR106" s="348">
        <v>14778684.570967576</v>
      </c>
      <c r="AS106" s="369"/>
      <c r="AT106" s="350">
        <f t="shared" si="75"/>
        <v>1962533.3783971891</v>
      </c>
      <c r="AU106" s="350">
        <f t="shared" si="58"/>
        <v>1986778.408978448</v>
      </c>
      <c r="AV106" s="350">
        <f t="shared" si="59"/>
        <v>2009476.5427392437</v>
      </c>
      <c r="AW106" s="350">
        <f t="shared" si="60"/>
        <v>2030572.2802867147</v>
      </c>
      <c r="AX106" s="350">
        <f t="shared" si="61"/>
        <v>2050010.25746042</v>
      </c>
      <c r="AY106" s="350">
        <f t="shared" si="62"/>
        <v>10039370.867862016</v>
      </c>
      <c r="AZ106" s="365"/>
      <c r="BA106" s="377">
        <f t="shared" si="63"/>
        <v>0</v>
      </c>
      <c r="BB106" s="377">
        <f t="shared" si="64"/>
        <v>0</v>
      </c>
      <c r="BC106" s="377">
        <f t="shared" si="65"/>
        <v>0</v>
      </c>
      <c r="BD106" s="377">
        <f t="shared" si="66"/>
        <v>0</v>
      </c>
      <c r="BE106" s="377">
        <f t="shared" si="67"/>
        <v>0</v>
      </c>
      <c r="BF106" s="377">
        <f t="shared" si="68"/>
        <v>0</v>
      </c>
      <c r="BG106" s="328"/>
    </row>
    <row r="107" spans="2:59">
      <c r="B107" s="332">
        <v>92</v>
      </c>
      <c r="C107" s="350">
        <v>6813815.8774551498</v>
      </c>
      <c r="D107" s="350">
        <v>42088.755315565337</v>
      </c>
      <c r="E107" s="350">
        <v>40298.5063390656</v>
      </c>
      <c r="F107" s="350">
        <v>38460.084596633395</v>
      </c>
      <c r="G107" s="350">
        <v>36573.583992294407</v>
      </c>
      <c r="H107" s="348">
        <v>6971236.807698708</v>
      </c>
      <c r="I107" s="369"/>
      <c r="J107" s="350">
        <v>9289793.0370388255</v>
      </c>
      <c r="K107" s="350">
        <v>2548654.0020183697</v>
      </c>
      <c r="L107" s="350">
        <v>2575500.2396237198</v>
      </c>
      <c r="M107" s="350">
        <v>2600276.6846178528</v>
      </c>
      <c r="N107" s="350">
        <v>2622913.5822091252</v>
      </c>
      <c r="O107" s="348">
        <v>19637137.545507893</v>
      </c>
      <c r="P107" s="369"/>
      <c r="Q107" s="350">
        <f t="shared" si="69"/>
        <v>2475977.1595836757</v>
      </c>
      <c r="R107" s="350">
        <f t="shared" si="70"/>
        <v>2506565.2467028042</v>
      </c>
      <c r="S107" s="350">
        <f t="shared" si="71"/>
        <v>2535201.7332846541</v>
      </c>
      <c r="T107" s="350">
        <f t="shared" si="72"/>
        <v>2561816.6000212193</v>
      </c>
      <c r="U107" s="350">
        <f t="shared" si="73"/>
        <v>2586339.9982168307</v>
      </c>
      <c r="V107" s="350">
        <f t="shared" si="74"/>
        <v>12665900.737809185</v>
      </c>
      <c r="W107" s="365"/>
      <c r="X107" s="377">
        <f t="shared" si="52"/>
        <v>0</v>
      </c>
      <c r="Y107" s="377">
        <f t="shared" si="53"/>
        <v>0</v>
      </c>
      <c r="Z107" s="377">
        <f t="shared" si="54"/>
        <v>0</v>
      </c>
      <c r="AA107" s="377">
        <f t="shared" si="55"/>
        <v>0</v>
      </c>
      <c r="AB107" s="377">
        <f t="shared" si="56"/>
        <v>0</v>
      </c>
      <c r="AC107" s="377">
        <f t="shared" si="57"/>
        <v>0</v>
      </c>
      <c r="AD107" s="376"/>
      <c r="AE107" s="332">
        <v>92</v>
      </c>
      <c r="AF107" s="350">
        <v>5766494.6892494597</v>
      </c>
      <c r="AG107" s="350">
        <v>35619.480826795618</v>
      </c>
      <c r="AH107" s="350">
        <v>34104.403020015903</v>
      </c>
      <c r="AI107" s="350">
        <v>32548.556867873554</v>
      </c>
      <c r="AJ107" s="350">
        <v>30952.021840828922</v>
      </c>
      <c r="AK107" s="348">
        <v>5899719.1518049734</v>
      </c>
      <c r="AL107" s="369"/>
      <c r="AM107" s="350">
        <v>7471633.1944114175</v>
      </c>
      <c r="AN107" s="350">
        <v>1761823.1743101359</v>
      </c>
      <c r="AO107" s="350">
        <v>1780029.2703172048</v>
      </c>
      <c r="AP107" s="350">
        <v>1796802.3630676735</v>
      </c>
      <c r="AQ107" s="350">
        <v>1812094.4291244054</v>
      </c>
      <c r="AR107" s="348">
        <v>14622382.431230837</v>
      </c>
      <c r="AS107" s="369"/>
      <c r="AT107" s="350">
        <f t="shared" si="75"/>
        <v>1705138.5051619578</v>
      </c>
      <c r="AU107" s="350">
        <f t="shared" si="58"/>
        <v>1726203.6934833403</v>
      </c>
      <c r="AV107" s="350">
        <f t="shared" si="59"/>
        <v>1745924.8672971888</v>
      </c>
      <c r="AW107" s="350">
        <f t="shared" si="60"/>
        <v>1764253.8061998</v>
      </c>
      <c r="AX107" s="350">
        <f t="shared" si="61"/>
        <v>1781142.4072835764</v>
      </c>
      <c r="AY107" s="350">
        <f t="shared" si="62"/>
        <v>8722663.2794258632</v>
      </c>
      <c r="AZ107" s="365"/>
      <c r="BA107" s="377">
        <f t="shared" si="63"/>
        <v>0</v>
      </c>
      <c r="BB107" s="377">
        <f t="shared" si="64"/>
        <v>0</v>
      </c>
      <c r="BC107" s="377">
        <f t="shared" si="65"/>
        <v>0</v>
      </c>
      <c r="BD107" s="377">
        <f t="shared" si="66"/>
        <v>0</v>
      </c>
      <c r="BE107" s="377">
        <f t="shared" si="67"/>
        <v>0</v>
      </c>
      <c r="BF107" s="377">
        <f t="shared" si="68"/>
        <v>0</v>
      </c>
      <c r="BG107" s="328"/>
    </row>
    <row r="108" spans="2:59">
      <c r="B108" s="332">
        <v>93</v>
      </c>
      <c r="C108" s="350">
        <v>5339857.7522116546</v>
      </c>
      <c r="D108" s="350">
        <v>32984.156072720361</v>
      </c>
      <c r="E108" s="350">
        <v>31581.172040354395</v>
      </c>
      <c r="F108" s="350">
        <v>30140.435928648723</v>
      </c>
      <c r="G108" s="350">
        <v>28662.02132840165</v>
      </c>
      <c r="H108" s="348">
        <v>5463225.5375817791</v>
      </c>
      <c r="I108" s="369"/>
      <c r="J108" s="350">
        <v>7240846.89892432</v>
      </c>
      <c r="K108" s="350">
        <v>1957458.0192768488</v>
      </c>
      <c r="L108" s="350">
        <v>1978041.3649573289</v>
      </c>
      <c r="M108" s="350">
        <v>1997034.8128248965</v>
      </c>
      <c r="N108" s="350">
        <v>2014384.8085070013</v>
      </c>
      <c r="O108" s="348">
        <v>15187765.904490395</v>
      </c>
      <c r="P108" s="369"/>
      <c r="Q108" s="350">
        <f t="shared" si="69"/>
        <v>1900989.1467126654</v>
      </c>
      <c r="R108" s="350">
        <f t="shared" si="70"/>
        <v>1924473.8632041283</v>
      </c>
      <c r="S108" s="350">
        <f t="shared" si="71"/>
        <v>1946460.1929169744</v>
      </c>
      <c r="T108" s="350">
        <f t="shared" si="72"/>
        <v>1966894.3768962477</v>
      </c>
      <c r="U108" s="350">
        <f t="shared" si="73"/>
        <v>1985722.7871785995</v>
      </c>
      <c r="V108" s="350">
        <f t="shared" si="74"/>
        <v>9724540.3669086155</v>
      </c>
      <c r="W108" s="365"/>
      <c r="X108" s="377">
        <f t="shared" si="52"/>
        <v>0</v>
      </c>
      <c r="Y108" s="377">
        <f t="shared" si="53"/>
        <v>0</v>
      </c>
      <c r="Z108" s="377">
        <f t="shared" si="54"/>
        <v>0</v>
      </c>
      <c r="AA108" s="377">
        <f t="shared" si="55"/>
        <v>0</v>
      </c>
      <c r="AB108" s="377">
        <f t="shared" si="56"/>
        <v>0</v>
      </c>
      <c r="AC108" s="377">
        <f t="shared" si="57"/>
        <v>0</v>
      </c>
      <c r="AD108" s="376"/>
      <c r="AE108" s="332">
        <v>93</v>
      </c>
      <c r="AF108" s="350">
        <v>7314249.3287609322</v>
      </c>
      <c r="AG108" s="350">
        <v>45179.919130750241</v>
      </c>
      <c r="AH108" s="350">
        <v>43258.18722455221</v>
      </c>
      <c r="AI108" s="350">
        <v>41284.744554922967</v>
      </c>
      <c r="AJ108" s="350">
        <v>39259.691922572849</v>
      </c>
      <c r="AK108" s="348">
        <v>7483231.8715937296</v>
      </c>
      <c r="AL108" s="369"/>
      <c r="AM108" s="350">
        <v>9761981.1223444939</v>
      </c>
      <c r="AN108" s="350">
        <v>2523150.8581186165</v>
      </c>
      <c r="AO108" s="350">
        <v>2549538.9344800813</v>
      </c>
      <c r="AP108" s="350">
        <v>2573876.7423972851</v>
      </c>
      <c r="AQ108" s="350">
        <v>2596095.3307927875</v>
      </c>
      <c r="AR108" s="348">
        <v>20004642.988133267</v>
      </c>
      <c r="AS108" s="369"/>
      <c r="AT108" s="350">
        <f t="shared" si="75"/>
        <v>2447731.7935835617</v>
      </c>
      <c r="AU108" s="350">
        <f t="shared" si="58"/>
        <v>2477970.938987866</v>
      </c>
      <c r="AV108" s="350">
        <f t="shared" si="59"/>
        <v>2506280.7472555293</v>
      </c>
      <c r="AW108" s="350">
        <f t="shared" si="60"/>
        <v>2532591.9978423622</v>
      </c>
      <c r="AX108" s="350">
        <f t="shared" si="61"/>
        <v>2556835.6388702146</v>
      </c>
      <c r="AY108" s="350">
        <f t="shared" si="62"/>
        <v>12521411.116539538</v>
      </c>
      <c r="AZ108" s="365"/>
      <c r="BA108" s="377">
        <f t="shared" si="63"/>
        <v>0</v>
      </c>
      <c r="BB108" s="377">
        <f t="shared" si="64"/>
        <v>0</v>
      </c>
      <c r="BC108" s="377">
        <f t="shared" si="65"/>
        <v>0</v>
      </c>
      <c r="BD108" s="377">
        <f t="shared" si="66"/>
        <v>0</v>
      </c>
      <c r="BE108" s="377">
        <f t="shared" si="67"/>
        <v>0</v>
      </c>
      <c r="BF108" s="377">
        <f t="shared" si="68"/>
        <v>0</v>
      </c>
      <c r="BG108" s="328"/>
    </row>
    <row r="109" spans="2:59">
      <c r="B109" s="332">
        <v>94</v>
      </c>
      <c r="C109" s="350">
        <v>5811305.3308102479</v>
      </c>
      <c r="D109" s="350">
        <v>35896.274940710013</v>
      </c>
      <c r="E109" s="350">
        <v>34369.423671508579</v>
      </c>
      <c r="F109" s="350">
        <v>32801.487251708626</v>
      </c>
      <c r="G109" s="350">
        <v>31192.545769322292</v>
      </c>
      <c r="H109" s="348">
        <v>5945565.0624434967</v>
      </c>
      <c r="I109" s="369"/>
      <c r="J109" s="350">
        <v>8303188.4651173698</v>
      </c>
      <c r="K109" s="350">
        <v>2558563.9979132945</v>
      </c>
      <c r="L109" s="350">
        <v>2585857.5974559784</v>
      </c>
      <c r="M109" s="350">
        <v>2611075.5048740227</v>
      </c>
      <c r="N109" s="350">
        <v>2634147.5028433604</v>
      </c>
      <c r="O109" s="348">
        <v>18692833.068204027</v>
      </c>
      <c r="P109" s="369"/>
      <c r="Q109" s="350">
        <f t="shared" si="69"/>
        <v>2491883.1343071219</v>
      </c>
      <c r="R109" s="350">
        <f t="shared" si="70"/>
        <v>2522667.7229725844</v>
      </c>
      <c r="S109" s="350">
        <f t="shared" si="71"/>
        <v>2551488.1737844697</v>
      </c>
      <c r="T109" s="350">
        <f t="shared" si="72"/>
        <v>2578274.0176223139</v>
      </c>
      <c r="U109" s="350">
        <f t="shared" si="73"/>
        <v>2602954.9570740382</v>
      </c>
      <c r="V109" s="350">
        <f t="shared" si="74"/>
        <v>12747268.00576053</v>
      </c>
      <c r="W109" s="365"/>
      <c r="X109" s="377">
        <f t="shared" si="52"/>
        <v>0</v>
      </c>
      <c r="Y109" s="377">
        <f t="shared" si="53"/>
        <v>0</v>
      </c>
      <c r="Z109" s="377">
        <f t="shared" si="54"/>
        <v>0</v>
      </c>
      <c r="AA109" s="377">
        <f t="shared" si="55"/>
        <v>0</v>
      </c>
      <c r="AB109" s="377">
        <f t="shared" si="56"/>
        <v>0</v>
      </c>
      <c r="AC109" s="377">
        <f t="shared" si="57"/>
        <v>0</v>
      </c>
      <c r="AD109" s="376"/>
      <c r="AE109" s="332">
        <v>94</v>
      </c>
      <c r="AF109" s="350">
        <v>5219853.8236895204</v>
      </c>
      <c r="AG109" s="350">
        <v>32242.895070762883</v>
      </c>
      <c r="AH109" s="350">
        <v>30871.440641498622</v>
      </c>
      <c r="AI109" s="350">
        <v>29463.082544597884</v>
      </c>
      <c r="AJ109" s="350">
        <v>28017.892717040882</v>
      </c>
      <c r="AK109" s="348">
        <v>5340449.1346634207</v>
      </c>
      <c r="AL109" s="369"/>
      <c r="AM109" s="350">
        <v>7776282.7996053565</v>
      </c>
      <c r="AN109" s="350">
        <v>2620253.8554675546</v>
      </c>
      <c r="AO109" s="350">
        <v>2648449.3717120355</v>
      </c>
      <c r="AP109" s="350">
        <v>2674520.6760393754</v>
      </c>
      <c r="AQ109" s="350">
        <v>2698395.7221003138</v>
      </c>
      <c r="AR109" s="348">
        <v>18417902.424924634</v>
      </c>
      <c r="AS109" s="369"/>
      <c r="AT109" s="350">
        <f t="shared" si="75"/>
        <v>2556428.9759158362</v>
      </c>
      <c r="AU109" s="350">
        <f t="shared" si="58"/>
        <v>2588010.9603967918</v>
      </c>
      <c r="AV109" s="350">
        <f t="shared" si="59"/>
        <v>2617577.9310705368</v>
      </c>
      <c r="AW109" s="350">
        <f t="shared" si="60"/>
        <v>2645057.5934947776</v>
      </c>
      <c r="AX109" s="350">
        <f t="shared" si="61"/>
        <v>2670377.8293832727</v>
      </c>
      <c r="AY109" s="350">
        <f t="shared" si="62"/>
        <v>13077453.290261213</v>
      </c>
      <c r="AZ109" s="365"/>
      <c r="BA109" s="377">
        <f t="shared" si="63"/>
        <v>0</v>
      </c>
      <c r="BB109" s="377">
        <f t="shared" si="64"/>
        <v>0</v>
      </c>
      <c r="BC109" s="377">
        <f t="shared" si="65"/>
        <v>0</v>
      </c>
      <c r="BD109" s="377">
        <f t="shared" si="66"/>
        <v>0</v>
      </c>
      <c r="BE109" s="377">
        <f t="shared" si="67"/>
        <v>0</v>
      </c>
      <c r="BF109" s="377">
        <f t="shared" si="68"/>
        <v>0</v>
      </c>
      <c r="BG109" s="328"/>
    </row>
    <row r="110" spans="2:59">
      <c r="B110" s="332">
        <v>95</v>
      </c>
      <c r="C110" s="350">
        <v>5591967.6340457406</v>
      </c>
      <c r="D110" s="350">
        <v>34541.431954544882</v>
      </c>
      <c r="E110" s="350">
        <v>33072.209053088052</v>
      </c>
      <c r="F110" s="350">
        <v>31563.451689181631</v>
      </c>
      <c r="G110" s="350">
        <v>30015.236928054499</v>
      </c>
      <c r="H110" s="348">
        <v>5721159.9636706095</v>
      </c>
      <c r="I110" s="369"/>
      <c r="J110" s="350">
        <v>7709326.9754968211</v>
      </c>
      <c r="K110" s="350">
        <v>2178058.5155108436</v>
      </c>
      <c r="L110" s="350">
        <v>2201078.1018602038</v>
      </c>
      <c r="M110" s="350">
        <v>2222329.3431045301</v>
      </c>
      <c r="N110" s="350">
        <v>2241752.5844219089</v>
      </c>
      <c r="O110" s="348">
        <v>16552545.520394308</v>
      </c>
      <c r="P110" s="369"/>
      <c r="Q110" s="350">
        <f t="shared" si="69"/>
        <v>2117359.3414510805</v>
      </c>
      <c r="R110" s="350">
        <f t="shared" si="70"/>
        <v>2143517.0835562986</v>
      </c>
      <c r="S110" s="350">
        <f t="shared" si="71"/>
        <v>2168005.8928071158</v>
      </c>
      <c r="T110" s="350">
        <f t="shared" si="72"/>
        <v>2190765.8914153483</v>
      </c>
      <c r="U110" s="350">
        <f t="shared" si="73"/>
        <v>2211737.3474938544</v>
      </c>
      <c r="V110" s="350">
        <f t="shared" si="74"/>
        <v>10831385.556723699</v>
      </c>
      <c r="W110" s="365"/>
      <c r="X110" s="377">
        <f t="shared" si="52"/>
        <v>0</v>
      </c>
      <c r="Y110" s="377">
        <f t="shared" si="53"/>
        <v>0</v>
      </c>
      <c r="Z110" s="377">
        <f t="shared" si="54"/>
        <v>0</v>
      </c>
      <c r="AA110" s="377">
        <f t="shared" si="55"/>
        <v>0</v>
      </c>
      <c r="AB110" s="377">
        <f t="shared" si="56"/>
        <v>0</v>
      </c>
      <c r="AC110" s="377">
        <f t="shared" si="57"/>
        <v>0</v>
      </c>
      <c r="AD110" s="376"/>
      <c r="AE110" s="332">
        <v>95</v>
      </c>
      <c r="AF110" s="350">
        <v>7218767.4113989286</v>
      </c>
      <c r="AG110" s="350">
        <v>44590.129924646593</v>
      </c>
      <c r="AH110" s="350">
        <v>42693.484755146128</v>
      </c>
      <c r="AI110" s="350">
        <v>40745.803866587201</v>
      </c>
      <c r="AJ110" s="350">
        <v>38747.186743800696</v>
      </c>
      <c r="AK110" s="348">
        <v>7385544.0166891096</v>
      </c>
      <c r="AL110" s="369"/>
      <c r="AM110" s="350">
        <v>9700643.7937077731</v>
      </c>
      <c r="AN110" s="350">
        <v>2557127.4780292041</v>
      </c>
      <c r="AO110" s="350">
        <v>2583935.548266591</v>
      </c>
      <c r="AP110" s="350">
        <v>2608666.1462612217</v>
      </c>
      <c r="AQ110" s="350">
        <v>2631249.3563818932</v>
      </c>
      <c r="AR110" s="348">
        <v>20081622.322646685</v>
      </c>
      <c r="AS110" s="369"/>
      <c r="AT110" s="350">
        <f t="shared" si="75"/>
        <v>2481876.3823088445</v>
      </c>
      <c r="AU110" s="350">
        <f t="shared" si="58"/>
        <v>2512537.3481045575</v>
      </c>
      <c r="AV110" s="350">
        <f t="shared" si="59"/>
        <v>2541242.0635114447</v>
      </c>
      <c r="AW110" s="350">
        <f t="shared" si="60"/>
        <v>2567920.3423946346</v>
      </c>
      <c r="AX110" s="350">
        <f t="shared" si="61"/>
        <v>2592502.1696380926</v>
      </c>
      <c r="AY110" s="350">
        <f t="shared" si="62"/>
        <v>12696078.305957574</v>
      </c>
      <c r="AZ110" s="365"/>
      <c r="BA110" s="377">
        <f t="shared" si="63"/>
        <v>0</v>
      </c>
      <c r="BB110" s="377">
        <f t="shared" si="64"/>
        <v>0</v>
      </c>
      <c r="BC110" s="377">
        <f t="shared" si="65"/>
        <v>0</v>
      </c>
      <c r="BD110" s="377">
        <f t="shared" si="66"/>
        <v>0</v>
      </c>
      <c r="BE110" s="377">
        <f t="shared" si="67"/>
        <v>0</v>
      </c>
      <c r="BF110" s="377">
        <f t="shared" si="68"/>
        <v>0</v>
      </c>
      <c r="BG110" s="328"/>
    </row>
    <row r="111" spans="2:59">
      <c r="B111" s="332">
        <v>96</v>
      </c>
      <c r="C111" s="350">
        <v>6579018.3649388328</v>
      </c>
      <c r="D111" s="350">
        <v>40638.417468061132</v>
      </c>
      <c r="E111" s="350">
        <v>38909.858741786484</v>
      </c>
      <c r="F111" s="350">
        <v>37134.787236554745</v>
      </c>
      <c r="G111" s="350">
        <v>35313.293620547491</v>
      </c>
      <c r="H111" s="348">
        <v>6731014.7220057817</v>
      </c>
      <c r="I111" s="369"/>
      <c r="J111" s="350">
        <v>8541013.3601639196</v>
      </c>
      <c r="K111" s="350">
        <v>2026871.7921179913</v>
      </c>
      <c r="L111" s="350">
        <v>2047835.1403573973</v>
      </c>
      <c r="M111" s="350">
        <v>2067150.0191910064</v>
      </c>
      <c r="N111" s="350">
        <v>2084761.1703146549</v>
      </c>
      <c r="O111" s="348">
        <v>16767631.482144969</v>
      </c>
      <c r="P111" s="369"/>
      <c r="Q111" s="350">
        <f t="shared" si="69"/>
        <v>1961994.9952250868</v>
      </c>
      <c r="R111" s="350">
        <f t="shared" si="70"/>
        <v>1986233.37464993</v>
      </c>
      <c r="S111" s="350">
        <f t="shared" si="71"/>
        <v>2008925.2816156107</v>
      </c>
      <c r="T111" s="350">
        <f t="shared" si="72"/>
        <v>2030015.2319544517</v>
      </c>
      <c r="U111" s="350">
        <f t="shared" si="73"/>
        <v>2049447.8766941074</v>
      </c>
      <c r="V111" s="350">
        <f t="shared" si="74"/>
        <v>10036616.760139186</v>
      </c>
      <c r="W111" s="365"/>
      <c r="X111" s="377">
        <f t="shared" si="52"/>
        <v>0</v>
      </c>
      <c r="Y111" s="377">
        <f t="shared" si="53"/>
        <v>0</v>
      </c>
      <c r="Z111" s="377">
        <f t="shared" si="54"/>
        <v>0</v>
      </c>
      <c r="AA111" s="377">
        <f t="shared" si="55"/>
        <v>0</v>
      </c>
      <c r="AB111" s="377">
        <f t="shared" si="56"/>
        <v>0</v>
      </c>
      <c r="AC111" s="377">
        <f t="shared" si="57"/>
        <v>0</v>
      </c>
      <c r="AD111" s="376"/>
      <c r="AE111" s="332">
        <v>96</v>
      </c>
      <c r="AF111" s="350">
        <v>6227976.673387385</v>
      </c>
      <c r="AG111" s="350">
        <v>38470.042488900879</v>
      </c>
      <c r="AH111" s="350">
        <v>36833.715786549023</v>
      </c>
      <c r="AI111" s="350">
        <v>35153.358122996098</v>
      </c>
      <c r="AJ111" s="350">
        <v>33429.055328576789</v>
      </c>
      <c r="AK111" s="348">
        <v>6371862.8451144081</v>
      </c>
      <c r="AL111" s="369"/>
      <c r="AM111" s="350">
        <v>8859337.1892819032</v>
      </c>
      <c r="AN111" s="350">
        <v>2702338.2430324769</v>
      </c>
      <c r="AO111" s="350">
        <v>2731135.5250626453</v>
      </c>
      <c r="AP111" s="350">
        <v>2757740.2867489699</v>
      </c>
      <c r="AQ111" s="350">
        <v>2782078.3817750276</v>
      </c>
      <c r="AR111" s="348">
        <v>19832629.625901025</v>
      </c>
      <c r="AS111" s="369"/>
      <c r="AT111" s="350">
        <f t="shared" si="75"/>
        <v>2631360.5158945182</v>
      </c>
      <c r="AU111" s="350">
        <f t="shared" si="58"/>
        <v>2663868.2005435759</v>
      </c>
      <c r="AV111" s="350">
        <f t="shared" si="59"/>
        <v>2694301.8092760965</v>
      </c>
      <c r="AW111" s="350">
        <f t="shared" si="60"/>
        <v>2722586.9286259739</v>
      </c>
      <c r="AX111" s="350">
        <f t="shared" si="61"/>
        <v>2748649.3264464508</v>
      </c>
      <c r="AY111" s="350">
        <f t="shared" si="62"/>
        <v>13460766.780786617</v>
      </c>
      <c r="AZ111" s="365"/>
      <c r="BA111" s="377">
        <f t="shared" si="63"/>
        <v>0</v>
      </c>
      <c r="BB111" s="377">
        <f t="shared" si="64"/>
        <v>0</v>
      </c>
      <c r="BC111" s="377">
        <f t="shared" si="65"/>
        <v>0</v>
      </c>
      <c r="BD111" s="377">
        <f t="shared" si="66"/>
        <v>0</v>
      </c>
      <c r="BE111" s="377">
        <f t="shared" si="67"/>
        <v>0</v>
      </c>
      <c r="BF111" s="377">
        <f t="shared" si="68"/>
        <v>0</v>
      </c>
      <c r="BG111" s="328"/>
    </row>
    <row r="112" spans="2:59">
      <c r="B112" s="332">
        <v>97</v>
      </c>
      <c r="C112" s="350">
        <v>6827097.1963048745</v>
      </c>
      <c r="D112" s="350">
        <v>42170.793660801923</v>
      </c>
      <c r="E112" s="350">
        <v>40377.05517594023</v>
      </c>
      <c r="F112" s="350">
        <v>38535.050028002493</v>
      </c>
      <c r="G112" s="350">
        <v>36644.872304044031</v>
      </c>
      <c r="H112" s="348">
        <v>6984824.9674736634</v>
      </c>
      <c r="I112" s="369"/>
      <c r="J112" s="350">
        <v>8419946.9808114916</v>
      </c>
      <c r="K112" s="350">
        <v>1654698.5577431107</v>
      </c>
      <c r="L112" s="350">
        <v>1671327.2918987479</v>
      </c>
      <c r="M112" s="350">
        <v>1686607.207517291</v>
      </c>
      <c r="N112" s="350">
        <v>1700493.4635055959</v>
      </c>
      <c r="O112" s="348">
        <v>15133073.501476236</v>
      </c>
      <c r="P112" s="369"/>
      <c r="Q112" s="350">
        <f t="shared" si="69"/>
        <v>1592849.7845066171</v>
      </c>
      <c r="R112" s="350">
        <f t="shared" si="70"/>
        <v>1612527.7640823089</v>
      </c>
      <c r="S112" s="350">
        <f t="shared" si="71"/>
        <v>1630950.2367228076</v>
      </c>
      <c r="T112" s="350">
        <f t="shared" si="72"/>
        <v>1648072.1574892884</v>
      </c>
      <c r="U112" s="350">
        <f t="shared" si="73"/>
        <v>1663848.591201552</v>
      </c>
      <c r="V112" s="350">
        <f t="shared" si="74"/>
        <v>8148248.5340025723</v>
      </c>
      <c r="W112" s="365"/>
      <c r="X112" s="377">
        <f t="shared" si="52"/>
        <v>0</v>
      </c>
      <c r="Y112" s="377">
        <f t="shared" si="53"/>
        <v>0</v>
      </c>
      <c r="Z112" s="377">
        <f t="shared" si="54"/>
        <v>0</v>
      </c>
      <c r="AA112" s="377">
        <f t="shared" si="55"/>
        <v>0</v>
      </c>
      <c r="AB112" s="377">
        <f t="shared" si="56"/>
        <v>0</v>
      </c>
      <c r="AC112" s="377">
        <f t="shared" si="57"/>
        <v>0</v>
      </c>
      <c r="AD112" s="376"/>
      <c r="AE112" s="332">
        <v>97</v>
      </c>
      <c r="AF112" s="350">
        <v>6773180.1578177586</v>
      </c>
      <c r="AG112" s="350">
        <v>41837.749580797361</v>
      </c>
      <c r="AH112" s="350">
        <v>40058.177155706035</v>
      </c>
      <c r="AI112" s="350">
        <v>38230.719253776057</v>
      </c>
      <c r="AJ112" s="350">
        <v>36355.469219018545</v>
      </c>
      <c r="AK112" s="348">
        <v>6929662.2730270568</v>
      </c>
      <c r="AL112" s="369"/>
      <c r="AM112" s="350">
        <v>8711528.2111645192</v>
      </c>
      <c r="AN112" s="350">
        <v>2004132.049318996</v>
      </c>
      <c r="AO112" s="350">
        <v>2024770.889683286</v>
      </c>
      <c r="AP112" s="350">
        <v>2043779.1955238492</v>
      </c>
      <c r="AQ112" s="350">
        <v>2061102.378305777</v>
      </c>
      <c r="AR112" s="348">
        <v>16845312.723996427</v>
      </c>
      <c r="AS112" s="369"/>
      <c r="AT112" s="350">
        <f t="shared" si="75"/>
        <v>1938348.0533467606</v>
      </c>
      <c r="AU112" s="350">
        <f t="shared" si="58"/>
        <v>1962294.2997381988</v>
      </c>
      <c r="AV112" s="350">
        <f t="shared" si="59"/>
        <v>1984712.7125275799</v>
      </c>
      <c r="AW112" s="350">
        <f t="shared" si="60"/>
        <v>2005548.4762700731</v>
      </c>
      <c r="AX112" s="350">
        <f t="shared" si="61"/>
        <v>2024746.9090867585</v>
      </c>
      <c r="AY112" s="350">
        <f t="shared" si="62"/>
        <v>9915650.4509693701</v>
      </c>
      <c r="AZ112" s="365"/>
      <c r="BA112" s="377">
        <f t="shared" si="63"/>
        <v>0</v>
      </c>
      <c r="BB112" s="377">
        <f t="shared" si="64"/>
        <v>0</v>
      </c>
      <c r="BC112" s="377">
        <f t="shared" si="65"/>
        <v>0</v>
      </c>
      <c r="BD112" s="377">
        <f t="shared" si="66"/>
        <v>0</v>
      </c>
      <c r="BE112" s="377">
        <f t="shared" si="67"/>
        <v>0</v>
      </c>
      <c r="BF112" s="377">
        <f t="shared" si="68"/>
        <v>0</v>
      </c>
      <c r="BG112" s="328"/>
    </row>
    <row r="113" spans="2:59">
      <c r="B113" s="332">
        <v>98</v>
      </c>
      <c r="C113" s="350">
        <v>6340801.6755305687</v>
      </c>
      <c r="D113" s="350">
        <v>39166.959457907979</v>
      </c>
      <c r="E113" s="350">
        <v>37500.989329868265</v>
      </c>
      <c r="F113" s="350">
        <v>35790.190582968586</v>
      </c>
      <c r="G113" s="350">
        <v>34034.650602433918</v>
      </c>
      <c r="H113" s="348">
        <v>6487294.4655037466</v>
      </c>
      <c r="I113" s="369"/>
      <c r="J113" s="350">
        <v>8432198.8056867328</v>
      </c>
      <c r="K113" s="350">
        <v>2156401.0959734791</v>
      </c>
      <c r="L113" s="350">
        <v>2178923.6631359505</v>
      </c>
      <c r="M113" s="350">
        <v>2199693.7890199134</v>
      </c>
      <c r="N113" s="350">
        <v>2218652.5615319065</v>
      </c>
      <c r="O113" s="348">
        <v>17185869.915347978</v>
      </c>
      <c r="P113" s="369"/>
      <c r="Q113" s="350">
        <f t="shared" si="69"/>
        <v>2091397.1301561641</v>
      </c>
      <c r="R113" s="350">
        <f t="shared" si="70"/>
        <v>2117234.1365155713</v>
      </c>
      <c r="S113" s="350">
        <f t="shared" si="71"/>
        <v>2141422.673806082</v>
      </c>
      <c r="T113" s="350">
        <f t="shared" si="72"/>
        <v>2163903.5984369447</v>
      </c>
      <c r="U113" s="350">
        <f t="shared" si="73"/>
        <v>2184617.9109294727</v>
      </c>
      <c r="V113" s="350">
        <f t="shared" si="74"/>
        <v>10698575.449844232</v>
      </c>
      <c r="W113" s="365"/>
      <c r="X113" s="377">
        <f t="shared" si="52"/>
        <v>0</v>
      </c>
      <c r="Y113" s="377">
        <f t="shared" si="53"/>
        <v>0</v>
      </c>
      <c r="Z113" s="377">
        <f t="shared" si="54"/>
        <v>0</v>
      </c>
      <c r="AA113" s="377">
        <f t="shared" si="55"/>
        <v>0</v>
      </c>
      <c r="AB113" s="377">
        <f t="shared" si="56"/>
        <v>0</v>
      </c>
      <c r="AC113" s="377">
        <f t="shared" si="57"/>
        <v>0</v>
      </c>
      <c r="AD113" s="376"/>
      <c r="AE113" s="332">
        <v>98</v>
      </c>
      <c r="AF113" s="350">
        <v>4311955.3007419584</v>
      </c>
      <c r="AG113" s="350">
        <v>26634.830592510858</v>
      </c>
      <c r="AH113" s="350">
        <v>25501.915688044421</v>
      </c>
      <c r="AI113" s="350">
        <v>24338.515836940551</v>
      </c>
      <c r="AJ113" s="350">
        <v>23144.690464046453</v>
      </c>
      <c r="AK113" s="348">
        <v>4411575.253323501</v>
      </c>
      <c r="AL113" s="369"/>
      <c r="AM113" s="350">
        <v>6091724.334900206</v>
      </c>
      <c r="AN113" s="350">
        <v>1828391.0345669398</v>
      </c>
      <c r="AO113" s="350">
        <v>1847842.4501229511</v>
      </c>
      <c r="AP113" s="350">
        <v>1865810.2104615294</v>
      </c>
      <c r="AQ113" s="350">
        <v>1882244.1667311026</v>
      </c>
      <c r="AR113" s="348">
        <v>13516012.196782729</v>
      </c>
      <c r="AS113" s="369"/>
      <c r="AT113" s="350">
        <f t="shared" si="75"/>
        <v>1779769.0341582475</v>
      </c>
      <c r="AU113" s="350">
        <f t="shared" si="58"/>
        <v>1801756.2039744291</v>
      </c>
      <c r="AV113" s="350">
        <f t="shared" si="59"/>
        <v>1822340.5344349067</v>
      </c>
      <c r="AW113" s="350">
        <f t="shared" si="60"/>
        <v>1841471.6946245888</v>
      </c>
      <c r="AX113" s="350">
        <f t="shared" si="61"/>
        <v>1859099.4762670561</v>
      </c>
      <c r="AY113" s="350">
        <f t="shared" si="62"/>
        <v>9104436.9434592277</v>
      </c>
      <c r="AZ113" s="365"/>
      <c r="BA113" s="377">
        <f t="shared" si="63"/>
        <v>0</v>
      </c>
      <c r="BB113" s="377">
        <f t="shared" si="64"/>
        <v>0</v>
      </c>
      <c r="BC113" s="377">
        <f t="shared" si="65"/>
        <v>0</v>
      </c>
      <c r="BD113" s="377">
        <f t="shared" si="66"/>
        <v>0</v>
      </c>
      <c r="BE113" s="377">
        <f t="shared" si="67"/>
        <v>0</v>
      </c>
      <c r="BF113" s="377">
        <f t="shared" si="68"/>
        <v>0</v>
      </c>
      <c r="BG113" s="328"/>
    </row>
    <row r="114" spans="2:59">
      <c r="B114" s="332">
        <v>99</v>
      </c>
      <c r="C114" s="350">
        <v>4666876.72585038</v>
      </c>
      <c r="D114" s="350">
        <v>28827.170580309015</v>
      </c>
      <c r="E114" s="350">
        <v>27601.004298133197</v>
      </c>
      <c r="F114" s="350">
        <v>26341.843822364073</v>
      </c>
      <c r="G114" s="350">
        <v>25049.753469169587</v>
      </c>
      <c r="H114" s="348">
        <v>4774696.4980203547</v>
      </c>
      <c r="I114" s="369"/>
      <c r="J114" s="350">
        <v>6499942.511702776</v>
      </c>
      <c r="K114" s="350">
        <v>1884538.5514196013</v>
      </c>
      <c r="L114" s="350">
        <v>1904513.1315082223</v>
      </c>
      <c r="M114" s="350">
        <v>1922958.0306684552</v>
      </c>
      <c r="N114" s="350">
        <v>1939821.6014089843</v>
      </c>
      <c r="O114" s="348">
        <v>14151773.826708037</v>
      </c>
      <c r="P114" s="369"/>
      <c r="Q114" s="350">
        <f t="shared" si="69"/>
        <v>1833065.7858523959</v>
      </c>
      <c r="R114" s="350">
        <f t="shared" si="70"/>
        <v>1855711.3808392922</v>
      </c>
      <c r="S114" s="350">
        <f t="shared" si="71"/>
        <v>1876912.127210089</v>
      </c>
      <c r="T114" s="350">
        <f t="shared" si="72"/>
        <v>1896616.1868460912</v>
      </c>
      <c r="U114" s="350">
        <f t="shared" si="73"/>
        <v>1914771.8479398147</v>
      </c>
      <c r="V114" s="350">
        <f t="shared" si="74"/>
        <v>9377077.3286876827</v>
      </c>
      <c r="W114" s="365"/>
      <c r="X114" s="377">
        <f t="shared" si="52"/>
        <v>0</v>
      </c>
      <c r="Y114" s="377">
        <f t="shared" si="53"/>
        <v>0</v>
      </c>
      <c r="Z114" s="377">
        <f t="shared" si="54"/>
        <v>0</v>
      </c>
      <c r="AA114" s="377">
        <f t="shared" si="55"/>
        <v>0</v>
      </c>
      <c r="AB114" s="377">
        <f t="shared" si="56"/>
        <v>0</v>
      </c>
      <c r="AC114" s="377">
        <f t="shared" si="57"/>
        <v>0</v>
      </c>
      <c r="AD114" s="376"/>
      <c r="AE114" s="332">
        <v>99</v>
      </c>
      <c r="AF114" s="350">
        <v>4749873.4324121047</v>
      </c>
      <c r="AG114" s="350">
        <v>29339.838978941894</v>
      </c>
      <c r="AH114" s="350">
        <v>28091.866300519254</v>
      </c>
      <c r="AI114" s="350">
        <v>26810.312652900677</v>
      </c>
      <c r="AJ114" s="350">
        <v>25495.243496066658</v>
      </c>
      <c r="AK114" s="348">
        <v>4859610.6938405335</v>
      </c>
      <c r="AL114" s="369"/>
      <c r="AM114" s="350">
        <v>6324224.5711018695</v>
      </c>
      <c r="AN114" s="350">
        <v>1623140.4259804315</v>
      </c>
      <c r="AO114" s="350">
        <v>1640100.9755752094</v>
      </c>
      <c r="AP114" s="350">
        <v>1655742.4963552367</v>
      </c>
      <c r="AQ114" s="350">
        <v>1670020.6404574031</v>
      </c>
      <c r="AR114" s="348">
        <v>12913229.10947015</v>
      </c>
      <c r="AS114" s="369"/>
      <c r="AT114" s="350">
        <f t="shared" si="75"/>
        <v>1574351.1386897648</v>
      </c>
      <c r="AU114" s="350">
        <f t="shared" si="58"/>
        <v>1593800.5870014897</v>
      </c>
      <c r="AV114" s="350">
        <f t="shared" si="59"/>
        <v>1612009.10927469</v>
      </c>
      <c r="AW114" s="350">
        <f t="shared" si="60"/>
        <v>1628932.1837023362</v>
      </c>
      <c r="AX114" s="350">
        <f t="shared" si="61"/>
        <v>1644525.3969613365</v>
      </c>
      <c r="AY114" s="350">
        <f t="shared" si="62"/>
        <v>8053618.415629616</v>
      </c>
      <c r="AZ114" s="365"/>
      <c r="BA114" s="377">
        <f t="shared" si="63"/>
        <v>0</v>
      </c>
      <c r="BB114" s="377">
        <f t="shared" si="64"/>
        <v>0</v>
      </c>
      <c r="BC114" s="377">
        <f t="shared" si="65"/>
        <v>0</v>
      </c>
      <c r="BD114" s="377">
        <f t="shared" si="66"/>
        <v>0</v>
      </c>
      <c r="BE114" s="377">
        <f t="shared" si="67"/>
        <v>0</v>
      </c>
      <c r="BF114" s="377">
        <f t="shared" si="68"/>
        <v>0</v>
      </c>
      <c r="BG114" s="328"/>
    </row>
    <row r="115" spans="2:59">
      <c r="B115" s="332">
        <v>100</v>
      </c>
      <c r="C115" s="350">
        <v>5116036.4953226736</v>
      </c>
      <c r="D115" s="350">
        <v>31601.618257632967</v>
      </c>
      <c r="E115" s="350">
        <v>30257.440595042153</v>
      </c>
      <c r="F115" s="350">
        <v>28877.093239429349</v>
      </c>
      <c r="G115" s="350">
        <v>27460.646697016811</v>
      </c>
      <c r="H115" s="348">
        <v>5234233.2941117948</v>
      </c>
      <c r="I115" s="369"/>
      <c r="J115" s="350">
        <v>7050024.3492361866</v>
      </c>
      <c r="K115" s="350">
        <v>1989481.8528960086</v>
      </c>
      <c r="L115" s="350">
        <v>2010505.6591276517</v>
      </c>
      <c r="M115" s="350">
        <v>2029914.2066949224</v>
      </c>
      <c r="N115" s="350">
        <v>2047653.0072287649</v>
      </c>
      <c r="O115" s="348">
        <v>15127579.075183537</v>
      </c>
      <c r="P115" s="369"/>
      <c r="Q115" s="350">
        <f t="shared" si="69"/>
        <v>1933987.853913513</v>
      </c>
      <c r="R115" s="350">
        <f t="shared" si="70"/>
        <v>1957880.2346383757</v>
      </c>
      <c r="S115" s="350">
        <f t="shared" si="71"/>
        <v>1980248.2185326095</v>
      </c>
      <c r="T115" s="350">
        <f t="shared" si="72"/>
        <v>2001037.113455493</v>
      </c>
      <c r="U115" s="350">
        <f t="shared" si="73"/>
        <v>2020192.360531748</v>
      </c>
      <c r="V115" s="350">
        <f t="shared" si="74"/>
        <v>9893345.7810717411</v>
      </c>
      <c r="W115" s="365"/>
      <c r="X115" s="377">
        <f t="shared" si="52"/>
        <v>0</v>
      </c>
      <c r="Y115" s="377">
        <f t="shared" si="53"/>
        <v>0</v>
      </c>
      <c r="Z115" s="377">
        <f t="shared" si="54"/>
        <v>0</v>
      </c>
      <c r="AA115" s="377">
        <f t="shared" si="55"/>
        <v>0</v>
      </c>
      <c r="AB115" s="377">
        <f t="shared" si="56"/>
        <v>0</v>
      </c>
      <c r="AC115" s="377">
        <f t="shared" si="57"/>
        <v>0</v>
      </c>
      <c r="AD115" s="376"/>
      <c r="AE115" s="332">
        <v>100</v>
      </c>
      <c r="AF115" s="350">
        <v>5501518.5474546431</v>
      </c>
      <c r="AG115" s="350">
        <v>33982.730407200375</v>
      </c>
      <c r="AH115" s="350">
        <v>32537.271926093545</v>
      </c>
      <c r="AI115" s="350">
        <v>31052.918445468309</v>
      </c>
      <c r="AJ115" s="350">
        <v>29529.745784038991</v>
      </c>
      <c r="AK115" s="348">
        <v>5628621.2140174443</v>
      </c>
      <c r="AL115" s="369"/>
      <c r="AM115" s="350">
        <v>7739984.1133064851</v>
      </c>
      <c r="AN115" s="350">
        <v>2300102.1780714868</v>
      </c>
      <c r="AO115" s="350">
        <v>2324546.2108937772</v>
      </c>
      <c r="AP115" s="350">
        <v>2347123.6556001566</v>
      </c>
      <c r="AQ115" s="350">
        <v>2367771.43964811</v>
      </c>
      <c r="AR115" s="348">
        <v>17079527.597520016</v>
      </c>
      <c r="AS115" s="369"/>
      <c r="AT115" s="350">
        <f t="shared" si="75"/>
        <v>2238465.5658518421</v>
      </c>
      <c r="AU115" s="350">
        <f t="shared" si="58"/>
        <v>2266119.4476642865</v>
      </c>
      <c r="AV115" s="350">
        <f t="shared" si="59"/>
        <v>2292008.9389676838</v>
      </c>
      <c r="AW115" s="350">
        <f t="shared" si="60"/>
        <v>2316070.7371546882</v>
      </c>
      <c r="AX115" s="350">
        <f t="shared" si="61"/>
        <v>2338241.6938640708</v>
      </c>
      <c r="AY115" s="350">
        <f t="shared" si="62"/>
        <v>11450906.383502573</v>
      </c>
      <c r="AZ115" s="365"/>
      <c r="BA115" s="377">
        <f t="shared" si="63"/>
        <v>0</v>
      </c>
      <c r="BB115" s="377">
        <f t="shared" si="64"/>
        <v>0</v>
      </c>
      <c r="BC115" s="377">
        <f t="shared" si="65"/>
        <v>0</v>
      </c>
      <c r="BD115" s="377">
        <f t="shared" si="66"/>
        <v>0</v>
      </c>
      <c r="BE115" s="377">
        <f t="shared" si="67"/>
        <v>0</v>
      </c>
      <c r="BF115" s="377">
        <f t="shared" si="68"/>
        <v>0</v>
      </c>
      <c r="BG115" s="328"/>
    </row>
    <row r="116" spans="2:59">
      <c r="B116" s="332">
        <v>101</v>
      </c>
      <c r="C116" s="350">
        <v>5893213.1702411408</v>
      </c>
      <c r="D116" s="350">
        <v>36402.217436697953</v>
      </c>
      <c r="E116" s="350">
        <v>34853.845858119399</v>
      </c>
      <c r="F116" s="350">
        <v>33263.810051486362</v>
      </c>
      <c r="G116" s="350">
        <v>31632.191233615318</v>
      </c>
      <c r="H116" s="348">
        <v>6029365.2348210597</v>
      </c>
      <c r="I116" s="369"/>
      <c r="J116" s="350">
        <v>7376371.2985453382</v>
      </c>
      <c r="K116" s="350">
        <v>1537883.200563851</v>
      </c>
      <c r="L116" s="350">
        <v>1553488.6374021035</v>
      </c>
      <c r="M116" s="350">
        <v>1567841.4206886422</v>
      </c>
      <c r="N116" s="350">
        <v>1580899.7909228427</v>
      </c>
      <c r="O116" s="348">
        <v>13616484.348122779</v>
      </c>
      <c r="P116" s="369"/>
      <c r="Q116" s="350">
        <f t="shared" si="69"/>
        <v>1483158.1283041975</v>
      </c>
      <c r="R116" s="350">
        <f t="shared" si="70"/>
        <v>1501480.983127153</v>
      </c>
      <c r="S116" s="350">
        <f t="shared" si="71"/>
        <v>1518634.7915439841</v>
      </c>
      <c r="T116" s="350">
        <f t="shared" si="72"/>
        <v>1534577.6106371558</v>
      </c>
      <c r="U116" s="350">
        <f t="shared" si="73"/>
        <v>1549267.5996892273</v>
      </c>
      <c r="V116" s="350">
        <f t="shared" si="74"/>
        <v>7587119.1133017195</v>
      </c>
      <c r="W116" s="365"/>
      <c r="X116" s="377">
        <f t="shared" si="52"/>
        <v>0</v>
      </c>
      <c r="Y116" s="377">
        <f t="shared" si="53"/>
        <v>0</v>
      </c>
      <c r="Z116" s="377">
        <f t="shared" si="54"/>
        <v>0</v>
      </c>
      <c r="AA116" s="377">
        <f t="shared" si="55"/>
        <v>0</v>
      </c>
      <c r="AB116" s="377">
        <f t="shared" si="56"/>
        <v>0</v>
      </c>
      <c r="AC116" s="377">
        <f t="shared" si="57"/>
        <v>0</v>
      </c>
      <c r="AD116" s="376"/>
      <c r="AE116" s="332">
        <v>101</v>
      </c>
      <c r="AF116" s="350">
        <v>7210102.8959104111</v>
      </c>
      <c r="AG116" s="350">
        <v>44536.609448179319</v>
      </c>
      <c r="AH116" s="350">
        <v>42642.240776936858</v>
      </c>
      <c r="AI116" s="350">
        <v>40696.897643602868</v>
      </c>
      <c r="AJ116" s="350">
        <v>38700.679413596481</v>
      </c>
      <c r="AK116" s="348">
        <v>7376679.3231927259</v>
      </c>
      <c r="AL116" s="369"/>
      <c r="AM116" s="350">
        <v>8991614.6082675848</v>
      </c>
      <c r="AN116" s="350">
        <v>1848057.0205731909</v>
      </c>
      <c r="AO116" s="350">
        <v>1866767.1377102518</v>
      </c>
      <c r="AP116" s="350">
        <v>1883971.6872285891</v>
      </c>
      <c r="AQ116" s="350">
        <v>1899620.5110552819</v>
      </c>
      <c r="AR116" s="348">
        <v>16490030.964834899</v>
      </c>
      <c r="AS116" s="369"/>
      <c r="AT116" s="350">
        <f t="shared" si="75"/>
        <v>1781511.7123571737</v>
      </c>
      <c r="AU116" s="350">
        <f t="shared" si="58"/>
        <v>1803520.4111250115</v>
      </c>
      <c r="AV116" s="350">
        <f t="shared" si="59"/>
        <v>1824124.8969333151</v>
      </c>
      <c r="AW116" s="350">
        <f t="shared" si="60"/>
        <v>1843274.7895849862</v>
      </c>
      <c r="AX116" s="350">
        <f t="shared" si="61"/>
        <v>1860919.8316416855</v>
      </c>
      <c r="AY116" s="350">
        <f t="shared" si="62"/>
        <v>9113351.6416421719</v>
      </c>
      <c r="AZ116" s="365"/>
      <c r="BA116" s="377">
        <f t="shared" si="63"/>
        <v>0</v>
      </c>
      <c r="BB116" s="377">
        <f t="shared" si="64"/>
        <v>0</v>
      </c>
      <c r="BC116" s="377">
        <f t="shared" si="65"/>
        <v>0</v>
      </c>
      <c r="BD116" s="377">
        <f t="shared" si="66"/>
        <v>0</v>
      </c>
      <c r="BE116" s="377">
        <f t="shared" si="67"/>
        <v>0</v>
      </c>
      <c r="BF116" s="377">
        <f t="shared" si="68"/>
        <v>0</v>
      </c>
      <c r="BG116" s="328"/>
    </row>
    <row r="117" spans="2:59">
      <c r="B117" s="332">
        <v>102</v>
      </c>
      <c r="C117" s="350">
        <v>5465325.9829281261</v>
      </c>
      <c r="D117" s="350">
        <v>33759.169920682456</v>
      </c>
      <c r="E117" s="350">
        <v>32323.22060489119</v>
      </c>
      <c r="F117" s="350">
        <v>30848.632166166404</v>
      </c>
      <c r="G117" s="350">
        <v>29335.479924435236</v>
      </c>
      <c r="H117" s="348">
        <v>5591592.4855443016</v>
      </c>
      <c r="I117" s="369"/>
      <c r="J117" s="350">
        <v>7606653.0843331795</v>
      </c>
      <c r="K117" s="350">
        <v>2201540.1098334123</v>
      </c>
      <c r="L117" s="350">
        <v>2224870.1744404049</v>
      </c>
      <c r="M117" s="350">
        <v>2246413.2197559709</v>
      </c>
      <c r="N117" s="350">
        <v>2266108.913069034</v>
      </c>
      <c r="O117" s="348">
        <v>16545585.501432</v>
      </c>
      <c r="P117" s="369"/>
      <c r="Q117" s="350">
        <f t="shared" si="69"/>
        <v>2141327.1014050534</v>
      </c>
      <c r="R117" s="350">
        <f t="shared" si="70"/>
        <v>2167780.9399127299</v>
      </c>
      <c r="S117" s="350">
        <f t="shared" si="71"/>
        <v>2192546.9538355134</v>
      </c>
      <c r="T117" s="350">
        <f t="shared" si="72"/>
        <v>2215564.5875898045</v>
      </c>
      <c r="U117" s="350">
        <f t="shared" si="73"/>
        <v>2236773.4331445987</v>
      </c>
      <c r="V117" s="350">
        <f t="shared" si="74"/>
        <v>10953993.015887698</v>
      </c>
      <c r="W117" s="365"/>
      <c r="X117" s="377">
        <f t="shared" si="52"/>
        <v>0</v>
      </c>
      <c r="Y117" s="377">
        <f t="shared" si="53"/>
        <v>0</v>
      </c>
      <c r="Z117" s="377">
        <f t="shared" si="54"/>
        <v>0</v>
      </c>
      <c r="AA117" s="377">
        <f t="shared" si="55"/>
        <v>0</v>
      </c>
      <c r="AB117" s="377">
        <f t="shared" si="56"/>
        <v>0</v>
      </c>
      <c r="AC117" s="377">
        <f t="shared" si="57"/>
        <v>0</v>
      </c>
      <c r="AD117" s="376"/>
      <c r="AE117" s="332">
        <v>102</v>
      </c>
      <c r="AF117" s="350">
        <v>6010841.7380597107</v>
      </c>
      <c r="AG117" s="350">
        <v>37128.805900206513</v>
      </c>
      <c r="AH117" s="350">
        <v>35549.528816266255</v>
      </c>
      <c r="AI117" s="350">
        <v>33927.755886044273</v>
      </c>
      <c r="AJ117" s="350">
        <v>32263.569947449185</v>
      </c>
      <c r="AK117" s="348">
        <v>6149711.3986096773</v>
      </c>
      <c r="AL117" s="369"/>
      <c r="AM117" s="350">
        <v>8035817.9460717924</v>
      </c>
      <c r="AN117" s="350">
        <v>2087121.4598132868</v>
      </c>
      <c r="AO117" s="350">
        <v>2108962.5134803196</v>
      </c>
      <c r="AP117" s="350">
        <v>2129107.6909084031</v>
      </c>
      <c r="AQ117" s="350">
        <v>2147499.9492279883</v>
      </c>
      <c r="AR117" s="348">
        <v>16508509.55950179</v>
      </c>
      <c r="AS117" s="369"/>
      <c r="AT117" s="350">
        <f t="shared" si="75"/>
        <v>2024976.2080120817</v>
      </c>
      <c r="AU117" s="350">
        <f t="shared" si="58"/>
        <v>2049992.6539130802</v>
      </c>
      <c r="AV117" s="350">
        <f t="shared" si="59"/>
        <v>2073412.9846640534</v>
      </c>
      <c r="AW117" s="350">
        <f t="shared" si="60"/>
        <v>2095179.9350223588</v>
      </c>
      <c r="AX117" s="350">
        <f t="shared" si="61"/>
        <v>2115236.3792805392</v>
      </c>
      <c r="AY117" s="350">
        <f t="shared" si="62"/>
        <v>10358798.160892112</v>
      </c>
      <c r="AZ117" s="365"/>
      <c r="BA117" s="377">
        <f t="shared" si="63"/>
        <v>0</v>
      </c>
      <c r="BB117" s="377">
        <f t="shared" si="64"/>
        <v>0</v>
      </c>
      <c r="BC117" s="377">
        <f t="shared" si="65"/>
        <v>0</v>
      </c>
      <c r="BD117" s="377">
        <f t="shared" si="66"/>
        <v>0</v>
      </c>
      <c r="BE117" s="377">
        <f t="shared" si="67"/>
        <v>0</v>
      </c>
      <c r="BF117" s="377">
        <f t="shared" si="68"/>
        <v>0</v>
      </c>
      <c r="BG117" s="328"/>
    </row>
    <row r="118" spans="2:59">
      <c r="B118" s="332">
        <v>103</v>
      </c>
      <c r="C118" s="350">
        <v>4916375.2959228512</v>
      </c>
      <c r="D118" s="350">
        <v>30368.316460417998</v>
      </c>
      <c r="E118" s="350">
        <v>29076.59740021938</v>
      </c>
      <c r="F118" s="350">
        <v>27750.120224940827</v>
      </c>
      <c r="G118" s="350">
        <v>26388.952689197398</v>
      </c>
      <c r="H118" s="348">
        <v>5029959.2826976264</v>
      </c>
      <c r="I118" s="369"/>
      <c r="J118" s="350">
        <v>7599912.7863771189</v>
      </c>
      <c r="K118" s="350">
        <v>2747058.0830686628</v>
      </c>
      <c r="L118" s="350">
        <v>2776803.4376098276</v>
      </c>
      <c r="M118" s="350">
        <v>2804322.9424802898</v>
      </c>
      <c r="N118" s="350">
        <v>2829540.9613463776</v>
      </c>
      <c r="O118" s="348">
        <v>18757638.210882276</v>
      </c>
      <c r="P118" s="369"/>
      <c r="Q118" s="350">
        <f t="shared" si="69"/>
        <v>2683537.4904542677</v>
      </c>
      <c r="R118" s="350">
        <f t="shared" si="70"/>
        <v>2716689.7666082447</v>
      </c>
      <c r="S118" s="350">
        <f t="shared" si="71"/>
        <v>2747726.8402096084</v>
      </c>
      <c r="T118" s="350">
        <f t="shared" si="72"/>
        <v>2776572.8222553488</v>
      </c>
      <c r="U118" s="350">
        <f t="shared" si="73"/>
        <v>2803152.0086571802</v>
      </c>
      <c r="V118" s="350">
        <f t="shared" si="74"/>
        <v>13727678.928184651</v>
      </c>
      <c r="W118" s="365"/>
      <c r="X118" s="377">
        <f t="shared" si="52"/>
        <v>0</v>
      </c>
      <c r="Y118" s="377">
        <f t="shared" si="53"/>
        <v>0</v>
      </c>
      <c r="Z118" s="377">
        <f t="shared" si="54"/>
        <v>0</v>
      </c>
      <c r="AA118" s="377">
        <f t="shared" si="55"/>
        <v>0</v>
      </c>
      <c r="AB118" s="377">
        <f t="shared" si="56"/>
        <v>0</v>
      </c>
      <c r="AC118" s="377">
        <f t="shared" si="57"/>
        <v>0</v>
      </c>
      <c r="AD118" s="376"/>
      <c r="AE118" s="332">
        <v>103</v>
      </c>
      <c r="AF118" s="350">
        <v>7123787.8696112754</v>
      </c>
      <c r="AG118" s="350">
        <v>44003.443878798316</v>
      </c>
      <c r="AH118" s="350">
        <v>42131.753452796533</v>
      </c>
      <c r="AI118" s="350">
        <v>40209.698800380254</v>
      </c>
      <c r="AJ118" s="350">
        <v>38237.378097428053</v>
      </c>
      <c r="AK118" s="348">
        <v>7288370.143840679</v>
      </c>
      <c r="AL118" s="369"/>
      <c r="AM118" s="350">
        <v>8844965.1870384198</v>
      </c>
      <c r="AN118" s="350">
        <v>1786444.0922414267</v>
      </c>
      <c r="AO118" s="350">
        <v>1804479.0762226223</v>
      </c>
      <c r="AP118" s="350">
        <v>1821058.3654763934</v>
      </c>
      <c r="AQ118" s="350">
        <v>1836133.5028071848</v>
      </c>
      <c r="AR118" s="348">
        <v>16093080.223786049</v>
      </c>
      <c r="AS118" s="369"/>
      <c r="AT118" s="350">
        <f t="shared" si="75"/>
        <v>1721177.3174271444</v>
      </c>
      <c r="AU118" s="350">
        <f t="shared" si="58"/>
        <v>1742440.6483626284</v>
      </c>
      <c r="AV118" s="350">
        <f t="shared" si="59"/>
        <v>1762347.3227698258</v>
      </c>
      <c r="AW118" s="350">
        <f t="shared" si="60"/>
        <v>1780848.666676013</v>
      </c>
      <c r="AX118" s="350">
        <f t="shared" si="61"/>
        <v>1797896.1247097568</v>
      </c>
      <c r="AY118" s="350">
        <f t="shared" si="62"/>
        <v>8804710.0799453706</v>
      </c>
      <c r="AZ118" s="365"/>
      <c r="BA118" s="377">
        <f t="shared" si="63"/>
        <v>0</v>
      </c>
      <c r="BB118" s="377">
        <f t="shared" si="64"/>
        <v>0</v>
      </c>
      <c r="BC118" s="377">
        <f t="shared" si="65"/>
        <v>0</v>
      </c>
      <c r="BD118" s="377">
        <f t="shared" si="66"/>
        <v>0</v>
      </c>
      <c r="BE118" s="377">
        <f t="shared" si="67"/>
        <v>0</v>
      </c>
      <c r="BF118" s="377">
        <f t="shared" si="68"/>
        <v>0</v>
      </c>
      <c r="BG118" s="328"/>
    </row>
    <row r="119" spans="2:59">
      <c r="B119" s="332">
        <v>104</v>
      </c>
      <c r="C119" s="350">
        <v>5044108.3785689585</v>
      </c>
      <c r="D119" s="350">
        <v>31157.320237141033</v>
      </c>
      <c r="E119" s="350">
        <v>29832.040830638492</v>
      </c>
      <c r="F119" s="350">
        <v>28471.10025326976</v>
      </c>
      <c r="G119" s="350">
        <v>27074.5680199872</v>
      </c>
      <c r="H119" s="348">
        <v>5160643.4079099949</v>
      </c>
      <c r="I119" s="369"/>
      <c r="J119" s="350">
        <v>7033448.3761740457</v>
      </c>
      <c r="K119" s="350">
        <v>2045073.5159387165</v>
      </c>
      <c r="L119" s="350">
        <v>2066756.4084483609</v>
      </c>
      <c r="M119" s="350">
        <v>2086779.3561371025</v>
      </c>
      <c r="N119" s="350">
        <v>2105086.3081297926</v>
      </c>
      <c r="O119" s="348">
        <v>15337143.964828018</v>
      </c>
      <c r="P119" s="369"/>
      <c r="Q119" s="350">
        <f t="shared" si="69"/>
        <v>1989339.9976050872</v>
      </c>
      <c r="R119" s="350">
        <f t="shared" si="70"/>
        <v>2013916.1957015754</v>
      </c>
      <c r="S119" s="350">
        <f t="shared" si="71"/>
        <v>2036924.3676177224</v>
      </c>
      <c r="T119" s="350">
        <f t="shared" si="72"/>
        <v>2058308.2558838327</v>
      </c>
      <c r="U119" s="350">
        <f t="shared" si="73"/>
        <v>2078011.7401098055</v>
      </c>
      <c r="V119" s="350">
        <f t="shared" si="74"/>
        <v>10176500.556918023</v>
      </c>
      <c r="W119" s="365"/>
      <c r="X119" s="377">
        <f t="shared" si="52"/>
        <v>0</v>
      </c>
      <c r="Y119" s="377">
        <f t="shared" si="53"/>
        <v>0</v>
      </c>
      <c r="Z119" s="377">
        <f t="shared" si="54"/>
        <v>0</v>
      </c>
      <c r="AA119" s="377">
        <f t="shared" si="55"/>
        <v>0</v>
      </c>
      <c r="AB119" s="377">
        <f t="shared" si="56"/>
        <v>0</v>
      </c>
      <c r="AC119" s="377">
        <f t="shared" si="57"/>
        <v>0</v>
      </c>
      <c r="AD119" s="376"/>
      <c r="AE119" s="332">
        <v>104</v>
      </c>
      <c r="AF119" s="350">
        <v>8739399.3400427923</v>
      </c>
      <c r="AG119" s="350">
        <v>53983.031981405678</v>
      </c>
      <c r="AH119" s="350">
        <v>51686.858881762942</v>
      </c>
      <c r="AI119" s="350">
        <v>49328.899398929047</v>
      </c>
      <c r="AJ119" s="350">
        <v>46909.273974193413</v>
      </c>
      <c r="AK119" s="348">
        <v>8941307.4042790812</v>
      </c>
      <c r="AL119" s="369"/>
      <c r="AM119" s="350">
        <v>10127374.437798886</v>
      </c>
      <c r="AN119" s="350">
        <v>1459105.0985796836</v>
      </c>
      <c r="AO119" s="350">
        <v>1472861.8725393426</v>
      </c>
      <c r="AP119" s="350">
        <v>1485423.5871405222</v>
      </c>
      <c r="AQ119" s="350">
        <v>1496751.2072734092</v>
      </c>
      <c r="AR119" s="348">
        <v>16041516.203331845</v>
      </c>
      <c r="AS119" s="369"/>
      <c r="AT119" s="350">
        <f t="shared" si="75"/>
        <v>1387975.0977560934</v>
      </c>
      <c r="AU119" s="350">
        <f t="shared" si="58"/>
        <v>1405122.066598278</v>
      </c>
      <c r="AV119" s="350">
        <f t="shared" si="59"/>
        <v>1421175.0136575797</v>
      </c>
      <c r="AW119" s="350">
        <f t="shared" si="60"/>
        <v>1436094.6877415932</v>
      </c>
      <c r="AX119" s="350">
        <f t="shared" si="61"/>
        <v>1449841.9332992157</v>
      </c>
      <c r="AY119" s="350">
        <f t="shared" si="62"/>
        <v>7100208.7990527637</v>
      </c>
      <c r="AZ119" s="365"/>
      <c r="BA119" s="377">
        <f t="shared" si="63"/>
        <v>0</v>
      </c>
      <c r="BB119" s="377">
        <f t="shared" si="64"/>
        <v>0</v>
      </c>
      <c r="BC119" s="377">
        <f t="shared" si="65"/>
        <v>0</v>
      </c>
      <c r="BD119" s="377">
        <f t="shared" si="66"/>
        <v>0</v>
      </c>
      <c r="BE119" s="377">
        <f t="shared" si="67"/>
        <v>0</v>
      </c>
      <c r="BF119" s="377">
        <f t="shared" si="68"/>
        <v>0</v>
      </c>
      <c r="BG119" s="328"/>
    </row>
    <row r="120" spans="2:59">
      <c r="B120" s="332">
        <v>105</v>
      </c>
      <c r="C120" s="350">
        <v>5588854.6713900259</v>
      </c>
      <c r="D120" s="350">
        <v>34522.203268903373</v>
      </c>
      <c r="E120" s="350">
        <v>33053.798261313153</v>
      </c>
      <c r="F120" s="350">
        <v>31545.880799500796</v>
      </c>
      <c r="G120" s="350">
        <v>29998.527905798532</v>
      </c>
      <c r="H120" s="348">
        <v>5717975.0816255417</v>
      </c>
      <c r="I120" s="369"/>
      <c r="J120" s="350">
        <v>7599814.6478628032</v>
      </c>
      <c r="K120" s="350">
        <v>2070325.4698808228</v>
      </c>
      <c r="L120" s="350">
        <v>2092115.2876561063</v>
      </c>
      <c r="M120" s="350">
        <v>2112223.6567497747</v>
      </c>
      <c r="N120" s="350">
        <v>2130593.9238824109</v>
      </c>
      <c r="O120" s="348">
        <v>16005072.986031916</v>
      </c>
      <c r="P120" s="369"/>
      <c r="Q120" s="350">
        <f t="shared" si="69"/>
        <v>2010959.9764727773</v>
      </c>
      <c r="R120" s="350">
        <f t="shared" si="70"/>
        <v>2035803.2666119195</v>
      </c>
      <c r="S120" s="350">
        <f t="shared" si="71"/>
        <v>2059061.4893947931</v>
      </c>
      <c r="T120" s="350">
        <f t="shared" si="72"/>
        <v>2080677.775950274</v>
      </c>
      <c r="U120" s="350">
        <f t="shared" si="73"/>
        <v>2100595.3959766123</v>
      </c>
      <c r="V120" s="350">
        <f t="shared" si="74"/>
        <v>10287097.904406374</v>
      </c>
      <c r="W120" s="365"/>
      <c r="X120" s="377">
        <f t="shared" si="52"/>
        <v>0</v>
      </c>
      <c r="Y120" s="377">
        <f t="shared" si="53"/>
        <v>0</v>
      </c>
      <c r="Z120" s="377">
        <f t="shared" si="54"/>
        <v>0</v>
      </c>
      <c r="AA120" s="377">
        <f t="shared" si="55"/>
        <v>0</v>
      </c>
      <c r="AB120" s="377">
        <f t="shared" si="56"/>
        <v>0</v>
      </c>
      <c r="AC120" s="377">
        <f t="shared" si="57"/>
        <v>0</v>
      </c>
      <c r="AD120" s="376"/>
      <c r="AE120" s="332">
        <v>105</v>
      </c>
      <c r="AF120" s="350">
        <v>4402081.6080669984</v>
      </c>
      <c r="AG120" s="350">
        <v>27191.538341109412</v>
      </c>
      <c r="AH120" s="350">
        <v>26034.943822700607</v>
      </c>
      <c r="AI120" s="350">
        <v>24847.227176731296</v>
      </c>
      <c r="AJ120" s="350">
        <v>23628.449070111597</v>
      </c>
      <c r="AK120" s="348">
        <v>4503783.7664776519</v>
      </c>
      <c r="AL120" s="369"/>
      <c r="AM120" s="350">
        <v>6130193.9621863719</v>
      </c>
      <c r="AN120" s="350">
        <v>1776652.8984619479</v>
      </c>
      <c r="AO120" s="350">
        <v>1795483.1871218113</v>
      </c>
      <c r="AP120" s="350">
        <v>1812871.3607390777</v>
      </c>
      <c r="AQ120" s="350">
        <v>1828768.7289679684</v>
      </c>
      <c r="AR120" s="348">
        <v>13343970.137477178</v>
      </c>
      <c r="AS120" s="369"/>
      <c r="AT120" s="350">
        <f t="shared" si="75"/>
        <v>1728112.3541193735</v>
      </c>
      <c r="AU120" s="350">
        <f t="shared" si="58"/>
        <v>1749461.3601208385</v>
      </c>
      <c r="AV120" s="350">
        <f t="shared" si="59"/>
        <v>1769448.2432991108</v>
      </c>
      <c r="AW120" s="350">
        <f t="shared" si="60"/>
        <v>1788024.1335623465</v>
      </c>
      <c r="AX120" s="350">
        <f t="shared" si="61"/>
        <v>1805140.2798978568</v>
      </c>
      <c r="AY120" s="350">
        <f t="shared" si="62"/>
        <v>8840186.3709995262</v>
      </c>
      <c r="AZ120" s="365"/>
      <c r="BA120" s="377">
        <f t="shared" si="63"/>
        <v>0</v>
      </c>
      <c r="BB120" s="377">
        <f t="shared" si="64"/>
        <v>0</v>
      </c>
      <c r="BC120" s="377">
        <f t="shared" si="65"/>
        <v>0</v>
      </c>
      <c r="BD120" s="377">
        <f t="shared" si="66"/>
        <v>0</v>
      </c>
      <c r="BE120" s="377">
        <f t="shared" si="67"/>
        <v>0</v>
      </c>
      <c r="BF120" s="377">
        <f t="shared" si="68"/>
        <v>0</v>
      </c>
      <c r="BG120" s="328"/>
    </row>
    <row r="121" spans="2:59">
      <c r="B121" s="332">
        <v>106</v>
      </c>
      <c r="C121" s="350">
        <v>5883858.0284638517</v>
      </c>
      <c r="D121" s="350">
        <v>36344.430980430952</v>
      </c>
      <c r="E121" s="350">
        <v>34798.517353947136</v>
      </c>
      <c r="F121" s="350">
        <v>33211.005639003459</v>
      </c>
      <c r="G121" s="350">
        <v>31581.976923498165</v>
      </c>
      <c r="H121" s="348">
        <v>6019793.9593607318</v>
      </c>
      <c r="I121" s="369"/>
      <c r="J121" s="350">
        <v>8479086.7016124837</v>
      </c>
      <c r="K121" s="350">
        <v>2663634.4179586591</v>
      </c>
      <c r="L121" s="350">
        <v>2692104.2218794078</v>
      </c>
      <c r="M121" s="350">
        <v>2718413.4397523752</v>
      </c>
      <c r="N121" s="350">
        <v>2742488.9398181457</v>
      </c>
      <c r="O121" s="348">
        <v>19295727.721021071</v>
      </c>
      <c r="P121" s="369"/>
      <c r="Q121" s="350">
        <f t="shared" si="69"/>
        <v>2595228.673148632</v>
      </c>
      <c r="R121" s="350">
        <f t="shared" si="70"/>
        <v>2627289.9869782282</v>
      </c>
      <c r="S121" s="350">
        <f t="shared" si="71"/>
        <v>2657305.7045254605</v>
      </c>
      <c r="T121" s="350">
        <f t="shared" si="72"/>
        <v>2685202.4341133717</v>
      </c>
      <c r="U121" s="350">
        <f t="shared" si="73"/>
        <v>2710906.9628946474</v>
      </c>
      <c r="V121" s="350">
        <f t="shared" si="74"/>
        <v>13275933.761660339</v>
      </c>
      <c r="W121" s="365"/>
      <c r="X121" s="377">
        <f t="shared" si="52"/>
        <v>0</v>
      </c>
      <c r="Y121" s="377">
        <f t="shared" si="53"/>
        <v>0</v>
      </c>
      <c r="Z121" s="377">
        <f t="shared" si="54"/>
        <v>0</v>
      </c>
      <c r="AA121" s="377">
        <f t="shared" si="55"/>
        <v>0</v>
      </c>
      <c r="AB121" s="377">
        <f t="shared" si="56"/>
        <v>0</v>
      </c>
      <c r="AC121" s="377">
        <f t="shared" si="57"/>
        <v>0</v>
      </c>
      <c r="AD121" s="376"/>
      <c r="AE121" s="332">
        <v>106</v>
      </c>
      <c r="AF121" s="350">
        <v>7752906.0388808502</v>
      </c>
      <c r="AG121" s="350">
        <v>47889.489696176111</v>
      </c>
      <c r="AH121" s="350">
        <v>45852.505963327407</v>
      </c>
      <c r="AI121" s="350">
        <v>43760.710222839967</v>
      </c>
      <c r="AJ121" s="350">
        <v>41614.209320737078</v>
      </c>
      <c r="AK121" s="348">
        <v>7932022.9540839307</v>
      </c>
      <c r="AL121" s="369"/>
      <c r="AM121" s="350">
        <v>9465396.1054757852</v>
      </c>
      <c r="AN121" s="350">
        <v>1781535.5654024596</v>
      </c>
      <c r="AO121" s="350">
        <v>1799304.781667775</v>
      </c>
      <c r="AP121" s="350">
        <v>1815620.9485103432</v>
      </c>
      <c r="AQ121" s="350">
        <v>1830435.8624769445</v>
      </c>
      <c r="AR121" s="348">
        <v>16692293.263533307</v>
      </c>
      <c r="AS121" s="369"/>
      <c r="AT121" s="350">
        <f t="shared" si="75"/>
        <v>1712490.066594935</v>
      </c>
      <c r="AU121" s="350">
        <f t="shared" si="58"/>
        <v>1733646.0757062836</v>
      </c>
      <c r="AV121" s="350">
        <f t="shared" si="59"/>
        <v>1753452.2757044476</v>
      </c>
      <c r="AW121" s="350">
        <f t="shared" si="60"/>
        <v>1771860.2382875031</v>
      </c>
      <c r="AX121" s="350">
        <f t="shared" si="61"/>
        <v>1788821.6531562074</v>
      </c>
      <c r="AY121" s="350">
        <f t="shared" si="62"/>
        <v>8760270.3094493765</v>
      </c>
      <c r="AZ121" s="365"/>
      <c r="BA121" s="377">
        <f t="shared" si="63"/>
        <v>0</v>
      </c>
      <c r="BB121" s="377">
        <f t="shared" si="64"/>
        <v>0</v>
      </c>
      <c r="BC121" s="377">
        <f t="shared" si="65"/>
        <v>0</v>
      </c>
      <c r="BD121" s="377">
        <f t="shared" si="66"/>
        <v>0</v>
      </c>
      <c r="BE121" s="377">
        <f t="shared" si="67"/>
        <v>0</v>
      </c>
      <c r="BF121" s="377">
        <f t="shared" si="68"/>
        <v>0</v>
      </c>
      <c r="BG121" s="328"/>
    </row>
    <row r="122" spans="2:59">
      <c r="B122" s="332">
        <v>107</v>
      </c>
      <c r="C122" s="350">
        <v>4771656.5059148194</v>
      </c>
      <c r="D122" s="350">
        <v>29474.392431393106</v>
      </c>
      <c r="E122" s="350">
        <v>28220.696509819736</v>
      </c>
      <c r="F122" s="350">
        <v>26933.265615640456</v>
      </c>
      <c r="G122" s="350">
        <v>25612.165509031249</v>
      </c>
      <c r="H122" s="348">
        <v>4881897.0259807035</v>
      </c>
      <c r="I122" s="369"/>
      <c r="J122" s="350">
        <v>6140608.2606929708</v>
      </c>
      <c r="K122" s="350">
        <v>1415338.1027075811</v>
      </c>
      <c r="L122" s="350">
        <v>1429917.33497162</v>
      </c>
      <c r="M122" s="350">
        <v>1443345.0917281774</v>
      </c>
      <c r="N122" s="350">
        <v>1455582.8198454296</v>
      </c>
      <c r="O122" s="348">
        <v>11884791.609945778</v>
      </c>
      <c r="P122" s="369"/>
      <c r="Q122" s="350">
        <f t="shared" si="69"/>
        <v>1368951.7547781514</v>
      </c>
      <c r="R122" s="350">
        <f t="shared" si="70"/>
        <v>1385863.7102761881</v>
      </c>
      <c r="S122" s="350">
        <f t="shared" si="71"/>
        <v>1401696.6384618003</v>
      </c>
      <c r="T122" s="350">
        <f t="shared" si="72"/>
        <v>1416411.8261125369</v>
      </c>
      <c r="U122" s="350">
        <f t="shared" si="73"/>
        <v>1429970.6543363985</v>
      </c>
      <c r="V122" s="350">
        <f t="shared" si="74"/>
        <v>7002894.5839650743</v>
      </c>
      <c r="W122" s="365"/>
      <c r="X122" s="377">
        <f t="shared" si="52"/>
        <v>0</v>
      </c>
      <c r="Y122" s="377">
        <f t="shared" si="53"/>
        <v>0</v>
      </c>
      <c r="Z122" s="377">
        <f t="shared" si="54"/>
        <v>0</v>
      </c>
      <c r="AA122" s="377">
        <f t="shared" si="55"/>
        <v>0</v>
      </c>
      <c r="AB122" s="377">
        <f t="shared" si="56"/>
        <v>0</v>
      </c>
      <c r="AC122" s="377">
        <f t="shared" si="57"/>
        <v>0</v>
      </c>
      <c r="AD122" s="376"/>
      <c r="AE122" s="332">
        <v>107</v>
      </c>
      <c r="AF122" s="350">
        <v>6215615.1875981297</v>
      </c>
      <c r="AG122" s="350">
        <v>38393.685927456223</v>
      </c>
      <c r="AH122" s="350">
        <v>36760.607058282403</v>
      </c>
      <c r="AI122" s="350">
        <v>35083.584621959664</v>
      </c>
      <c r="AJ122" s="350">
        <v>33362.704278458201</v>
      </c>
      <c r="AK122" s="348">
        <v>6359215.7694842853</v>
      </c>
      <c r="AL122" s="369"/>
      <c r="AM122" s="350">
        <v>7998897.3697571047</v>
      </c>
      <c r="AN122" s="350">
        <v>1843706.4391418761</v>
      </c>
      <c r="AO122" s="350">
        <v>1862698.3228590423</v>
      </c>
      <c r="AP122" s="350">
        <v>1880190.224274925</v>
      </c>
      <c r="AQ122" s="350">
        <v>1896131.9216652068</v>
      </c>
      <c r="AR122" s="348">
        <v>15481624.277698155</v>
      </c>
      <c r="AS122" s="369"/>
      <c r="AT122" s="350">
        <f t="shared" si="75"/>
        <v>1783282.1821589749</v>
      </c>
      <c r="AU122" s="350">
        <f t="shared" si="58"/>
        <v>1805312.7532144198</v>
      </c>
      <c r="AV122" s="350">
        <f t="shared" si="59"/>
        <v>1825937.7158007598</v>
      </c>
      <c r="AW122" s="350">
        <f t="shared" si="60"/>
        <v>1845106.6396529654</v>
      </c>
      <c r="AX122" s="350">
        <f t="shared" si="61"/>
        <v>1862769.2173867486</v>
      </c>
      <c r="AY122" s="350">
        <f t="shared" si="62"/>
        <v>9122408.5082138702</v>
      </c>
      <c r="AZ122" s="365"/>
      <c r="BA122" s="377">
        <f t="shared" si="63"/>
        <v>0</v>
      </c>
      <c r="BB122" s="377">
        <f t="shared" si="64"/>
        <v>0</v>
      </c>
      <c r="BC122" s="377">
        <f t="shared" si="65"/>
        <v>0</v>
      </c>
      <c r="BD122" s="377">
        <f t="shared" si="66"/>
        <v>0</v>
      </c>
      <c r="BE122" s="377">
        <f t="shared" si="67"/>
        <v>0</v>
      </c>
      <c r="BF122" s="377">
        <f t="shared" si="68"/>
        <v>0</v>
      </c>
      <c r="BG122" s="328"/>
    </row>
    <row r="123" spans="2:59">
      <c r="B123" s="332">
        <v>108</v>
      </c>
      <c r="C123" s="350">
        <v>5413081.6845855648</v>
      </c>
      <c r="D123" s="350">
        <v>33436.458311048329</v>
      </c>
      <c r="E123" s="350">
        <v>32014.235562471389</v>
      </c>
      <c r="F123" s="350">
        <v>30553.743051155227</v>
      </c>
      <c r="G123" s="350">
        <v>29055.055377029264</v>
      </c>
      <c r="H123" s="348">
        <v>5538141.1768872691</v>
      </c>
      <c r="I123" s="369"/>
      <c r="J123" s="350">
        <v>7597672.447184775</v>
      </c>
      <c r="K123" s="350">
        <v>2245015.5363344839</v>
      </c>
      <c r="L123" s="350">
        <v>2268859.7033899752</v>
      </c>
      <c r="M123" s="350">
        <v>2290881.8960058033</v>
      </c>
      <c r="N123" s="350">
        <v>2311020.5602589007</v>
      </c>
      <c r="O123" s="348">
        <v>16713450.14317394</v>
      </c>
      <c r="P123" s="369"/>
      <c r="Q123" s="350">
        <f t="shared" si="69"/>
        <v>2184590.7625992103</v>
      </c>
      <c r="R123" s="350">
        <f t="shared" si="70"/>
        <v>2211579.0780234355</v>
      </c>
      <c r="S123" s="350">
        <f t="shared" si="71"/>
        <v>2236845.467827504</v>
      </c>
      <c r="T123" s="350">
        <f t="shared" si="72"/>
        <v>2260328.1529546482</v>
      </c>
      <c r="U123" s="350">
        <f t="shared" si="73"/>
        <v>2281965.5048818714</v>
      </c>
      <c r="V123" s="350">
        <f t="shared" si="74"/>
        <v>11175308.96628667</v>
      </c>
      <c r="W123" s="365"/>
      <c r="X123" s="377">
        <f t="shared" si="52"/>
        <v>0</v>
      </c>
      <c r="Y123" s="377">
        <f t="shared" si="53"/>
        <v>0</v>
      </c>
      <c r="Z123" s="377">
        <f t="shared" si="54"/>
        <v>0</v>
      </c>
      <c r="AA123" s="377">
        <f t="shared" si="55"/>
        <v>0</v>
      </c>
      <c r="AB123" s="377">
        <f t="shared" si="56"/>
        <v>0</v>
      </c>
      <c r="AC123" s="377">
        <f t="shared" si="57"/>
        <v>0</v>
      </c>
      <c r="AD123" s="376"/>
      <c r="AE123" s="332">
        <v>108</v>
      </c>
      <c r="AF123" s="350">
        <v>5611544.9997079419</v>
      </c>
      <c r="AG123" s="350">
        <v>34662.360809667443</v>
      </c>
      <c r="AH123" s="350">
        <v>33187.994188528632</v>
      </c>
      <c r="AI123" s="350">
        <v>31673.954695586312</v>
      </c>
      <c r="AJ123" s="350">
        <v>30120.319665873965</v>
      </c>
      <c r="AK123" s="348">
        <v>5741189.6290675979</v>
      </c>
      <c r="AL123" s="369"/>
      <c r="AM123" s="350">
        <v>7690288.1449639462</v>
      </c>
      <c r="AN123" s="350">
        <v>2139086.1857840847</v>
      </c>
      <c r="AO123" s="350">
        <v>2161654.0038639754</v>
      </c>
      <c r="AP123" s="350">
        <v>2182484.8683118415</v>
      </c>
      <c r="AQ123" s="350">
        <v>2201520.2139599971</v>
      </c>
      <c r="AR123" s="348">
        <v>16375033.416883845</v>
      </c>
      <c r="AS123" s="369"/>
      <c r="AT123" s="350">
        <f t="shared" si="75"/>
        <v>2078743.1452560043</v>
      </c>
      <c r="AU123" s="350">
        <f t="shared" si="58"/>
        <v>2104423.8249744172</v>
      </c>
      <c r="AV123" s="350">
        <f t="shared" si="59"/>
        <v>2128466.0096754469</v>
      </c>
      <c r="AW123" s="350">
        <f t="shared" si="60"/>
        <v>2150810.9136162554</v>
      </c>
      <c r="AX123" s="350">
        <f t="shared" si="61"/>
        <v>2171399.8942941232</v>
      </c>
      <c r="AY123" s="350">
        <f t="shared" si="62"/>
        <v>10633843.787816247</v>
      </c>
      <c r="AZ123" s="365"/>
      <c r="BA123" s="377">
        <f t="shared" si="63"/>
        <v>0</v>
      </c>
      <c r="BB123" s="377">
        <f t="shared" si="64"/>
        <v>0</v>
      </c>
      <c r="BC123" s="377">
        <f t="shared" si="65"/>
        <v>0</v>
      </c>
      <c r="BD123" s="377">
        <f t="shared" si="66"/>
        <v>0</v>
      </c>
      <c r="BE123" s="377">
        <f t="shared" si="67"/>
        <v>0</v>
      </c>
      <c r="BF123" s="377">
        <f t="shared" si="68"/>
        <v>0</v>
      </c>
      <c r="BG123" s="328"/>
    </row>
    <row r="124" spans="2:59">
      <c r="B124" s="332">
        <v>109</v>
      </c>
      <c r="C124" s="350">
        <v>6415849.135930541</v>
      </c>
      <c r="D124" s="350">
        <v>39630.525579246023</v>
      </c>
      <c r="E124" s="350">
        <v>37944.837624722066</v>
      </c>
      <c r="F124" s="350">
        <v>36213.790475841939</v>
      </c>
      <c r="G124" s="350">
        <v>34437.472552088351</v>
      </c>
      <c r="H124" s="348">
        <v>6564075.7621624386</v>
      </c>
      <c r="I124" s="369"/>
      <c r="J124" s="350">
        <v>8133514.3610481257</v>
      </c>
      <c r="K124" s="350">
        <v>1778515.693435003</v>
      </c>
      <c r="L124" s="350">
        <v>1796696.0599716541</v>
      </c>
      <c r="M124" s="350">
        <v>1813428.6044143138</v>
      </c>
      <c r="N124" s="350">
        <v>1828664.9588891205</v>
      </c>
      <c r="O124" s="348">
        <v>15350819.677758219</v>
      </c>
      <c r="P124" s="369"/>
      <c r="Q124" s="350">
        <f t="shared" si="69"/>
        <v>1717665.2251175847</v>
      </c>
      <c r="R124" s="350">
        <f t="shared" si="70"/>
        <v>1738885.1678557571</v>
      </c>
      <c r="S124" s="350">
        <f t="shared" si="71"/>
        <v>1758751.2223469319</v>
      </c>
      <c r="T124" s="350">
        <f t="shared" si="72"/>
        <v>1777214.813938472</v>
      </c>
      <c r="U124" s="350">
        <f t="shared" si="73"/>
        <v>1794227.4863370322</v>
      </c>
      <c r="V124" s="350">
        <f t="shared" si="74"/>
        <v>8786743.9155957811</v>
      </c>
      <c r="W124" s="365"/>
      <c r="X124" s="377">
        <f t="shared" si="52"/>
        <v>0</v>
      </c>
      <c r="Y124" s="377">
        <f t="shared" si="53"/>
        <v>0</v>
      </c>
      <c r="Z124" s="377">
        <f t="shared" si="54"/>
        <v>0</v>
      </c>
      <c r="AA124" s="377">
        <f t="shared" si="55"/>
        <v>0</v>
      </c>
      <c r="AB124" s="377">
        <f t="shared" si="56"/>
        <v>0</v>
      </c>
      <c r="AC124" s="377">
        <f t="shared" si="57"/>
        <v>0</v>
      </c>
      <c r="AD124" s="376"/>
      <c r="AE124" s="332">
        <v>109</v>
      </c>
      <c r="AF124" s="350">
        <v>4874180.1968632229</v>
      </c>
      <c r="AG124" s="350">
        <v>30107.678481381539</v>
      </c>
      <c r="AH124" s="350">
        <v>28827.045680958719</v>
      </c>
      <c r="AI124" s="350">
        <v>27511.953079162155</v>
      </c>
      <c r="AJ124" s="350">
        <v>26162.467849092296</v>
      </c>
      <c r="AK124" s="348">
        <v>4986789.3419538178</v>
      </c>
      <c r="AL124" s="369"/>
      <c r="AM124" s="350">
        <v>6522837.5025653318</v>
      </c>
      <c r="AN124" s="350">
        <v>1699132.4068397167</v>
      </c>
      <c r="AO124" s="350">
        <v>1716919.7014755644</v>
      </c>
      <c r="AP124" s="350">
        <v>1733326.4179444555</v>
      </c>
      <c r="AQ124" s="350">
        <v>1748306.1138780096</v>
      </c>
      <c r="AR124" s="348">
        <v>13420522.142703079</v>
      </c>
      <c r="AS124" s="369"/>
      <c r="AT124" s="350">
        <f t="shared" si="75"/>
        <v>1648657.3057021089</v>
      </c>
      <c r="AU124" s="350">
        <f t="shared" si="58"/>
        <v>1669024.7283583351</v>
      </c>
      <c r="AV124" s="350">
        <f t="shared" si="59"/>
        <v>1688092.6557946056</v>
      </c>
      <c r="AW124" s="350">
        <f t="shared" si="60"/>
        <v>1705814.4648652934</v>
      </c>
      <c r="AX124" s="350">
        <f t="shared" si="61"/>
        <v>1722143.6460289173</v>
      </c>
      <c r="AY124" s="350">
        <f t="shared" si="62"/>
        <v>8433732.8007492609</v>
      </c>
      <c r="AZ124" s="365"/>
      <c r="BA124" s="377">
        <f t="shared" si="63"/>
        <v>0</v>
      </c>
      <c r="BB124" s="377">
        <f t="shared" si="64"/>
        <v>0</v>
      </c>
      <c r="BC124" s="377">
        <f t="shared" si="65"/>
        <v>0</v>
      </c>
      <c r="BD124" s="377">
        <f t="shared" si="66"/>
        <v>0</v>
      </c>
      <c r="BE124" s="377">
        <f t="shared" si="67"/>
        <v>0</v>
      </c>
      <c r="BF124" s="377">
        <f t="shared" si="68"/>
        <v>0</v>
      </c>
      <c r="BG124" s="328"/>
    </row>
    <row r="125" spans="2:59">
      <c r="B125" s="332">
        <v>110</v>
      </c>
      <c r="C125" s="350">
        <v>5288761.2708076006</v>
      </c>
      <c r="D125" s="350">
        <v>32668.534497089226</v>
      </c>
      <c r="E125" s="350">
        <v>31278.975456709264</v>
      </c>
      <c r="F125" s="350">
        <v>29852.025582267714</v>
      </c>
      <c r="G125" s="350">
        <v>28387.757760386685</v>
      </c>
      <c r="H125" s="348">
        <v>5410948.5641040541</v>
      </c>
      <c r="I125" s="369"/>
      <c r="J125" s="350">
        <v>7008263.588807743</v>
      </c>
      <c r="K125" s="350">
        <v>1773413.4905809257</v>
      </c>
      <c r="L125" s="350">
        <v>1791911.2333544099</v>
      </c>
      <c r="M125" s="350">
        <v>1808967.6224193629</v>
      </c>
      <c r="N125" s="350">
        <v>1824534.2225436491</v>
      </c>
      <c r="O125" s="348">
        <v>14207090.157706091</v>
      </c>
      <c r="P125" s="369"/>
      <c r="Q125" s="350">
        <f t="shared" si="69"/>
        <v>1719502.3180001425</v>
      </c>
      <c r="R125" s="350">
        <f t="shared" si="70"/>
        <v>1740744.9560838365</v>
      </c>
      <c r="S125" s="350">
        <f t="shared" si="71"/>
        <v>1760632.2578977006</v>
      </c>
      <c r="T125" s="350">
        <f t="shared" si="72"/>
        <v>1779115.5968370952</v>
      </c>
      <c r="U125" s="350">
        <f t="shared" si="73"/>
        <v>1796146.4647832625</v>
      </c>
      <c r="V125" s="350">
        <f t="shared" si="74"/>
        <v>8796141.5936020371</v>
      </c>
      <c r="W125" s="365"/>
      <c r="X125" s="377">
        <f t="shared" si="52"/>
        <v>0</v>
      </c>
      <c r="Y125" s="377">
        <f t="shared" si="53"/>
        <v>0</v>
      </c>
      <c r="Z125" s="377">
        <f t="shared" si="54"/>
        <v>0</v>
      </c>
      <c r="AA125" s="377">
        <f t="shared" si="55"/>
        <v>0</v>
      </c>
      <c r="AB125" s="377">
        <f t="shared" si="56"/>
        <v>0</v>
      </c>
      <c r="AC125" s="377">
        <f t="shared" si="57"/>
        <v>0</v>
      </c>
      <c r="AD125" s="376"/>
      <c r="AE125" s="332">
        <v>110</v>
      </c>
      <c r="AF125" s="350">
        <v>4476844.086599648</v>
      </c>
      <c r="AG125" s="350">
        <v>27653.344137206946</v>
      </c>
      <c r="AH125" s="350">
        <v>26477.106667905056</v>
      </c>
      <c r="AI125" s="350">
        <v>25269.21851032869</v>
      </c>
      <c r="AJ125" s="350">
        <v>24029.741361723616</v>
      </c>
      <c r="AK125" s="348">
        <v>4580273.4972768119</v>
      </c>
      <c r="AL125" s="369"/>
      <c r="AM125" s="350">
        <v>5580831.9835748123</v>
      </c>
      <c r="AN125" s="350">
        <v>1145279.8475269871</v>
      </c>
      <c r="AO125" s="350">
        <v>1156872.0374544747</v>
      </c>
      <c r="AP125" s="350">
        <v>1167531.1774894027</v>
      </c>
      <c r="AQ125" s="350">
        <v>1177226.1852151277</v>
      </c>
      <c r="AR125" s="348">
        <v>10227741.231260803</v>
      </c>
      <c r="AS125" s="369"/>
      <c r="AT125" s="350">
        <f t="shared" si="75"/>
        <v>1103987.8969751643</v>
      </c>
      <c r="AU125" s="350">
        <f t="shared" si="58"/>
        <v>1117626.5033897802</v>
      </c>
      <c r="AV125" s="350">
        <f t="shared" si="59"/>
        <v>1130394.9307865696</v>
      </c>
      <c r="AW125" s="350">
        <f t="shared" si="60"/>
        <v>1142261.9589790739</v>
      </c>
      <c r="AX125" s="350">
        <f t="shared" si="61"/>
        <v>1153196.4438534041</v>
      </c>
      <c r="AY125" s="350">
        <f t="shared" si="62"/>
        <v>5647467.7339839907</v>
      </c>
      <c r="AZ125" s="365"/>
      <c r="BA125" s="377">
        <f t="shared" si="63"/>
        <v>0</v>
      </c>
      <c r="BB125" s="377">
        <f t="shared" si="64"/>
        <v>0</v>
      </c>
      <c r="BC125" s="377">
        <f t="shared" si="65"/>
        <v>0</v>
      </c>
      <c r="BD125" s="377">
        <f t="shared" si="66"/>
        <v>0</v>
      </c>
      <c r="BE125" s="377">
        <f t="shared" si="67"/>
        <v>0</v>
      </c>
      <c r="BF125" s="377">
        <f t="shared" si="68"/>
        <v>0</v>
      </c>
      <c r="BG125" s="328"/>
    </row>
    <row r="126" spans="2:59">
      <c r="B126" s="332">
        <v>111</v>
      </c>
      <c r="C126" s="350">
        <v>5365345.9198471773</v>
      </c>
      <c r="D126" s="350">
        <v>33141.595790838903</v>
      </c>
      <c r="E126" s="350">
        <v>31731.915045962785</v>
      </c>
      <c r="F126" s="350">
        <v>30284.30202381514</v>
      </c>
      <c r="G126" s="350">
        <v>28798.830666456754</v>
      </c>
      <c r="H126" s="348">
        <v>5489302.5633742502</v>
      </c>
      <c r="I126" s="369"/>
      <c r="J126" s="350">
        <v>7133681.7847796082</v>
      </c>
      <c r="K126" s="350">
        <v>1823323.3857888803</v>
      </c>
      <c r="L126" s="350">
        <v>1842365.802541082</v>
      </c>
      <c r="M126" s="350">
        <v>1859926.4518562881</v>
      </c>
      <c r="N126" s="350">
        <v>1875955.5219362231</v>
      </c>
      <c r="O126" s="348">
        <v>14535252.946902081</v>
      </c>
      <c r="P126" s="369"/>
      <c r="Q126" s="350">
        <f t="shared" si="69"/>
        <v>1768335.8649324309</v>
      </c>
      <c r="R126" s="350">
        <f t="shared" si="70"/>
        <v>1790181.7899980415</v>
      </c>
      <c r="S126" s="350">
        <f t="shared" si="71"/>
        <v>1810633.8874951191</v>
      </c>
      <c r="T126" s="350">
        <f t="shared" si="72"/>
        <v>1829642.1498324729</v>
      </c>
      <c r="U126" s="350">
        <f t="shared" si="73"/>
        <v>1847156.6912697663</v>
      </c>
      <c r="V126" s="350">
        <f t="shared" si="74"/>
        <v>9045950.3835278302</v>
      </c>
      <c r="W126" s="365"/>
      <c r="X126" s="377">
        <f t="shared" si="52"/>
        <v>0</v>
      </c>
      <c r="Y126" s="377">
        <f t="shared" si="53"/>
        <v>0</v>
      </c>
      <c r="Z126" s="377">
        <f t="shared" si="54"/>
        <v>0</v>
      </c>
      <c r="AA126" s="377">
        <f t="shared" si="55"/>
        <v>0</v>
      </c>
      <c r="AB126" s="377">
        <f t="shared" si="56"/>
        <v>0</v>
      </c>
      <c r="AC126" s="377">
        <f t="shared" si="57"/>
        <v>0</v>
      </c>
      <c r="AD126" s="376"/>
      <c r="AE126" s="332">
        <v>111</v>
      </c>
      <c r="AF126" s="350">
        <v>5204912.0549583081</v>
      </c>
      <c r="AG126" s="350">
        <v>32150.600171777951</v>
      </c>
      <c r="AH126" s="350">
        <v>30783.071514306168</v>
      </c>
      <c r="AI126" s="350">
        <v>29378.744825506445</v>
      </c>
      <c r="AJ126" s="350">
        <v>27937.691836430375</v>
      </c>
      <c r="AK126" s="348">
        <v>5325162.1633063303</v>
      </c>
      <c r="AL126" s="369"/>
      <c r="AM126" s="350">
        <v>7154955.6593367085</v>
      </c>
      <c r="AN126" s="350">
        <v>2006284.9371427409</v>
      </c>
      <c r="AO126" s="350">
        <v>2027471.0888755186</v>
      </c>
      <c r="AP126" s="350">
        <v>2047028.244185911</v>
      </c>
      <c r="AQ126" s="350">
        <v>2064901.462988022</v>
      </c>
      <c r="AR126" s="348">
        <v>15300641.392528903</v>
      </c>
      <c r="AS126" s="369"/>
      <c r="AT126" s="350">
        <f t="shared" si="75"/>
        <v>1950043.6043784004</v>
      </c>
      <c r="AU126" s="350">
        <f t="shared" si="58"/>
        <v>1974134.336970963</v>
      </c>
      <c r="AV126" s="350">
        <f t="shared" si="59"/>
        <v>1996688.0173612125</v>
      </c>
      <c r="AW126" s="350">
        <f t="shared" si="60"/>
        <v>2017649.4993604047</v>
      </c>
      <c r="AX126" s="350">
        <f t="shared" si="61"/>
        <v>2036963.7711515916</v>
      </c>
      <c r="AY126" s="350">
        <f t="shared" si="62"/>
        <v>9975479.2292225733</v>
      </c>
      <c r="AZ126" s="365"/>
      <c r="BA126" s="377">
        <f t="shared" si="63"/>
        <v>0</v>
      </c>
      <c r="BB126" s="377">
        <f t="shared" si="64"/>
        <v>0</v>
      </c>
      <c r="BC126" s="377">
        <f t="shared" si="65"/>
        <v>0</v>
      </c>
      <c r="BD126" s="377">
        <f t="shared" si="66"/>
        <v>0</v>
      </c>
      <c r="BE126" s="377">
        <f t="shared" si="67"/>
        <v>0</v>
      </c>
      <c r="BF126" s="377">
        <f t="shared" si="68"/>
        <v>0</v>
      </c>
      <c r="BG126" s="328"/>
    </row>
    <row r="127" spans="2:59">
      <c r="B127" s="332">
        <v>112</v>
      </c>
      <c r="C127" s="350">
        <v>5116919.4461377198</v>
      </c>
      <c r="D127" s="350">
        <v>31607.072220797894</v>
      </c>
      <c r="E127" s="350">
        <v>30262.66257339442</v>
      </c>
      <c r="F127" s="350">
        <v>28882.076990627997</v>
      </c>
      <c r="G127" s="350">
        <v>27465.385990884075</v>
      </c>
      <c r="H127" s="348">
        <v>5235136.6439134236</v>
      </c>
      <c r="I127" s="369"/>
      <c r="J127" s="350">
        <v>7007339.1740505621</v>
      </c>
      <c r="K127" s="350">
        <v>1945380.9426002991</v>
      </c>
      <c r="L127" s="350">
        <v>1965900.6196076954</v>
      </c>
      <c r="M127" s="350">
        <v>1984840.60481042</v>
      </c>
      <c r="N127" s="350">
        <v>2002147.6389326947</v>
      </c>
      <c r="O127" s="348">
        <v>14905608.980001669</v>
      </c>
      <c r="P127" s="369"/>
      <c r="Q127" s="350">
        <f t="shared" si="69"/>
        <v>1890419.7279128423</v>
      </c>
      <c r="R127" s="350">
        <f t="shared" si="70"/>
        <v>1913773.8703795013</v>
      </c>
      <c r="S127" s="350">
        <f t="shared" si="71"/>
        <v>1935637.957034301</v>
      </c>
      <c r="T127" s="350">
        <f t="shared" si="72"/>
        <v>1955958.527819792</v>
      </c>
      <c r="U127" s="350">
        <f t="shared" si="73"/>
        <v>1974682.2529418105</v>
      </c>
      <c r="V127" s="350">
        <f t="shared" si="74"/>
        <v>9670472.3360882457</v>
      </c>
      <c r="W127" s="365"/>
      <c r="X127" s="377">
        <f t="shared" si="52"/>
        <v>0</v>
      </c>
      <c r="Y127" s="377">
        <f t="shared" si="53"/>
        <v>0</v>
      </c>
      <c r="Z127" s="377">
        <f t="shared" si="54"/>
        <v>0</v>
      </c>
      <c r="AA127" s="377">
        <f t="shared" si="55"/>
        <v>0</v>
      </c>
      <c r="AB127" s="377">
        <f t="shared" si="56"/>
        <v>0</v>
      </c>
      <c r="AC127" s="377">
        <f t="shared" si="57"/>
        <v>0</v>
      </c>
      <c r="AD127" s="376"/>
      <c r="AE127" s="332">
        <v>112</v>
      </c>
      <c r="AF127" s="350">
        <v>5839281.6203423049</v>
      </c>
      <c r="AG127" s="350">
        <v>36069.083720097471</v>
      </c>
      <c r="AH127" s="350">
        <v>34534.882013989765</v>
      </c>
      <c r="AI127" s="350">
        <v>32959.397368660313</v>
      </c>
      <c r="AJ127" s="350">
        <v>31342.7102576791</v>
      </c>
      <c r="AK127" s="348">
        <v>5974187.6937027313</v>
      </c>
      <c r="AL127" s="369"/>
      <c r="AM127" s="350">
        <v>8166720.8979376014</v>
      </c>
      <c r="AN127" s="350">
        <v>2392261.4195219278</v>
      </c>
      <c r="AO127" s="350">
        <v>2417645.7551637758</v>
      </c>
      <c r="AP127" s="350">
        <v>2441088.4682715535</v>
      </c>
      <c r="AQ127" s="350">
        <v>2462523.9809596101</v>
      </c>
      <c r="AR127" s="348">
        <v>17880240.521854468</v>
      </c>
      <c r="AS127" s="369"/>
      <c r="AT127" s="350">
        <f t="shared" si="75"/>
        <v>2327439.2775952965</v>
      </c>
      <c r="AU127" s="350">
        <f t="shared" si="58"/>
        <v>2356192.3358018305</v>
      </c>
      <c r="AV127" s="350">
        <f t="shared" si="59"/>
        <v>2383110.8731497861</v>
      </c>
      <c r="AW127" s="350">
        <f t="shared" si="60"/>
        <v>2408129.0709028933</v>
      </c>
      <c r="AX127" s="350">
        <f t="shared" si="61"/>
        <v>2431181.2707019309</v>
      </c>
      <c r="AY127" s="350">
        <f t="shared" si="62"/>
        <v>11906052.828151736</v>
      </c>
      <c r="AZ127" s="365"/>
      <c r="BA127" s="377">
        <f t="shared" si="63"/>
        <v>0</v>
      </c>
      <c r="BB127" s="377">
        <f t="shared" si="64"/>
        <v>0</v>
      </c>
      <c r="BC127" s="377">
        <f t="shared" si="65"/>
        <v>0</v>
      </c>
      <c r="BD127" s="377">
        <f t="shared" si="66"/>
        <v>0</v>
      </c>
      <c r="BE127" s="377">
        <f t="shared" si="67"/>
        <v>0</v>
      </c>
      <c r="BF127" s="377">
        <f t="shared" si="68"/>
        <v>0</v>
      </c>
      <c r="BG127" s="328"/>
    </row>
    <row r="128" spans="2:59">
      <c r="B128" s="332">
        <v>113</v>
      </c>
      <c r="C128" s="350">
        <v>4218805.3172855619</v>
      </c>
      <c r="D128" s="350">
        <v>26059.445678704677</v>
      </c>
      <c r="E128" s="350">
        <v>24951.004823074014</v>
      </c>
      <c r="F128" s="350">
        <v>23812.737578716409</v>
      </c>
      <c r="G128" s="350">
        <v>22644.702086740341</v>
      </c>
      <c r="H128" s="348">
        <v>4316273.2074527964</v>
      </c>
      <c r="I128" s="369"/>
      <c r="J128" s="350">
        <v>5989731.669327043</v>
      </c>
      <c r="K128" s="350">
        <v>1818863.7255226017</v>
      </c>
      <c r="L128" s="350">
        <v>1838237.3430419415</v>
      </c>
      <c r="M128" s="350">
        <v>1856135.1838963255</v>
      </c>
      <c r="N128" s="350">
        <v>1872507.3474074434</v>
      </c>
      <c r="O128" s="348">
        <v>13375475.269195355</v>
      </c>
      <c r="P128" s="369"/>
      <c r="Q128" s="350">
        <f t="shared" si="69"/>
        <v>1770926.3520414811</v>
      </c>
      <c r="R128" s="350">
        <f t="shared" si="70"/>
        <v>1792804.2798438971</v>
      </c>
      <c r="S128" s="350">
        <f t="shared" si="71"/>
        <v>1813286.3382188675</v>
      </c>
      <c r="T128" s="350">
        <f t="shared" si="72"/>
        <v>1832322.4463176092</v>
      </c>
      <c r="U128" s="350">
        <f t="shared" si="73"/>
        <v>1849862.645320703</v>
      </c>
      <c r="V128" s="350">
        <f t="shared" si="74"/>
        <v>9059202.0617425591</v>
      </c>
      <c r="W128" s="365"/>
      <c r="X128" s="377">
        <f t="shared" si="52"/>
        <v>0</v>
      </c>
      <c r="Y128" s="377">
        <f t="shared" si="53"/>
        <v>0</v>
      </c>
      <c r="Z128" s="377">
        <f t="shared" si="54"/>
        <v>0</v>
      </c>
      <c r="AA128" s="377">
        <f t="shared" si="55"/>
        <v>0</v>
      </c>
      <c r="AB128" s="377">
        <f t="shared" si="56"/>
        <v>0</v>
      </c>
      <c r="AC128" s="377">
        <f t="shared" si="57"/>
        <v>0</v>
      </c>
      <c r="AD128" s="376"/>
      <c r="AE128" s="332">
        <v>113</v>
      </c>
      <c r="AF128" s="350">
        <v>5721851.8041242687</v>
      </c>
      <c r="AG128" s="350">
        <v>35343.722939818334</v>
      </c>
      <c r="AH128" s="350">
        <v>33840.374519456556</v>
      </c>
      <c r="AI128" s="350">
        <v>32296.573372952364</v>
      </c>
      <c r="AJ128" s="350">
        <v>30712.398355524012</v>
      </c>
      <c r="AK128" s="348">
        <v>5854044.8733120197</v>
      </c>
      <c r="AL128" s="369"/>
      <c r="AM128" s="350">
        <v>6712561.1432285951</v>
      </c>
      <c r="AN128" s="350">
        <v>1038292.2313179632</v>
      </c>
      <c r="AO128" s="350">
        <v>1048247.1609297574</v>
      </c>
      <c r="AP128" s="350">
        <v>1057352.7298442316</v>
      </c>
      <c r="AQ128" s="350">
        <v>1065581.0684539676</v>
      </c>
      <c r="AR128" s="348">
        <v>10922034.333774514</v>
      </c>
      <c r="AS128" s="369"/>
      <c r="AT128" s="350">
        <f t="shared" si="75"/>
        <v>990709.33910432644</v>
      </c>
      <c r="AU128" s="350">
        <f t="shared" si="58"/>
        <v>1002948.5083781449</v>
      </c>
      <c r="AV128" s="350">
        <f t="shared" si="59"/>
        <v>1014406.7864103009</v>
      </c>
      <c r="AW128" s="350">
        <f t="shared" si="60"/>
        <v>1025056.1564712792</v>
      </c>
      <c r="AX128" s="350">
        <f t="shared" si="61"/>
        <v>1034868.6700984435</v>
      </c>
      <c r="AY128" s="350">
        <f t="shared" si="62"/>
        <v>5067989.4604624948</v>
      </c>
      <c r="AZ128" s="365"/>
      <c r="BA128" s="377">
        <f t="shared" si="63"/>
        <v>0</v>
      </c>
      <c r="BB128" s="377">
        <f t="shared" si="64"/>
        <v>0</v>
      </c>
      <c r="BC128" s="377">
        <f t="shared" si="65"/>
        <v>0</v>
      </c>
      <c r="BD128" s="377">
        <f t="shared" si="66"/>
        <v>0</v>
      </c>
      <c r="BE128" s="377">
        <f t="shared" si="67"/>
        <v>0</v>
      </c>
      <c r="BF128" s="377">
        <f t="shared" si="68"/>
        <v>0</v>
      </c>
      <c r="BG128" s="328"/>
    </row>
    <row r="129" spans="2:59">
      <c r="B129" s="332">
        <v>114</v>
      </c>
      <c r="C129" s="350">
        <v>5118217.5222696746</v>
      </c>
      <c r="D129" s="350">
        <v>31615.090401752856</v>
      </c>
      <c r="E129" s="350">
        <v>30270.339700305612</v>
      </c>
      <c r="F129" s="350">
        <v>28889.403886267221</v>
      </c>
      <c r="G129" s="350">
        <v>27472.353495920666</v>
      </c>
      <c r="H129" s="348">
        <v>5236464.7097539213</v>
      </c>
      <c r="I129" s="369"/>
      <c r="J129" s="350">
        <v>7159449.988233095</v>
      </c>
      <c r="K129" s="350">
        <v>2098064.8311924478</v>
      </c>
      <c r="L129" s="350">
        <v>2120328.4267537054</v>
      </c>
      <c r="M129" s="350">
        <v>2140889.1836768901</v>
      </c>
      <c r="N129" s="350">
        <v>2159689.5881927307</v>
      </c>
      <c r="O129" s="348">
        <v>15678422.018048868</v>
      </c>
      <c r="P129" s="369"/>
      <c r="Q129" s="350">
        <f t="shared" si="69"/>
        <v>2041232.4659634205</v>
      </c>
      <c r="R129" s="350">
        <f t="shared" si="70"/>
        <v>2066449.740790695</v>
      </c>
      <c r="S129" s="350">
        <f t="shared" si="71"/>
        <v>2090058.0870533998</v>
      </c>
      <c r="T129" s="350">
        <f t="shared" si="72"/>
        <v>2111999.7797906226</v>
      </c>
      <c r="U129" s="350">
        <f t="shared" si="73"/>
        <v>2132217.2346968101</v>
      </c>
      <c r="V129" s="350">
        <f t="shared" si="74"/>
        <v>10441957.308294946</v>
      </c>
      <c r="W129" s="365"/>
      <c r="X129" s="377">
        <f t="shared" si="52"/>
        <v>0</v>
      </c>
      <c r="Y129" s="377">
        <f t="shared" si="53"/>
        <v>0</v>
      </c>
      <c r="Z129" s="377">
        <f t="shared" si="54"/>
        <v>0</v>
      </c>
      <c r="AA129" s="377">
        <f t="shared" si="55"/>
        <v>0</v>
      </c>
      <c r="AB129" s="377">
        <f t="shared" si="56"/>
        <v>0</v>
      </c>
      <c r="AC129" s="377">
        <f t="shared" si="57"/>
        <v>0</v>
      </c>
      <c r="AD129" s="376"/>
      <c r="AE129" s="332">
        <v>114</v>
      </c>
      <c r="AF129" s="350">
        <v>5765043.526260809</v>
      </c>
      <c r="AG129" s="350">
        <v>35610.517032490861</v>
      </c>
      <c r="AH129" s="350">
        <v>34095.820501504932</v>
      </c>
      <c r="AI129" s="350">
        <v>32540.365884684485</v>
      </c>
      <c r="AJ129" s="350">
        <v>30944.232632490293</v>
      </c>
      <c r="AK129" s="348">
        <v>5898234.4623119794</v>
      </c>
      <c r="AL129" s="369"/>
      <c r="AM129" s="350">
        <v>8189058.5545247439</v>
      </c>
      <c r="AN129" s="350">
        <v>2489571.6950723315</v>
      </c>
      <c r="AO129" s="350">
        <v>2516092.5050735436</v>
      </c>
      <c r="AP129" s="350">
        <v>2540593.3638984533</v>
      </c>
      <c r="AQ129" s="350">
        <v>2563005.9681825358</v>
      </c>
      <c r="AR129" s="348">
        <v>18298322.08675161</v>
      </c>
      <c r="AS129" s="369"/>
      <c r="AT129" s="350">
        <f t="shared" si="75"/>
        <v>2424015.0282639349</v>
      </c>
      <c r="AU129" s="350">
        <f t="shared" si="58"/>
        <v>2453961.1780398404</v>
      </c>
      <c r="AV129" s="350">
        <f t="shared" si="59"/>
        <v>2481996.6845720387</v>
      </c>
      <c r="AW129" s="350">
        <f t="shared" si="60"/>
        <v>2508052.9980137688</v>
      </c>
      <c r="AX129" s="350">
        <f t="shared" si="61"/>
        <v>2532061.7355500455</v>
      </c>
      <c r="AY129" s="350">
        <f t="shared" si="62"/>
        <v>12400087.624439631</v>
      </c>
      <c r="AZ129" s="365"/>
      <c r="BA129" s="377">
        <f t="shared" si="63"/>
        <v>0</v>
      </c>
      <c r="BB129" s="377">
        <f t="shared" si="64"/>
        <v>0</v>
      </c>
      <c r="BC129" s="377">
        <f t="shared" si="65"/>
        <v>0</v>
      </c>
      <c r="BD129" s="377">
        <f t="shared" si="66"/>
        <v>0</v>
      </c>
      <c r="BE129" s="377">
        <f t="shared" si="67"/>
        <v>0</v>
      </c>
      <c r="BF129" s="377">
        <f t="shared" si="68"/>
        <v>0</v>
      </c>
      <c r="BG129" s="328"/>
    </row>
    <row r="130" spans="2:59">
      <c r="B130" s="332">
        <v>115</v>
      </c>
      <c r="C130" s="350">
        <v>5914294.1229499653</v>
      </c>
      <c r="D130" s="350">
        <v>36532.43390810494</v>
      </c>
      <c r="E130" s="350">
        <v>34978.523560253685</v>
      </c>
      <c r="F130" s="350">
        <v>33382.79994483629</v>
      </c>
      <c r="G130" s="350">
        <v>31745.344569191577</v>
      </c>
      <c r="H130" s="348">
        <v>6050933.2249323521</v>
      </c>
      <c r="I130" s="369"/>
      <c r="J130" s="350">
        <v>8917865.7118745595</v>
      </c>
      <c r="K130" s="350">
        <v>3077209.9828271004</v>
      </c>
      <c r="L130" s="350">
        <v>3110394.5744767096</v>
      </c>
      <c r="M130" s="350">
        <v>3141084.955465911</v>
      </c>
      <c r="N130" s="350">
        <v>3169196.4748734613</v>
      </c>
      <c r="O130" s="348">
        <v>21415751.699517742</v>
      </c>
      <c r="P130" s="369"/>
      <c r="Q130" s="350">
        <f t="shared" si="69"/>
        <v>3003571.5889245942</v>
      </c>
      <c r="R130" s="350">
        <f t="shared" si="70"/>
        <v>3040677.5489189955</v>
      </c>
      <c r="S130" s="350">
        <f t="shared" si="71"/>
        <v>3075416.0509164557</v>
      </c>
      <c r="T130" s="350">
        <f t="shared" si="72"/>
        <v>3107702.1555210748</v>
      </c>
      <c r="U130" s="350">
        <f t="shared" si="73"/>
        <v>3137451.1303042695</v>
      </c>
      <c r="V130" s="350">
        <f t="shared" si="74"/>
        <v>15364818.47458539</v>
      </c>
      <c r="W130" s="365"/>
      <c r="X130" s="377">
        <f t="shared" si="52"/>
        <v>0</v>
      </c>
      <c r="Y130" s="377">
        <f t="shared" si="53"/>
        <v>0</v>
      </c>
      <c r="Z130" s="377">
        <f t="shared" si="54"/>
        <v>0</v>
      </c>
      <c r="AA130" s="377">
        <f t="shared" si="55"/>
        <v>0</v>
      </c>
      <c r="AB130" s="377">
        <f t="shared" si="56"/>
        <v>0</v>
      </c>
      <c r="AC130" s="377">
        <f t="shared" si="57"/>
        <v>0</v>
      </c>
      <c r="AD130" s="376"/>
      <c r="AE130" s="332">
        <v>115</v>
      </c>
      <c r="AF130" s="350">
        <v>4749447.3492476465</v>
      </c>
      <c r="AG130" s="350">
        <v>29337.207074826038</v>
      </c>
      <c r="AH130" s="350">
        <v>28089.346344679729</v>
      </c>
      <c r="AI130" s="350">
        <v>26807.907657690499</v>
      </c>
      <c r="AJ130" s="350">
        <v>25492.956467964366</v>
      </c>
      <c r="AK130" s="348">
        <v>4859174.7667928068</v>
      </c>
      <c r="AL130" s="369"/>
      <c r="AM130" s="350">
        <v>6735048.0149962734</v>
      </c>
      <c r="AN130" s="350">
        <v>2039467.87541763</v>
      </c>
      <c r="AO130" s="350">
        <v>2061184.9384960649</v>
      </c>
      <c r="AP130" s="350">
        <v>2081247.1931086623</v>
      </c>
      <c r="AQ130" s="350">
        <v>2099598.6898080637</v>
      </c>
      <c r="AR130" s="348">
        <v>15016546.711826693</v>
      </c>
      <c r="AS130" s="369"/>
      <c r="AT130" s="350">
        <f t="shared" si="75"/>
        <v>1985600.6657486269</v>
      </c>
      <c r="AU130" s="350">
        <f t="shared" si="58"/>
        <v>2010130.6683428038</v>
      </c>
      <c r="AV130" s="350">
        <f t="shared" si="59"/>
        <v>2033095.592151385</v>
      </c>
      <c r="AW130" s="350">
        <f t="shared" si="60"/>
        <v>2054439.2854509717</v>
      </c>
      <c r="AX130" s="350">
        <f t="shared" si="61"/>
        <v>2074105.7333400992</v>
      </c>
      <c r="AY130" s="350">
        <f t="shared" si="62"/>
        <v>10157371.945033886</v>
      </c>
      <c r="AZ130" s="365"/>
      <c r="BA130" s="377">
        <f t="shared" si="63"/>
        <v>0</v>
      </c>
      <c r="BB130" s="377">
        <f t="shared" si="64"/>
        <v>0</v>
      </c>
      <c r="BC130" s="377">
        <f t="shared" si="65"/>
        <v>0</v>
      </c>
      <c r="BD130" s="377">
        <f t="shared" si="66"/>
        <v>0</v>
      </c>
      <c r="BE130" s="377">
        <f t="shared" si="67"/>
        <v>0</v>
      </c>
      <c r="BF130" s="377">
        <f t="shared" si="68"/>
        <v>0</v>
      </c>
      <c r="BG130" s="328"/>
    </row>
    <row r="131" spans="2:59">
      <c r="B131" s="332">
        <v>116</v>
      </c>
      <c r="C131" s="350">
        <v>5205830.5911201071</v>
      </c>
      <c r="D131" s="350">
        <v>32156.273944662458</v>
      </c>
      <c r="E131" s="350">
        <v>30788.503952753294</v>
      </c>
      <c r="F131" s="350">
        <v>29383.929435585876</v>
      </c>
      <c r="G131" s="350">
        <v>27942.622136877922</v>
      </c>
      <c r="H131" s="348">
        <v>5326101.9205899872</v>
      </c>
      <c r="I131" s="369"/>
      <c r="J131" s="350">
        <v>7046237.2627279554</v>
      </c>
      <c r="K131" s="350">
        <v>1895299.2294426374</v>
      </c>
      <c r="L131" s="350">
        <v>1915217.1085338201</v>
      </c>
      <c r="M131" s="350">
        <v>1933595.502577703</v>
      </c>
      <c r="N131" s="350">
        <v>1950382.5644200454</v>
      </c>
      <c r="O131" s="348">
        <v>14740731.667702161</v>
      </c>
      <c r="P131" s="369"/>
      <c r="Q131" s="350">
        <f t="shared" si="69"/>
        <v>1840406.6716078483</v>
      </c>
      <c r="R131" s="350">
        <f t="shared" si="70"/>
        <v>1863142.955497975</v>
      </c>
      <c r="S131" s="350">
        <f t="shared" si="71"/>
        <v>1884428.6045810669</v>
      </c>
      <c r="T131" s="350">
        <f t="shared" si="72"/>
        <v>1904211.5731421171</v>
      </c>
      <c r="U131" s="350">
        <f t="shared" si="73"/>
        <v>1922439.9422831675</v>
      </c>
      <c r="V131" s="350">
        <f t="shared" si="74"/>
        <v>9414629.7471121736</v>
      </c>
      <c r="W131" s="365"/>
      <c r="X131" s="377">
        <f t="shared" si="52"/>
        <v>0</v>
      </c>
      <c r="Y131" s="377">
        <f t="shared" si="53"/>
        <v>0</v>
      </c>
      <c r="Z131" s="377">
        <f t="shared" si="54"/>
        <v>0</v>
      </c>
      <c r="AA131" s="377">
        <f t="shared" si="55"/>
        <v>0</v>
      </c>
      <c r="AB131" s="377">
        <f t="shared" si="56"/>
        <v>0</v>
      </c>
      <c r="AC131" s="377">
        <f t="shared" si="57"/>
        <v>0</v>
      </c>
      <c r="AD131" s="376"/>
      <c r="AE131" s="332">
        <v>116</v>
      </c>
      <c r="AF131" s="350">
        <v>5933243.4700920256</v>
      </c>
      <c r="AG131" s="350">
        <v>36649.483509914367</v>
      </c>
      <c r="AH131" s="350">
        <v>35090.594446767136</v>
      </c>
      <c r="AI131" s="350">
        <v>33489.758146706452</v>
      </c>
      <c r="AJ131" s="350">
        <v>31847.056378222933</v>
      </c>
      <c r="AK131" s="348">
        <v>6070320.3625736358</v>
      </c>
      <c r="AL131" s="369"/>
      <c r="AM131" s="350">
        <v>8369385.3871145928</v>
      </c>
      <c r="AN131" s="350">
        <v>2502887.3652323256</v>
      </c>
      <c r="AO131" s="350">
        <v>2529504.2390385047</v>
      </c>
      <c r="AP131" s="350">
        <v>2554090.0709885731</v>
      </c>
      <c r="AQ131" s="350">
        <v>2576576.2179297497</v>
      </c>
      <c r="AR131" s="348">
        <v>18532443.280303746</v>
      </c>
      <c r="AS131" s="369"/>
      <c r="AT131" s="350">
        <f t="shared" si="75"/>
        <v>2436141.9170225672</v>
      </c>
      <c r="AU131" s="350">
        <f t="shared" si="58"/>
        <v>2466237.8817224111</v>
      </c>
      <c r="AV131" s="350">
        <f t="shared" si="59"/>
        <v>2494413.6445917375</v>
      </c>
      <c r="AW131" s="350">
        <f t="shared" si="60"/>
        <v>2520600.3128418666</v>
      </c>
      <c r="AX131" s="350">
        <f t="shared" si="61"/>
        <v>2544729.1615515267</v>
      </c>
      <c r="AY131" s="350">
        <f t="shared" si="62"/>
        <v>12462122.917730112</v>
      </c>
      <c r="AZ131" s="365"/>
      <c r="BA131" s="377">
        <f t="shared" si="63"/>
        <v>0</v>
      </c>
      <c r="BB131" s="377">
        <f t="shared" si="64"/>
        <v>0</v>
      </c>
      <c r="BC131" s="377">
        <f t="shared" si="65"/>
        <v>0</v>
      </c>
      <c r="BD131" s="377">
        <f t="shared" si="66"/>
        <v>0</v>
      </c>
      <c r="BE131" s="377">
        <f t="shared" si="67"/>
        <v>0</v>
      </c>
      <c r="BF131" s="377">
        <f t="shared" si="68"/>
        <v>0</v>
      </c>
      <c r="BG131" s="328"/>
    </row>
    <row r="132" spans="2:59">
      <c r="B132" s="332">
        <v>117</v>
      </c>
      <c r="C132" s="350">
        <v>5910824.6635996215</v>
      </c>
      <c r="D132" s="350">
        <v>36511.003152078134</v>
      </c>
      <c r="E132" s="350">
        <v>34958.004363356136</v>
      </c>
      <c r="F132" s="350">
        <v>33363.216835675077</v>
      </c>
      <c r="G132" s="350">
        <v>31726.72202857181</v>
      </c>
      <c r="H132" s="348">
        <v>6047383.6099793026</v>
      </c>
      <c r="I132" s="369"/>
      <c r="J132" s="350">
        <v>8658917.2931848951</v>
      </c>
      <c r="K132" s="350">
        <v>2818553.4195679026</v>
      </c>
      <c r="L132" s="350">
        <v>2848784.1217750497</v>
      </c>
      <c r="M132" s="350">
        <v>2876729.2348207803</v>
      </c>
      <c r="N132" s="350">
        <v>2902311.3149399026</v>
      </c>
      <c r="O132" s="348">
        <v>20105295.384288527</v>
      </c>
      <c r="P132" s="369"/>
      <c r="Q132" s="350">
        <f t="shared" si="69"/>
        <v>2748092.6295852736</v>
      </c>
      <c r="R132" s="350">
        <f t="shared" si="70"/>
        <v>2782042.4164158246</v>
      </c>
      <c r="S132" s="350">
        <f t="shared" si="71"/>
        <v>2813826.1174116936</v>
      </c>
      <c r="T132" s="350">
        <f t="shared" si="72"/>
        <v>2843366.017985105</v>
      </c>
      <c r="U132" s="350">
        <f t="shared" si="73"/>
        <v>2870584.592911331</v>
      </c>
      <c r="V132" s="350">
        <f t="shared" si="74"/>
        <v>14057911.774309225</v>
      </c>
      <c r="W132" s="365"/>
      <c r="X132" s="377">
        <f t="shared" si="52"/>
        <v>0</v>
      </c>
      <c r="Y132" s="377">
        <f t="shared" si="53"/>
        <v>0</v>
      </c>
      <c r="Z132" s="377">
        <f t="shared" si="54"/>
        <v>0</v>
      </c>
      <c r="AA132" s="377">
        <f t="shared" si="55"/>
        <v>0</v>
      </c>
      <c r="AB132" s="377">
        <f t="shared" si="56"/>
        <v>0</v>
      </c>
      <c r="AC132" s="377">
        <f t="shared" si="57"/>
        <v>0</v>
      </c>
      <c r="AD132" s="376"/>
      <c r="AE132" s="332">
        <v>117</v>
      </c>
      <c r="AF132" s="350">
        <v>4522320.0578235593</v>
      </c>
      <c r="AG132" s="350">
        <v>27934.247974350856</v>
      </c>
      <c r="AH132" s="350">
        <v>26746.062235182646</v>
      </c>
      <c r="AI132" s="350">
        <v>25525.904298709447</v>
      </c>
      <c r="AJ132" s="350">
        <v>24273.836488904428</v>
      </c>
      <c r="AK132" s="348">
        <v>4626800.1088207075</v>
      </c>
      <c r="AL132" s="369"/>
      <c r="AM132" s="350">
        <v>5838486.2035202906</v>
      </c>
      <c r="AN132" s="350">
        <v>1360360.2386264312</v>
      </c>
      <c r="AO132" s="350">
        <v>1374394.4769006856</v>
      </c>
      <c r="AP132" s="350">
        <v>1387322.1015620069</v>
      </c>
      <c r="AQ132" s="350">
        <v>1399106.0451538307</v>
      </c>
      <c r="AR132" s="348">
        <v>11359669.065763244</v>
      </c>
      <c r="AS132" s="369"/>
      <c r="AT132" s="350">
        <f t="shared" si="75"/>
        <v>1316166.1456967313</v>
      </c>
      <c r="AU132" s="350">
        <f t="shared" si="58"/>
        <v>1332425.9906520804</v>
      </c>
      <c r="AV132" s="350">
        <f t="shared" si="59"/>
        <v>1347648.414665503</v>
      </c>
      <c r="AW132" s="350">
        <f t="shared" si="60"/>
        <v>1361796.1972632974</v>
      </c>
      <c r="AX132" s="350">
        <f t="shared" si="61"/>
        <v>1374832.2086649262</v>
      </c>
      <c r="AY132" s="350">
        <f t="shared" si="62"/>
        <v>6732868.9569425369</v>
      </c>
      <c r="AZ132" s="365"/>
      <c r="BA132" s="377">
        <f t="shared" si="63"/>
        <v>0</v>
      </c>
      <c r="BB132" s="377">
        <f t="shared" si="64"/>
        <v>0</v>
      </c>
      <c r="BC132" s="377">
        <f t="shared" si="65"/>
        <v>0</v>
      </c>
      <c r="BD132" s="377">
        <f t="shared" si="66"/>
        <v>0</v>
      </c>
      <c r="BE132" s="377">
        <f t="shared" si="67"/>
        <v>0</v>
      </c>
      <c r="BF132" s="377">
        <f t="shared" si="68"/>
        <v>0</v>
      </c>
      <c r="BG132" s="328"/>
    </row>
    <row r="133" spans="2:59">
      <c r="B133" s="332">
        <v>118</v>
      </c>
      <c r="C133" s="350">
        <v>4674129.7275502579</v>
      </c>
      <c r="D133" s="350">
        <v>28871.972174502793</v>
      </c>
      <c r="E133" s="350">
        <v>27643.900252504933</v>
      </c>
      <c r="F133" s="350">
        <v>26382.782859164239</v>
      </c>
      <c r="G133" s="350">
        <v>25088.684410603633</v>
      </c>
      <c r="H133" s="348">
        <v>4782117.0672470341</v>
      </c>
      <c r="I133" s="369"/>
      <c r="J133" s="350">
        <v>6644276.7635547053</v>
      </c>
      <c r="K133" s="350">
        <v>2023358.0974720542</v>
      </c>
      <c r="L133" s="350">
        <v>2044916.2168291006</v>
      </c>
      <c r="M133" s="350">
        <v>2064832.6779977176</v>
      </c>
      <c r="N133" s="350">
        <v>2083051.9664480714</v>
      </c>
      <c r="O133" s="348">
        <v>14860435.722301651</v>
      </c>
      <c r="P133" s="369"/>
      <c r="Q133" s="350">
        <f t="shared" si="69"/>
        <v>1970147.0360044474</v>
      </c>
      <c r="R133" s="350">
        <f t="shared" si="70"/>
        <v>1994486.1252975515</v>
      </c>
      <c r="S133" s="350">
        <f t="shared" si="71"/>
        <v>2017272.3165765957</v>
      </c>
      <c r="T133" s="350">
        <f t="shared" si="72"/>
        <v>2038449.8951385533</v>
      </c>
      <c r="U133" s="350">
        <f t="shared" si="73"/>
        <v>2057963.2820374677</v>
      </c>
      <c r="V133" s="350">
        <f t="shared" si="74"/>
        <v>10078318.655054618</v>
      </c>
      <c r="W133" s="365"/>
      <c r="X133" s="377">
        <f t="shared" si="52"/>
        <v>0</v>
      </c>
      <c r="Y133" s="377">
        <f t="shared" si="53"/>
        <v>0</v>
      </c>
      <c r="Z133" s="377">
        <f t="shared" si="54"/>
        <v>0</v>
      </c>
      <c r="AA133" s="377">
        <f t="shared" si="55"/>
        <v>0</v>
      </c>
      <c r="AB133" s="377">
        <f t="shared" si="56"/>
        <v>0</v>
      </c>
      <c r="AC133" s="377">
        <f t="shared" si="57"/>
        <v>0</v>
      </c>
      <c r="AD133" s="376"/>
      <c r="AE133" s="332">
        <v>118</v>
      </c>
      <c r="AF133" s="350">
        <v>7355694.4563990543</v>
      </c>
      <c r="AG133" s="350">
        <v>45435.92455672018</v>
      </c>
      <c r="AH133" s="350">
        <v>43503.303436803355</v>
      </c>
      <c r="AI133" s="350">
        <v>41518.678541949528</v>
      </c>
      <c r="AJ133" s="350">
        <v>39482.15124404485</v>
      </c>
      <c r="AK133" s="348">
        <v>7525634.5141785732</v>
      </c>
      <c r="AL133" s="369"/>
      <c r="AM133" s="350">
        <v>8865062.1830625962</v>
      </c>
      <c r="AN133" s="350">
        <v>1573450.2979953645</v>
      </c>
      <c r="AO133" s="350">
        <v>1588974.6184649062</v>
      </c>
      <c r="AP133" s="350">
        <v>1603214.5458629236</v>
      </c>
      <c r="AQ133" s="350">
        <v>1616127.6014564848</v>
      </c>
      <c r="AR133" s="348">
        <v>15246829.246842276</v>
      </c>
      <c r="AS133" s="369"/>
      <c r="AT133" s="350">
        <f t="shared" si="75"/>
        <v>1509367.726663542</v>
      </c>
      <c r="AU133" s="350">
        <f t="shared" si="58"/>
        <v>1528014.3734386445</v>
      </c>
      <c r="AV133" s="350">
        <f t="shared" si="59"/>
        <v>1545471.3150281028</v>
      </c>
      <c r="AW133" s="350">
        <f t="shared" si="60"/>
        <v>1561695.8673209741</v>
      </c>
      <c r="AX133" s="350">
        <f t="shared" si="61"/>
        <v>1576645.45021244</v>
      </c>
      <c r="AY133" s="350">
        <f t="shared" si="62"/>
        <v>7721194.7326637032</v>
      </c>
      <c r="AZ133" s="365"/>
      <c r="BA133" s="377">
        <f t="shared" si="63"/>
        <v>0</v>
      </c>
      <c r="BB133" s="377">
        <f t="shared" si="64"/>
        <v>0</v>
      </c>
      <c r="BC133" s="377">
        <f t="shared" si="65"/>
        <v>0</v>
      </c>
      <c r="BD133" s="377">
        <f t="shared" si="66"/>
        <v>0</v>
      </c>
      <c r="BE133" s="377">
        <f t="shared" si="67"/>
        <v>0</v>
      </c>
      <c r="BF133" s="377">
        <f t="shared" si="68"/>
        <v>0</v>
      </c>
      <c r="BG133" s="328"/>
    </row>
    <row r="134" spans="2:59">
      <c r="B134" s="332">
        <v>119</v>
      </c>
      <c r="C134" s="350">
        <v>6955299.3953670729</v>
      </c>
      <c r="D134" s="350">
        <v>42962.695156863636</v>
      </c>
      <c r="E134" s="350">
        <v>41135.273070951473</v>
      </c>
      <c r="F134" s="350">
        <v>39258.67794957666</v>
      </c>
      <c r="G134" s="350">
        <v>37333.005646613674</v>
      </c>
      <c r="H134" s="348">
        <v>7115989.0471910788</v>
      </c>
      <c r="I134" s="369"/>
      <c r="J134" s="350">
        <v>9214982.3341019638</v>
      </c>
      <c r="K134" s="350">
        <v>2330561.6339744264</v>
      </c>
      <c r="L134" s="350">
        <v>2354869.0976259909</v>
      </c>
      <c r="M134" s="350">
        <v>2377282.3712736079</v>
      </c>
      <c r="N134" s="350">
        <v>2397737.8038560217</v>
      </c>
      <c r="O134" s="348">
        <v>18675433.240832012</v>
      </c>
      <c r="P134" s="369"/>
      <c r="Q134" s="350">
        <f t="shared" si="69"/>
        <v>2259682.9387348909</v>
      </c>
      <c r="R134" s="350">
        <f t="shared" si="70"/>
        <v>2287598.938817563</v>
      </c>
      <c r="S134" s="350">
        <f t="shared" si="71"/>
        <v>2313733.8245550394</v>
      </c>
      <c r="T134" s="350">
        <f t="shared" si="72"/>
        <v>2338023.6933240313</v>
      </c>
      <c r="U134" s="350">
        <f t="shared" si="73"/>
        <v>2360404.7982094078</v>
      </c>
      <c r="V134" s="350">
        <f t="shared" si="74"/>
        <v>11559444.193640932</v>
      </c>
      <c r="W134" s="365"/>
      <c r="X134" s="377">
        <f t="shared" si="52"/>
        <v>0</v>
      </c>
      <c r="Y134" s="377">
        <f t="shared" si="53"/>
        <v>0</v>
      </c>
      <c r="Z134" s="377">
        <f t="shared" si="54"/>
        <v>0</v>
      </c>
      <c r="AA134" s="377">
        <f t="shared" si="55"/>
        <v>0</v>
      </c>
      <c r="AB134" s="377">
        <f t="shared" si="56"/>
        <v>0</v>
      </c>
      <c r="AC134" s="377">
        <f t="shared" si="57"/>
        <v>0</v>
      </c>
      <c r="AD134" s="376"/>
      <c r="AE134" s="332">
        <v>119</v>
      </c>
      <c r="AF134" s="350">
        <v>7357418.7635289263</v>
      </c>
      <c r="AG134" s="350">
        <v>45446.575554954521</v>
      </c>
      <c r="AH134" s="350">
        <v>43513.501393872641</v>
      </c>
      <c r="AI134" s="350">
        <v>41528.411267236443</v>
      </c>
      <c r="AJ134" s="350">
        <v>39491.406570690611</v>
      </c>
      <c r="AK134" s="348">
        <v>7527398.6583156809</v>
      </c>
      <c r="AL134" s="369"/>
      <c r="AM134" s="350">
        <v>9147830.2033551782</v>
      </c>
      <c r="AN134" s="350">
        <v>1857976.6608979893</v>
      </c>
      <c r="AO134" s="350">
        <v>1876751.0044019411</v>
      </c>
      <c r="AP134" s="350">
        <v>1894011.4722119563</v>
      </c>
      <c r="AQ134" s="350">
        <v>1909707.6572190742</v>
      </c>
      <c r="AR134" s="348">
        <v>16686276.99808614</v>
      </c>
      <c r="AS134" s="369"/>
      <c r="AT134" s="350">
        <f t="shared" si="75"/>
        <v>1790411.4398262519</v>
      </c>
      <c r="AU134" s="350">
        <f t="shared" si="58"/>
        <v>1812530.0853430347</v>
      </c>
      <c r="AV134" s="350">
        <f t="shared" si="59"/>
        <v>1833237.5030080685</v>
      </c>
      <c r="AW134" s="350">
        <f t="shared" si="60"/>
        <v>1852483.0609447199</v>
      </c>
      <c r="AX134" s="350">
        <f t="shared" si="61"/>
        <v>1870216.2506483835</v>
      </c>
      <c r="AY134" s="350">
        <f t="shared" si="62"/>
        <v>9158878.3397704586</v>
      </c>
      <c r="AZ134" s="365"/>
      <c r="BA134" s="377">
        <f t="shared" si="63"/>
        <v>0</v>
      </c>
      <c r="BB134" s="377">
        <f t="shared" si="64"/>
        <v>0</v>
      </c>
      <c r="BC134" s="377">
        <f t="shared" si="65"/>
        <v>0</v>
      </c>
      <c r="BD134" s="377">
        <f t="shared" si="66"/>
        <v>0</v>
      </c>
      <c r="BE134" s="377">
        <f t="shared" si="67"/>
        <v>0</v>
      </c>
      <c r="BF134" s="377">
        <f t="shared" si="68"/>
        <v>0</v>
      </c>
      <c r="BG134" s="328"/>
    </row>
    <row r="135" spans="2:59">
      <c r="B135" s="332">
        <v>120</v>
      </c>
      <c r="C135" s="350">
        <v>3705609.2913595666</v>
      </c>
      <c r="D135" s="350">
        <v>22889.447787274785</v>
      </c>
      <c r="E135" s="350">
        <v>21915.843075837543</v>
      </c>
      <c r="F135" s="350">
        <v>20916.040202863172</v>
      </c>
      <c r="G135" s="350">
        <v>19890.09023689384</v>
      </c>
      <c r="H135" s="348">
        <v>3791220.7126624356</v>
      </c>
      <c r="I135" s="369"/>
      <c r="J135" s="350">
        <v>5389457.2681346014</v>
      </c>
      <c r="K135" s="350">
        <v>1727539.5908543514</v>
      </c>
      <c r="L135" s="350">
        <v>1746040.9194257823</v>
      </c>
      <c r="M135" s="350">
        <v>1763141.1985075367</v>
      </c>
      <c r="N135" s="350">
        <v>1778792.9768782328</v>
      </c>
      <c r="O135" s="348">
        <v>12404971.953800505</v>
      </c>
      <c r="P135" s="369"/>
      <c r="Q135" s="350">
        <f t="shared" si="69"/>
        <v>1683847.9767750348</v>
      </c>
      <c r="R135" s="350">
        <f t="shared" si="70"/>
        <v>1704650.1430670766</v>
      </c>
      <c r="S135" s="350">
        <f t="shared" si="71"/>
        <v>1724125.0763499448</v>
      </c>
      <c r="T135" s="350">
        <f t="shared" si="72"/>
        <v>1742225.1583046734</v>
      </c>
      <c r="U135" s="350">
        <f t="shared" si="73"/>
        <v>1758902.8866413389</v>
      </c>
      <c r="V135" s="350">
        <f t="shared" si="74"/>
        <v>8613751.241138069</v>
      </c>
      <c r="W135" s="365"/>
      <c r="X135" s="377">
        <f t="shared" si="52"/>
        <v>0</v>
      </c>
      <c r="Y135" s="377">
        <f t="shared" si="53"/>
        <v>0</v>
      </c>
      <c r="Z135" s="377">
        <f t="shared" si="54"/>
        <v>0</v>
      </c>
      <c r="AA135" s="377">
        <f t="shared" si="55"/>
        <v>0</v>
      </c>
      <c r="AB135" s="377">
        <f t="shared" si="56"/>
        <v>0</v>
      </c>
      <c r="AC135" s="377">
        <f t="shared" si="57"/>
        <v>0</v>
      </c>
      <c r="AD135" s="376"/>
      <c r="AE135" s="332">
        <v>120</v>
      </c>
      <c r="AF135" s="350">
        <v>6224526.3710040962</v>
      </c>
      <c r="AG135" s="350">
        <v>38448.730064939329</v>
      </c>
      <c r="AH135" s="350">
        <v>36813.309888450327</v>
      </c>
      <c r="AI135" s="350">
        <v>35133.88314393445</v>
      </c>
      <c r="AJ135" s="350">
        <v>33410.535614176544</v>
      </c>
      <c r="AK135" s="348">
        <v>6368332.8297155974</v>
      </c>
      <c r="AL135" s="369"/>
      <c r="AM135" s="350">
        <v>8599247.3981083203</v>
      </c>
      <c r="AN135" s="350">
        <v>2442506.9315366764</v>
      </c>
      <c r="AO135" s="350">
        <v>2468336.8967192955</v>
      </c>
      <c r="AP135" s="350">
        <v>2492183.9104866609</v>
      </c>
      <c r="AQ135" s="350">
        <v>2513981.0664178301</v>
      </c>
      <c r="AR135" s="348">
        <v>18516256.203268781</v>
      </c>
      <c r="AS135" s="369"/>
      <c r="AT135" s="350">
        <f t="shared" si="75"/>
        <v>2374721.0271042241</v>
      </c>
      <c r="AU135" s="350">
        <f t="shared" si="58"/>
        <v>2404058.2014717371</v>
      </c>
      <c r="AV135" s="350">
        <f t="shared" si="59"/>
        <v>2431523.5868308451</v>
      </c>
      <c r="AW135" s="350">
        <f t="shared" si="60"/>
        <v>2457050.0273427265</v>
      </c>
      <c r="AX135" s="350">
        <f t="shared" si="61"/>
        <v>2480570.5308036534</v>
      </c>
      <c r="AY135" s="350">
        <f t="shared" si="62"/>
        <v>12147923.373553183</v>
      </c>
      <c r="AZ135" s="365"/>
      <c r="BA135" s="377">
        <f t="shared" si="63"/>
        <v>0</v>
      </c>
      <c r="BB135" s="377">
        <f t="shared" si="64"/>
        <v>0</v>
      </c>
      <c r="BC135" s="377">
        <f t="shared" si="65"/>
        <v>0</v>
      </c>
      <c r="BD135" s="377">
        <f t="shared" si="66"/>
        <v>0</v>
      </c>
      <c r="BE135" s="377">
        <f t="shared" si="67"/>
        <v>0</v>
      </c>
      <c r="BF135" s="377">
        <f t="shared" si="68"/>
        <v>0</v>
      </c>
      <c r="BG135" s="328"/>
    </row>
    <row r="136" spans="2:59">
      <c r="B136" s="332">
        <v>121</v>
      </c>
      <c r="C136" s="350">
        <v>6090532.7185691111</v>
      </c>
      <c r="D136" s="350">
        <v>37621.054918941016</v>
      </c>
      <c r="E136" s="350">
        <v>36020.839978907316</v>
      </c>
      <c r="F136" s="350">
        <v>34377.565788029315</v>
      </c>
      <c r="G136" s="350">
        <v>32691.316282469583</v>
      </c>
      <c r="H136" s="348">
        <v>6231243.4955374589</v>
      </c>
      <c r="I136" s="369"/>
      <c r="J136" s="350">
        <v>8619161.4378252458</v>
      </c>
      <c r="K136" s="350">
        <v>2597488.3157977858</v>
      </c>
      <c r="L136" s="350">
        <v>2625133.5412323475</v>
      </c>
      <c r="M136" s="350">
        <v>2650671.097902027</v>
      </c>
      <c r="N136" s="350">
        <v>2674029.7357174819</v>
      </c>
      <c r="O136" s="348">
        <v>19166484.128474887</v>
      </c>
      <c r="P136" s="369"/>
      <c r="Q136" s="350">
        <f t="shared" si="69"/>
        <v>2528628.7192561347</v>
      </c>
      <c r="R136" s="350">
        <f t="shared" si="70"/>
        <v>2559867.2608788447</v>
      </c>
      <c r="S136" s="350">
        <f t="shared" si="71"/>
        <v>2589112.7012534402</v>
      </c>
      <c r="T136" s="350">
        <f t="shared" si="72"/>
        <v>2616293.5321139977</v>
      </c>
      <c r="U136" s="350">
        <f t="shared" si="73"/>
        <v>2641338.4194350122</v>
      </c>
      <c r="V136" s="350">
        <f t="shared" si="74"/>
        <v>12935240.632937428</v>
      </c>
      <c r="W136" s="365"/>
      <c r="X136" s="377">
        <f t="shared" si="52"/>
        <v>0</v>
      </c>
      <c r="Y136" s="377">
        <f t="shared" si="53"/>
        <v>0</v>
      </c>
      <c r="Z136" s="377">
        <f t="shared" si="54"/>
        <v>0</v>
      </c>
      <c r="AA136" s="377">
        <f t="shared" si="55"/>
        <v>0</v>
      </c>
      <c r="AB136" s="377">
        <f t="shared" si="56"/>
        <v>0</v>
      </c>
      <c r="AC136" s="377">
        <f t="shared" si="57"/>
        <v>0</v>
      </c>
      <c r="AD136" s="376"/>
      <c r="AE136" s="332">
        <v>121</v>
      </c>
      <c r="AF136" s="350">
        <v>3803762.1810080744</v>
      </c>
      <c r="AG136" s="350">
        <v>23495.735516534198</v>
      </c>
      <c r="AH136" s="350">
        <v>22496.342302238063</v>
      </c>
      <c r="AI136" s="350">
        <v>21470.056998617285</v>
      </c>
      <c r="AJ136" s="350">
        <v>20416.932026899296</v>
      </c>
      <c r="AK136" s="348">
        <v>3891641.2478523636</v>
      </c>
      <c r="AL136" s="369"/>
      <c r="AM136" s="350">
        <v>5527338.4397588074</v>
      </c>
      <c r="AN136" s="350">
        <v>1768364.9615933441</v>
      </c>
      <c r="AO136" s="350">
        <v>1787299.9882970455</v>
      </c>
      <c r="AP136" s="350">
        <v>1804800.8336898461</v>
      </c>
      <c r="AQ136" s="350">
        <v>1820818.9271460662</v>
      </c>
      <c r="AR136" s="348">
        <v>12708623.15048511</v>
      </c>
      <c r="AS136" s="369"/>
      <c r="AT136" s="350">
        <f t="shared" si="75"/>
        <v>1723576.258750733</v>
      </c>
      <c r="AU136" s="350">
        <f t="shared" si="58"/>
        <v>1744869.2260768099</v>
      </c>
      <c r="AV136" s="350">
        <f t="shared" si="59"/>
        <v>1764803.6459948074</v>
      </c>
      <c r="AW136" s="350">
        <f t="shared" si="60"/>
        <v>1783330.7766912288</v>
      </c>
      <c r="AX136" s="350">
        <f t="shared" si="61"/>
        <v>1800401.995119167</v>
      </c>
      <c r="AY136" s="350">
        <f t="shared" si="62"/>
        <v>8816981.9026327468</v>
      </c>
      <c r="AZ136" s="365"/>
      <c r="BA136" s="377">
        <f t="shared" si="63"/>
        <v>0</v>
      </c>
      <c r="BB136" s="377">
        <f t="shared" si="64"/>
        <v>0</v>
      </c>
      <c r="BC136" s="377">
        <f t="shared" si="65"/>
        <v>0</v>
      </c>
      <c r="BD136" s="377">
        <f t="shared" si="66"/>
        <v>0</v>
      </c>
      <c r="BE136" s="377">
        <f t="shared" si="67"/>
        <v>0</v>
      </c>
      <c r="BF136" s="377">
        <f t="shared" si="68"/>
        <v>0</v>
      </c>
      <c r="BG136" s="328"/>
    </row>
    <row r="137" spans="2:59">
      <c r="B137" s="332">
        <v>122</v>
      </c>
      <c r="C137" s="350">
        <v>4984731.2853153078</v>
      </c>
      <c r="D137" s="350">
        <v>30790.549547374958</v>
      </c>
      <c r="E137" s="350">
        <v>29480.87076501</v>
      </c>
      <c r="F137" s="350">
        <v>28135.950599873264</v>
      </c>
      <c r="G137" s="350">
        <v>26755.857748622806</v>
      </c>
      <c r="H137" s="348">
        <v>5099894.5139761893</v>
      </c>
      <c r="I137" s="369"/>
      <c r="J137" s="350">
        <v>6177346.8277009595</v>
      </c>
      <c r="K137" s="350">
        <v>1238139.5994570816</v>
      </c>
      <c r="L137" s="350">
        <v>1250623.3916058384</v>
      </c>
      <c r="M137" s="350">
        <v>1262098.1792500764</v>
      </c>
      <c r="N137" s="350">
        <v>1272530.3867372973</v>
      </c>
      <c r="O137" s="348">
        <v>11200738.384751253</v>
      </c>
      <c r="P137" s="369"/>
      <c r="Q137" s="350">
        <f t="shared" si="69"/>
        <v>1192615.5423856517</v>
      </c>
      <c r="R137" s="350">
        <f t="shared" si="70"/>
        <v>1207349.0499097067</v>
      </c>
      <c r="S137" s="350">
        <f t="shared" si="71"/>
        <v>1221142.5208408285</v>
      </c>
      <c r="T137" s="350">
        <f t="shared" si="72"/>
        <v>1233962.2286502032</v>
      </c>
      <c r="U137" s="350">
        <f t="shared" si="73"/>
        <v>1245774.5289886745</v>
      </c>
      <c r="V137" s="350">
        <f t="shared" si="74"/>
        <v>6100843.8707750635</v>
      </c>
      <c r="W137" s="365"/>
      <c r="X137" s="377">
        <f t="shared" si="52"/>
        <v>0</v>
      </c>
      <c r="Y137" s="377">
        <f t="shared" si="53"/>
        <v>0</v>
      </c>
      <c r="Z137" s="377">
        <f t="shared" si="54"/>
        <v>0</v>
      </c>
      <c r="AA137" s="377">
        <f t="shared" si="55"/>
        <v>0</v>
      </c>
      <c r="AB137" s="377">
        <f t="shared" si="56"/>
        <v>0</v>
      </c>
      <c r="AC137" s="377">
        <f t="shared" si="57"/>
        <v>0</v>
      </c>
      <c r="AD137" s="376"/>
      <c r="AE137" s="332">
        <v>122</v>
      </c>
      <c r="AF137" s="350">
        <v>6070241.7987144887</v>
      </c>
      <c r="AG137" s="350">
        <v>37495.718458983589</v>
      </c>
      <c r="AH137" s="350">
        <v>35900.834716496305</v>
      </c>
      <c r="AI137" s="350">
        <v>34263.035177254518</v>
      </c>
      <c r="AJ137" s="350">
        <v>32582.403497779273</v>
      </c>
      <c r="AK137" s="348">
        <v>6210483.7905650018</v>
      </c>
      <c r="AL137" s="369"/>
      <c r="AM137" s="350">
        <v>8087485.6990947239</v>
      </c>
      <c r="AN137" s="350">
        <v>2079660.5402324239</v>
      </c>
      <c r="AO137" s="350">
        <v>2101396.5574483583</v>
      </c>
      <c r="AP137" s="350">
        <v>2121442.5918556293</v>
      </c>
      <c r="AQ137" s="350">
        <v>2139741.819536007</v>
      </c>
      <c r="AR137" s="348">
        <v>16529727.208167143</v>
      </c>
      <c r="AS137" s="369"/>
      <c r="AT137" s="350">
        <f t="shared" si="75"/>
        <v>2017243.9003802352</v>
      </c>
      <c r="AU137" s="350">
        <f t="shared" si="58"/>
        <v>2042164.8217734403</v>
      </c>
      <c r="AV137" s="350">
        <f t="shared" si="59"/>
        <v>2065495.722731862</v>
      </c>
      <c r="AW137" s="350">
        <f t="shared" si="60"/>
        <v>2087179.5566783748</v>
      </c>
      <c r="AX137" s="350">
        <f t="shared" si="61"/>
        <v>2107159.4160382277</v>
      </c>
      <c r="AY137" s="350">
        <f t="shared" si="62"/>
        <v>10319243.41760214</v>
      </c>
      <c r="AZ137" s="365"/>
      <c r="BA137" s="377">
        <f t="shared" si="63"/>
        <v>0</v>
      </c>
      <c r="BB137" s="377">
        <f t="shared" si="64"/>
        <v>0</v>
      </c>
      <c r="BC137" s="377">
        <f t="shared" si="65"/>
        <v>0</v>
      </c>
      <c r="BD137" s="377">
        <f t="shared" si="66"/>
        <v>0</v>
      </c>
      <c r="BE137" s="377">
        <f t="shared" si="67"/>
        <v>0</v>
      </c>
      <c r="BF137" s="377">
        <f t="shared" si="68"/>
        <v>0</v>
      </c>
      <c r="BG137" s="328"/>
    </row>
    <row r="138" spans="2:59">
      <c r="B138" s="332">
        <v>123</v>
      </c>
      <c r="C138" s="350">
        <v>6984663.7427743161</v>
      </c>
      <c r="D138" s="350">
        <v>43144.077931986263</v>
      </c>
      <c r="E138" s="350">
        <v>41308.940713489814</v>
      </c>
      <c r="F138" s="350">
        <v>39424.422857529993</v>
      </c>
      <c r="G138" s="350">
        <v>37490.620622653012</v>
      </c>
      <c r="H138" s="348">
        <v>7146031.8048999747</v>
      </c>
      <c r="I138" s="369"/>
      <c r="J138" s="350">
        <v>9727124.1087949164</v>
      </c>
      <c r="K138" s="350">
        <v>2819484.6501054959</v>
      </c>
      <c r="L138" s="350">
        <v>2849368.0726357526</v>
      </c>
      <c r="M138" s="350">
        <v>2876962.9128140276</v>
      </c>
      <c r="N138" s="350">
        <v>2902191.9005634114</v>
      </c>
      <c r="O138" s="348">
        <v>21175131.644913603</v>
      </c>
      <c r="P138" s="369"/>
      <c r="Q138" s="350">
        <f t="shared" si="69"/>
        <v>2742460.3660206003</v>
      </c>
      <c r="R138" s="350">
        <f t="shared" si="70"/>
        <v>2776340.5721735097</v>
      </c>
      <c r="S138" s="350">
        <f t="shared" si="71"/>
        <v>2808059.1319222627</v>
      </c>
      <c r="T138" s="350">
        <f t="shared" si="72"/>
        <v>2837538.4899564977</v>
      </c>
      <c r="U138" s="350">
        <f t="shared" si="73"/>
        <v>2864701.2799407584</v>
      </c>
      <c r="V138" s="350">
        <f t="shared" si="74"/>
        <v>14029099.840013627</v>
      </c>
      <c r="W138" s="365"/>
      <c r="X138" s="377">
        <f t="shared" si="52"/>
        <v>0</v>
      </c>
      <c r="Y138" s="377">
        <f t="shared" si="53"/>
        <v>0</v>
      </c>
      <c r="Z138" s="377">
        <f t="shared" si="54"/>
        <v>0</v>
      </c>
      <c r="AA138" s="377">
        <f t="shared" si="55"/>
        <v>0</v>
      </c>
      <c r="AB138" s="377">
        <f t="shared" si="56"/>
        <v>0</v>
      </c>
      <c r="AC138" s="377">
        <f t="shared" si="57"/>
        <v>0</v>
      </c>
      <c r="AD138" s="376"/>
      <c r="AE138" s="332">
        <v>123</v>
      </c>
      <c r="AF138" s="350">
        <v>6509988.2324035726</v>
      </c>
      <c r="AG138" s="350">
        <v>40212.02021724925</v>
      </c>
      <c r="AH138" s="350">
        <v>38501.598336223971</v>
      </c>
      <c r="AI138" s="350">
        <v>36745.151710034646</v>
      </c>
      <c r="AJ138" s="350">
        <v>34942.77005553199</v>
      </c>
      <c r="AK138" s="348">
        <v>6660389.7727226112</v>
      </c>
      <c r="AL138" s="369"/>
      <c r="AM138" s="350">
        <v>8262165.9645405617</v>
      </c>
      <c r="AN138" s="350">
        <v>1814036.0607264079</v>
      </c>
      <c r="AO138" s="350">
        <v>1832590.8557199191</v>
      </c>
      <c r="AP138" s="350">
        <v>1849668.9838227802</v>
      </c>
      <c r="AQ138" s="350">
        <v>1865221.1048414349</v>
      </c>
      <c r="AR138" s="348">
        <v>15623682.969651103</v>
      </c>
      <c r="AS138" s="369"/>
      <c r="AT138" s="350">
        <f t="shared" si="75"/>
        <v>1752177.732136989</v>
      </c>
      <c r="AU138" s="350">
        <f t="shared" si="58"/>
        <v>1773824.0405091587</v>
      </c>
      <c r="AV138" s="350">
        <f t="shared" si="59"/>
        <v>1794089.2573836951</v>
      </c>
      <c r="AW138" s="350">
        <f t="shared" si="60"/>
        <v>1812923.8321127456</v>
      </c>
      <c r="AX138" s="350">
        <f t="shared" si="61"/>
        <v>1830278.3347859029</v>
      </c>
      <c r="AY138" s="350">
        <f t="shared" si="62"/>
        <v>8963293.1969284918</v>
      </c>
      <c r="AZ138" s="365"/>
      <c r="BA138" s="377">
        <f t="shared" si="63"/>
        <v>0</v>
      </c>
      <c r="BB138" s="377">
        <f t="shared" si="64"/>
        <v>0</v>
      </c>
      <c r="BC138" s="377">
        <f t="shared" si="65"/>
        <v>0</v>
      </c>
      <c r="BD138" s="377">
        <f t="shared" si="66"/>
        <v>0</v>
      </c>
      <c r="BE138" s="377">
        <f t="shared" si="67"/>
        <v>0</v>
      </c>
      <c r="BF138" s="377">
        <f t="shared" si="68"/>
        <v>0</v>
      </c>
      <c r="BG138" s="328"/>
    </row>
    <row r="139" spans="2:59">
      <c r="B139" s="332">
        <v>124</v>
      </c>
      <c r="C139" s="350">
        <v>7918970.5175602436</v>
      </c>
      <c r="D139" s="350">
        <v>48915.265463446951</v>
      </c>
      <c r="E139" s="350">
        <v>46834.650266476965</v>
      </c>
      <c r="F139" s="350">
        <v>44698.049008240057</v>
      </c>
      <c r="G139" s="350">
        <v>42505.570823356982</v>
      </c>
      <c r="H139" s="348">
        <v>8101924.0531217651</v>
      </c>
      <c r="I139" s="369"/>
      <c r="J139" s="350">
        <v>9990354.1277333405</v>
      </c>
      <c r="K139" s="350">
        <v>2145888.636058955</v>
      </c>
      <c r="L139" s="350">
        <v>2167765.0871576048</v>
      </c>
      <c r="M139" s="350">
        <v>2187894.2804490766</v>
      </c>
      <c r="N139" s="350">
        <v>2206217.8901818525</v>
      </c>
      <c r="O139" s="348">
        <v>18698120.02158083</v>
      </c>
      <c r="P139" s="369"/>
      <c r="Q139" s="350">
        <f t="shared" si="69"/>
        <v>2071383.6101730969</v>
      </c>
      <c r="R139" s="350">
        <f t="shared" si="70"/>
        <v>2096973.370595508</v>
      </c>
      <c r="S139" s="350">
        <f t="shared" si="71"/>
        <v>2120930.4368911278</v>
      </c>
      <c r="T139" s="350">
        <f t="shared" si="72"/>
        <v>2143196.2314408366</v>
      </c>
      <c r="U139" s="350">
        <f t="shared" si="73"/>
        <v>2163712.3193584955</v>
      </c>
      <c r="V139" s="350">
        <f t="shared" si="74"/>
        <v>10596195.968459066</v>
      </c>
      <c r="W139" s="365"/>
      <c r="X139" s="377">
        <f t="shared" si="52"/>
        <v>0</v>
      </c>
      <c r="Y139" s="377">
        <f t="shared" si="53"/>
        <v>0</v>
      </c>
      <c r="Z139" s="377">
        <f t="shared" si="54"/>
        <v>0</v>
      </c>
      <c r="AA139" s="377">
        <f t="shared" si="55"/>
        <v>0</v>
      </c>
      <c r="AB139" s="377">
        <f t="shared" si="56"/>
        <v>0</v>
      </c>
      <c r="AC139" s="377">
        <f t="shared" si="57"/>
        <v>0</v>
      </c>
      <c r="AD139" s="376"/>
      <c r="AE139" s="332">
        <v>124</v>
      </c>
      <c r="AF139" s="350">
        <v>6531729.700070167</v>
      </c>
      <c r="AG139" s="350">
        <v>40346.316671583045</v>
      </c>
      <c r="AH139" s="350">
        <v>38630.182478844814</v>
      </c>
      <c r="AI139" s="350">
        <v>36867.869831679804</v>
      </c>
      <c r="AJ139" s="350">
        <v>35059.468746562728</v>
      </c>
      <c r="AK139" s="348">
        <v>6682633.5377988368</v>
      </c>
      <c r="AL139" s="369"/>
      <c r="AM139" s="350">
        <v>8651596.1720240451</v>
      </c>
      <c r="AN139" s="350">
        <v>2186401.5036845058</v>
      </c>
      <c r="AO139" s="350">
        <v>2209203.1755403634</v>
      </c>
      <c r="AP139" s="350">
        <v>2230227.8112428561</v>
      </c>
      <c r="AQ139" s="350">
        <v>2249415.698193769</v>
      </c>
      <c r="AR139" s="348">
        <v>17526844.360685539</v>
      </c>
      <c r="AS139" s="369"/>
      <c r="AT139" s="350">
        <f t="shared" si="75"/>
        <v>2119866.4719538782</v>
      </c>
      <c r="AU139" s="350">
        <f t="shared" si="58"/>
        <v>2146055.187012923</v>
      </c>
      <c r="AV139" s="350">
        <f t="shared" si="59"/>
        <v>2170572.9930615188</v>
      </c>
      <c r="AW139" s="350">
        <f t="shared" si="60"/>
        <v>2193359.9414111762</v>
      </c>
      <c r="AX139" s="350">
        <f t="shared" si="61"/>
        <v>2214356.229447206</v>
      </c>
      <c r="AY139" s="350">
        <f t="shared" si="62"/>
        <v>10844210.822886702</v>
      </c>
      <c r="AZ139" s="365"/>
      <c r="BA139" s="377">
        <f t="shared" si="63"/>
        <v>0</v>
      </c>
      <c r="BB139" s="377">
        <f t="shared" si="64"/>
        <v>0</v>
      </c>
      <c r="BC139" s="377">
        <f t="shared" si="65"/>
        <v>0</v>
      </c>
      <c r="BD139" s="377">
        <f t="shared" si="66"/>
        <v>0</v>
      </c>
      <c r="BE139" s="377">
        <f t="shared" si="67"/>
        <v>0</v>
      </c>
      <c r="BF139" s="377">
        <f t="shared" si="68"/>
        <v>0</v>
      </c>
      <c r="BG139" s="328"/>
    </row>
    <row r="140" spans="2:59">
      <c r="B140" s="332">
        <v>125</v>
      </c>
      <c r="C140" s="350">
        <v>5660910.6107907174</v>
      </c>
      <c r="D140" s="350">
        <v>34967.290846409836</v>
      </c>
      <c r="E140" s="350">
        <v>33479.95399885044</v>
      </c>
      <c r="F140" s="350">
        <v>31952.5952712291</v>
      </c>
      <c r="G140" s="350">
        <v>30385.292678900598</v>
      </c>
      <c r="H140" s="348">
        <v>5791695.7435861081</v>
      </c>
      <c r="I140" s="369"/>
      <c r="J140" s="350">
        <v>7472500.7436413821</v>
      </c>
      <c r="K140" s="350">
        <v>1868937.7096352156</v>
      </c>
      <c r="L140" s="350">
        <v>1888402.7375259127</v>
      </c>
      <c r="M140" s="350">
        <v>1906348.5915379473</v>
      </c>
      <c r="N140" s="350">
        <v>1922724.2437193205</v>
      </c>
      <c r="O140" s="348">
        <v>15058914.026059777</v>
      </c>
      <c r="P140" s="369"/>
      <c r="Q140" s="350">
        <f t="shared" si="69"/>
        <v>1811590.1328506647</v>
      </c>
      <c r="R140" s="350">
        <f t="shared" si="70"/>
        <v>1833970.4187888058</v>
      </c>
      <c r="S140" s="350">
        <f t="shared" si="71"/>
        <v>1854922.7835270623</v>
      </c>
      <c r="T140" s="350">
        <f t="shared" si="72"/>
        <v>1874395.9962667183</v>
      </c>
      <c r="U140" s="350">
        <f t="shared" si="73"/>
        <v>1892338.95104042</v>
      </c>
      <c r="V140" s="350">
        <f t="shared" si="74"/>
        <v>9267218.2824736685</v>
      </c>
      <c r="W140" s="365"/>
      <c r="X140" s="377">
        <f t="shared" si="52"/>
        <v>0</v>
      </c>
      <c r="Y140" s="377">
        <f t="shared" si="53"/>
        <v>0</v>
      </c>
      <c r="Z140" s="377">
        <f t="shared" si="54"/>
        <v>0</v>
      </c>
      <c r="AA140" s="377">
        <f t="shared" si="55"/>
        <v>0</v>
      </c>
      <c r="AB140" s="377">
        <f t="shared" si="56"/>
        <v>0</v>
      </c>
      <c r="AC140" s="377">
        <f t="shared" si="57"/>
        <v>0</v>
      </c>
      <c r="AD140" s="376"/>
      <c r="AE140" s="332">
        <v>125</v>
      </c>
      <c r="AF140" s="350">
        <v>4913920.4412697088</v>
      </c>
      <c r="AG140" s="350">
        <v>30353.152890007073</v>
      </c>
      <c r="AH140" s="350">
        <v>29062.078813631317</v>
      </c>
      <c r="AI140" s="350">
        <v>27736.263977673545</v>
      </c>
      <c r="AJ140" s="350">
        <v>26375.776102912183</v>
      </c>
      <c r="AK140" s="348">
        <v>5027447.7130539333</v>
      </c>
      <c r="AL140" s="369"/>
      <c r="AM140" s="350">
        <v>6931793.704285318</v>
      </c>
      <c r="AN140" s="350">
        <v>2073155.1124105779</v>
      </c>
      <c r="AO140" s="350">
        <v>2095202.218331767</v>
      </c>
      <c r="AP140" s="350">
        <v>2115567.0026108157</v>
      </c>
      <c r="AQ140" s="350">
        <v>2134192.6076390757</v>
      </c>
      <c r="AR140" s="348">
        <v>15349910.645277554</v>
      </c>
      <c r="AS140" s="369"/>
      <c r="AT140" s="350">
        <f t="shared" si="75"/>
        <v>2017873.2630156092</v>
      </c>
      <c r="AU140" s="350">
        <f t="shared" si="58"/>
        <v>2042801.9595205709</v>
      </c>
      <c r="AV140" s="350">
        <f t="shared" si="59"/>
        <v>2066140.1395181357</v>
      </c>
      <c r="AW140" s="350">
        <f t="shared" si="60"/>
        <v>2087830.7386331421</v>
      </c>
      <c r="AX140" s="350">
        <f t="shared" si="61"/>
        <v>2107816.8315361636</v>
      </c>
      <c r="AY140" s="350">
        <f t="shared" si="62"/>
        <v>10322462.932223622</v>
      </c>
      <c r="AZ140" s="365"/>
      <c r="BA140" s="377">
        <f t="shared" si="63"/>
        <v>0</v>
      </c>
      <c r="BB140" s="377">
        <f t="shared" si="64"/>
        <v>0</v>
      </c>
      <c r="BC140" s="377">
        <f t="shared" si="65"/>
        <v>0</v>
      </c>
      <c r="BD140" s="377">
        <f t="shared" si="66"/>
        <v>0</v>
      </c>
      <c r="BE140" s="377">
        <f t="shared" si="67"/>
        <v>0</v>
      </c>
      <c r="BF140" s="377">
        <f t="shared" si="68"/>
        <v>0</v>
      </c>
      <c r="BG140" s="328"/>
    </row>
    <row r="141" spans="2:59">
      <c r="B141" s="332">
        <v>126</v>
      </c>
      <c r="C141" s="350">
        <v>5378291.216440646</v>
      </c>
      <c r="D141" s="350">
        <v>33221.558535737866</v>
      </c>
      <c r="E141" s="350">
        <v>31808.476568349201</v>
      </c>
      <c r="F141" s="350">
        <v>30357.37080217326</v>
      </c>
      <c r="G141" s="350">
        <v>28868.315357674688</v>
      </c>
      <c r="H141" s="348">
        <v>5502546.9377045818</v>
      </c>
      <c r="I141" s="369"/>
      <c r="J141" s="350">
        <v>7373579.6793754082</v>
      </c>
      <c r="K141" s="350">
        <v>2053159.7065840315</v>
      </c>
      <c r="L141" s="350">
        <v>2074823.5948845602</v>
      </c>
      <c r="M141" s="350">
        <v>2094820.3188515732</v>
      </c>
      <c r="N141" s="350">
        <v>2113093.6644059112</v>
      </c>
      <c r="O141" s="348">
        <v>15709476.964101482</v>
      </c>
      <c r="P141" s="369"/>
      <c r="Q141" s="350">
        <f t="shared" si="69"/>
        <v>1995288.4629347622</v>
      </c>
      <c r="R141" s="350">
        <f t="shared" si="70"/>
        <v>2019938.1480482935</v>
      </c>
      <c r="S141" s="350">
        <f t="shared" si="71"/>
        <v>2043015.118316211</v>
      </c>
      <c r="T141" s="350">
        <f t="shared" si="72"/>
        <v>2064462.9480494</v>
      </c>
      <c r="U141" s="350">
        <f t="shared" si="73"/>
        <v>2084225.3490482366</v>
      </c>
      <c r="V141" s="350">
        <f t="shared" si="74"/>
        <v>10206930.0263969</v>
      </c>
      <c r="W141" s="365"/>
      <c r="X141" s="377">
        <f t="shared" si="52"/>
        <v>0</v>
      </c>
      <c r="Y141" s="377">
        <f t="shared" si="53"/>
        <v>0</v>
      </c>
      <c r="Z141" s="377">
        <f t="shared" si="54"/>
        <v>0</v>
      </c>
      <c r="AA141" s="377">
        <f t="shared" si="55"/>
        <v>0</v>
      </c>
      <c r="AB141" s="377">
        <f t="shared" si="56"/>
        <v>0</v>
      </c>
      <c r="AC141" s="377">
        <f t="shared" si="57"/>
        <v>0</v>
      </c>
      <c r="AD141" s="376"/>
      <c r="AE141" s="332">
        <v>126</v>
      </c>
      <c r="AF141" s="350">
        <v>3913551.8671016269</v>
      </c>
      <c r="AG141" s="350">
        <v>24173.903420873317</v>
      </c>
      <c r="AH141" s="350">
        <v>23145.664274034072</v>
      </c>
      <c r="AI141" s="350">
        <v>22089.756839490419</v>
      </c>
      <c r="AJ141" s="350">
        <v>21006.235051525375</v>
      </c>
      <c r="AK141" s="348">
        <v>4003967.4266875503</v>
      </c>
      <c r="AL141" s="369"/>
      <c r="AM141" s="350">
        <v>5220683.3663794212</v>
      </c>
      <c r="AN141" s="350">
        <v>1347453.6341237053</v>
      </c>
      <c r="AO141" s="350">
        <v>1361543.3266972376</v>
      </c>
      <c r="AP141" s="350">
        <v>1374538.0862996615</v>
      </c>
      <c r="AQ141" s="350">
        <v>1386401.0919571263</v>
      </c>
      <c r="AR141" s="348">
        <v>10690619.505457152</v>
      </c>
      <c r="AS141" s="369"/>
      <c r="AT141" s="350">
        <f t="shared" si="75"/>
        <v>1307131.4992777943</v>
      </c>
      <c r="AU141" s="350">
        <f t="shared" si="58"/>
        <v>1323279.7307028321</v>
      </c>
      <c r="AV141" s="350">
        <f t="shared" si="59"/>
        <v>1338397.6624232035</v>
      </c>
      <c r="AW141" s="350">
        <f t="shared" si="60"/>
        <v>1352448.3294601711</v>
      </c>
      <c r="AX141" s="350">
        <f t="shared" si="61"/>
        <v>1365394.856905601</v>
      </c>
      <c r="AY141" s="350">
        <f t="shared" si="62"/>
        <v>6686652.0787696019</v>
      </c>
      <c r="AZ141" s="365"/>
      <c r="BA141" s="377">
        <f t="shared" si="63"/>
        <v>0</v>
      </c>
      <c r="BB141" s="377">
        <f t="shared" si="64"/>
        <v>0</v>
      </c>
      <c r="BC141" s="377">
        <f t="shared" si="65"/>
        <v>0</v>
      </c>
      <c r="BD141" s="377">
        <f t="shared" si="66"/>
        <v>0</v>
      </c>
      <c r="BE141" s="377">
        <f t="shared" si="67"/>
        <v>0</v>
      </c>
      <c r="BF141" s="377">
        <f t="shared" si="68"/>
        <v>0</v>
      </c>
      <c r="BG141" s="328"/>
    </row>
    <row r="142" spans="2:59">
      <c r="B142" s="332">
        <v>127</v>
      </c>
      <c r="C142" s="350">
        <v>4662309.1373486761</v>
      </c>
      <c r="D142" s="350">
        <v>28798.956710388746</v>
      </c>
      <c r="E142" s="350">
        <v>27573.990507694849</v>
      </c>
      <c r="F142" s="350">
        <v>26316.062403649143</v>
      </c>
      <c r="G142" s="350">
        <v>25025.236651470568</v>
      </c>
      <c r="H142" s="348">
        <v>4770023.3836218799</v>
      </c>
      <c r="I142" s="369"/>
      <c r="J142" s="350">
        <v>7265644.2875172161</v>
      </c>
      <c r="K142" s="350">
        <v>2664295.5676845806</v>
      </c>
      <c r="L142" s="350">
        <v>2693180.0763642783</v>
      </c>
      <c r="M142" s="350">
        <v>2719906.0162955918</v>
      </c>
      <c r="N142" s="350">
        <v>2744400.0101961708</v>
      </c>
      <c r="O142" s="348">
        <v>18087425.958057836</v>
      </c>
      <c r="P142" s="369"/>
      <c r="Q142" s="350">
        <f t="shared" si="69"/>
        <v>2603335.15016854</v>
      </c>
      <c r="R142" s="350">
        <f t="shared" si="70"/>
        <v>2635496.6109741917</v>
      </c>
      <c r="S142" s="350">
        <f t="shared" si="71"/>
        <v>2665606.0858565834</v>
      </c>
      <c r="T142" s="350">
        <f t="shared" si="72"/>
        <v>2693589.9538919427</v>
      </c>
      <c r="U142" s="350">
        <f t="shared" si="73"/>
        <v>2719374.7735447004</v>
      </c>
      <c r="V142" s="350">
        <f t="shared" si="74"/>
        <v>13317402.574435957</v>
      </c>
      <c r="W142" s="365"/>
      <c r="X142" s="377">
        <f t="shared" si="52"/>
        <v>0</v>
      </c>
      <c r="Y142" s="377">
        <f t="shared" si="53"/>
        <v>0</v>
      </c>
      <c r="Z142" s="377">
        <f t="shared" si="54"/>
        <v>0</v>
      </c>
      <c r="AA142" s="377">
        <f t="shared" si="55"/>
        <v>0</v>
      </c>
      <c r="AB142" s="377">
        <f t="shared" si="56"/>
        <v>0</v>
      </c>
      <c r="AC142" s="377">
        <f t="shared" si="57"/>
        <v>0</v>
      </c>
      <c r="AD142" s="376"/>
      <c r="AE142" s="332">
        <v>127</v>
      </c>
      <c r="AF142" s="350">
        <v>7340617.2384319343</v>
      </c>
      <c r="AG142" s="350">
        <v>45342.792991491762</v>
      </c>
      <c r="AH142" s="350">
        <v>43414.133231038046</v>
      </c>
      <c r="AI142" s="350">
        <v>41433.576289567296</v>
      </c>
      <c r="AJ142" s="350">
        <v>39401.223331168447</v>
      </c>
      <c r="AK142" s="348">
        <v>7510208.9642751999</v>
      </c>
      <c r="AL142" s="369"/>
      <c r="AM142" s="350">
        <v>9751430.6509228796</v>
      </c>
      <c r="AN142" s="350">
        <v>2485939.263215343</v>
      </c>
      <c r="AO142" s="350">
        <v>2511893.4236460677</v>
      </c>
      <c r="AP142" s="350">
        <v>2535827.2728419174</v>
      </c>
      <c r="AQ142" s="350">
        <v>2557672.9015769232</v>
      </c>
      <c r="AR142" s="348">
        <v>19842763.512203127</v>
      </c>
      <c r="AS142" s="369"/>
      <c r="AT142" s="350">
        <f t="shared" si="75"/>
        <v>2410813.4124909453</v>
      </c>
      <c r="AU142" s="350">
        <f t="shared" si="58"/>
        <v>2440596.470223851</v>
      </c>
      <c r="AV142" s="350">
        <f t="shared" si="59"/>
        <v>2468479.2904150295</v>
      </c>
      <c r="AW142" s="350">
        <f t="shared" si="60"/>
        <v>2494393.6965523502</v>
      </c>
      <c r="AX142" s="350">
        <f t="shared" si="61"/>
        <v>2518271.6782457549</v>
      </c>
      <c r="AY142" s="350">
        <f t="shared" si="62"/>
        <v>12332554.547927927</v>
      </c>
      <c r="AZ142" s="365"/>
      <c r="BA142" s="377">
        <f t="shared" si="63"/>
        <v>0</v>
      </c>
      <c r="BB142" s="377">
        <f t="shared" si="64"/>
        <v>0</v>
      </c>
      <c r="BC142" s="377">
        <f t="shared" si="65"/>
        <v>0</v>
      </c>
      <c r="BD142" s="377">
        <f t="shared" si="66"/>
        <v>0</v>
      </c>
      <c r="BE142" s="377">
        <f t="shared" si="67"/>
        <v>0</v>
      </c>
      <c r="BF142" s="377">
        <f t="shared" si="68"/>
        <v>0</v>
      </c>
      <c r="BG142" s="328"/>
    </row>
    <row r="143" spans="2:59">
      <c r="B143" s="332">
        <v>128</v>
      </c>
      <c r="C143" s="350">
        <v>6416879.0501649929</v>
      </c>
      <c r="D143" s="350">
        <v>39636.8873314546</v>
      </c>
      <c r="E143" s="350">
        <v>37950.92877923265</v>
      </c>
      <c r="F143" s="350">
        <v>36219.603751294002</v>
      </c>
      <c r="G143" s="350">
        <v>34443.000681324695</v>
      </c>
      <c r="H143" s="348">
        <v>6565129.4707082994</v>
      </c>
      <c r="I143" s="369"/>
      <c r="J143" s="350">
        <v>8882369.1875545438</v>
      </c>
      <c r="K143" s="350">
        <v>2535585.5557385124</v>
      </c>
      <c r="L143" s="350">
        <v>2562414.793687101</v>
      </c>
      <c r="M143" s="350">
        <v>2587185.6079026293</v>
      </c>
      <c r="N143" s="350">
        <v>2609828.5339678675</v>
      </c>
      <c r="O143" s="348">
        <v>19177383.678850655</v>
      </c>
      <c r="P143" s="369"/>
      <c r="Q143" s="350">
        <f t="shared" si="69"/>
        <v>2465490.1373895509</v>
      </c>
      <c r="R143" s="350">
        <f t="shared" si="70"/>
        <v>2495948.6684070579</v>
      </c>
      <c r="S143" s="350">
        <f t="shared" si="71"/>
        <v>2524463.8649078682</v>
      </c>
      <c r="T143" s="350">
        <f t="shared" si="72"/>
        <v>2550966.0041513355</v>
      </c>
      <c r="U143" s="350">
        <f t="shared" si="73"/>
        <v>2575385.5332865426</v>
      </c>
      <c r="V143" s="350">
        <f t="shared" si="74"/>
        <v>12612254.208142355</v>
      </c>
      <c r="W143" s="365"/>
      <c r="X143" s="377">
        <f t="shared" si="52"/>
        <v>0</v>
      </c>
      <c r="Y143" s="377">
        <f t="shared" si="53"/>
        <v>0</v>
      </c>
      <c r="Z143" s="377">
        <f t="shared" si="54"/>
        <v>0</v>
      </c>
      <c r="AA143" s="377">
        <f t="shared" si="55"/>
        <v>0</v>
      </c>
      <c r="AB143" s="377">
        <f t="shared" si="56"/>
        <v>0</v>
      </c>
      <c r="AC143" s="377">
        <f t="shared" si="57"/>
        <v>0</v>
      </c>
      <c r="AD143" s="376"/>
      <c r="AE143" s="332">
        <v>128</v>
      </c>
      <c r="AF143" s="350">
        <v>5755936.6027778508</v>
      </c>
      <c r="AG143" s="350">
        <v>35554.263813876132</v>
      </c>
      <c r="AH143" s="350">
        <v>34041.96001858222</v>
      </c>
      <c r="AI143" s="350">
        <v>32488.962522182595</v>
      </c>
      <c r="AJ143" s="350">
        <v>30895.350649633525</v>
      </c>
      <c r="AK143" s="348">
        <v>5888917.1397821261</v>
      </c>
      <c r="AL143" s="369"/>
      <c r="AM143" s="350">
        <v>7264168.5958372969</v>
      </c>
      <c r="AN143" s="350">
        <v>1562418.8728572736</v>
      </c>
      <c r="AO143" s="350">
        <v>1578350.3750617192</v>
      </c>
      <c r="AP143" s="350">
        <v>1593009.7215878528</v>
      </c>
      <c r="AQ143" s="350">
        <v>1606354.4436954819</v>
      </c>
      <c r="AR143" s="348">
        <v>13604302.009039626</v>
      </c>
      <c r="AS143" s="369"/>
      <c r="AT143" s="350">
        <f t="shared" si="75"/>
        <v>1508231.9930594461</v>
      </c>
      <c r="AU143" s="350">
        <f t="shared" si="58"/>
        <v>1526864.6090433975</v>
      </c>
      <c r="AV143" s="350">
        <f t="shared" si="59"/>
        <v>1544308.415043137</v>
      </c>
      <c r="AW143" s="350">
        <f t="shared" si="60"/>
        <v>1560520.7590656702</v>
      </c>
      <c r="AX143" s="350">
        <f t="shared" si="61"/>
        <v>1575459.0930458484</v>
      </c>
      <c r="AY143" s="350">
        <f t="shared" si="62"/>
        <v>7715384.8692574995</v>
      </c>
      <c r="AZ143" s="365"/>
      <c r="BA143" s="377">
        <f t="shared" si="63"/>
        <v>0</v>
      </c>
      <c r="BB143" s="377">
        <f t="shared" si="64"/>
        <v>0</v>
      </c>
      <c r="BC143" s="377">
        <f t="shared" si="65"/>
        <v>0</v>
      </c>
      <c r="BD143" s="377">
        <f t="shared" si="66"/>
        <v>0</v>
      </c>
      <c r="BE143" s="377">
        <f t="shared" si="67"/>
        <v>0</v>
      </c>
      <c r="BF143" s="377">
        <f t="shared" si="68"/>
        <v>0</v>
      </c>
      <c r="BG143" s="328"/>
    </row>
    <row r="144" spans="2:59">
      <c r="B144" s="332">
        <v>129</v>
      </c>
      <c r="C144" s="350">
        <v>5293623.0947307162</v>
      </c>
      <c r="D144" s="350">
        <v>32698.565851203846</v>
      </c>
      <c r="E144" s="350">
        <v>31307.729424485897</v>
      </c>
      <c r="F144" s="350">
        <v>29879.467791265404</v>
      </c>
      <c r="G144" s="350">
        <v>28413.853905161879</v>
      </c>
      <c r="H144" s="348">
        <v>5415922.7117028339</v>
      </c>
      <c r="I144" s="369"/>
      <c r="J144" s="350">
        <v>6698132.6993436953</v>
      </c>
      <c r="K144" s="350">
        <v>1454559.4057044841</v>
      </c>
      <c r="L144" s="350">
        <v>1469412.7500008806</v>
      </c>
      <c r="M144" s="350">
        <v>1483081.8957941832</v>
      </c>
      <c r="N144" s="350">
        <v>1495527.2940392564</v>
      </c>
      <c r="O144" s="348">
        <v>12600714.044882501</v>
      </c>
      <c r="P144" s="369"/>
      <c r="Q144" s="350">
        <f t="shared" si="69"/>
        <v>1404509.6046129791</v>
      </c>
      <c r="R144" s="350">
        <f t="shared" si="70"/>
        <v>1421860.8398532802</v>
      </c>
      <c r="S144" s="350">
        <f t="shared" si="71"/>
        <v>1438105.0205763946</v>
      </c>
      <c r="T144" s="350">
        <f t="shared" si="72"/>
        <v>1453202.4280029179</v>
      </c>
      <c r="U144" s="350">
        <f t="shared" si="73"/>
        <v>1467113.4401340946</v>
      </c>
      <c r="V144" s="350">
        <f t="shared" si="74"/>
        <v>7184791.3331796667</v>
      </c>
      <c r="W144" s="365"/>
      <c r="X144" s="377">
        <f t="shared" ref="X144:X207" si="76">IF(Q144&lt;Q$8,1,0)</f>
        <v>0</v>
      </c>
      <c r="Y144" s="377">
        <f t="shared" ref="Y144:Y207" si="77">IF(R144&lt;R$8,1,0)</f>
        <v>0</v>
      </c>
      <c r="Z144" s="377">
        <f t="shared" ref="Z144:Z207" si="78">IF(S144&lt;S$8,1,0)</f>
        <v>0</v>
      </c>
      <c r="AA144" s="377">
        <f t="shared" ref="AA144:AA207" si="79">IF(T144&lt;T$8,1,0)</f>
        <v>0</v>
      </c>
      <c r="AB144" s="377">
        <f t="shared" ref="AB144:AB207" si="80">IF(U144&lt;U$8,1,0)</f>
        <v>0</v>
      </c>
      <c r="AC144" s="377">
        <f t="shared" ref="AC144:AC207" si="81">IF(V144&lt;V$8,1,0)</f>
        <v>0</v>
      </c>
      <c r="AD144" s="376"/>
      <c r="AE144" s="332">
        <v>129</v>
      </c>
      <c r="AF144" s="350">
        <v>5430148.233043706</v>
      </c>
      <c r="AG144" s="350">
        <v>33541.877916604266</v>
      </c>
      <c r="AH144" s="350">
        <v>32115.171135665725</v>
      </c>
      <c r="AI144" s="350">
        <v>30650.073933773696</v>
      </c>
      <c r="AJ144" s="350">
        <v>29146.661146060815</v>
      </c>
      <c r="AK144" s="348">
        <v>5555602.0171758104</v>
      </c>
      <c r="AL144" s="369"/>
      <c r="AM144" s="350">
        <v>7031016.4435573146</v>
      </c>
      <c r="AN144" s="350">
        <v>1654187.1272045372</v>
      </c>
      <c r="AO144" s="350">
        <v>1671275.632024904</v>
      </c>
      <c r="AP144" s="350">
        <v>1687018.6475556765</v>
      </c>
      <c r="AQ144" s="350">
        <v>1701371.0872475256</v>
      </c>
      <c r="AR144" s="348">
        <v>13744868.93758996</v>
      </c>
      <c r="AS144" s="369"/>
      <c r="AT144" s="350">
        <f t="shared" si="75"/>
        <v>1600868.2105136085</v>
      </c>
      <c r="AU144" s="350">
        <f t="shared" ref="AU144:AU207" si="82">AN144-AG144</f>
        <v>1620645.2492879329</v>
      </c>
      <c r="AV144" s="350">
        <f t="shared" ref="AV144:AV207" si="83">AO144-AH144</f>
        <v>1639160.4608892384</v>
      </c>
      <c r="AW144" s="350">
        <f t="shared" ref="AW144:AW207" si="84">AP144-AI144</f>
        <v>1656368.5736219028</v>
      </c>
      <c r="AX144" s="350">
        <f t="shared" ref="AX144:AX207" si="85">AQ144-AJ144</f>
        <v>1672224.4261014648</v>
      </c>
      <c r="AY144" s="350">
        <f t="shared" ref="AY144:AY207" si="86">AR144-AK144</f>
        <v>8189266.9204141498</v>
      </c>
      <c r="AZ144" s="365"/>
      <c r="BA144" s="377">
        <f t="shared" ref="BA144:BA207" si="87">IF(AT144&lt;AT$8,1,0)</f>
        <v>0</v>
      </c>
      <c r="BB144" s="377">
        <f t="shared" ref="BB144:BB207" si="88">IF(AU144&lt;AU$8,1,0)</f>
        <v>0</v>
      </c>
      <c r="BC144" s="377">
        <f t="shared" ref="BC144:BC207" si="89">IF(AV144&lt;AV$8,1,0)</f>
        <v>0</v>
      </c>
      <c r="BD144" s="377">
        <f t="shared" ref="BD144:BD207" si="90">IF(AW144&lt;AW$8,1,0)</f>
        <v>0</v>
      </c>
      <c r="BE144" s="377">
        <f t="shared" ref="BE144:BE207" si="91">IF(AX144&lt;AX$8,1,0)</f>
        <v>0</v>
      </c>
      <c r="BF144" s="377">
        <f t="shared" ref="BF144:BF207" si="92">IF(AY144&lt;AY$8,1,0)</f>
        <v>0</v>
      </c>
      <c r="BG144" s="328"/>
    </row>
    <row r="145" spans="2:59">
      <c r="B145" s="332">
        <v>130</v>
      </c>
      <c r="C145" s="350">
        <v>6205857.2797746034</v>
      </c>
      <c r="D145" s="350">
        <v>38333.411596279453</v>
      </c>
      <c r="E145" s="350">
        <v>36702.896501180665</v>
      </c>
      <c r="F145" s="350">
        <v>35028.506826031313</v>
      </c>
      <c r="G145" s="350">
        <v>33310.328096331934</v>
      </c>
      <c r="H145" s="348">
        <v>6349232.4227944268</v>
      </c>
      <c r="I145" s="369"/>
      <c r="J145" s="350">
        <v>7344943.0340641579</v>
      </c>
      <c r="K145" s="350">
        <v>1191491.3693201421</v>
      </c>
      <c r="L145" s="350">
        <v>1203035.214009434</v>
      </c>
      <c r="M145" s="350">
        <v>1213605.1277336893</v>
      </c>
      <c r="N145" s="350">
        <v>1223169.0617744026</v>
      </c>
      <c r="O145" s="348">
        <v>12176243.806901826</v>
      </c>
      <c r="P145" s="369"/>
      <c r="Q145" s="350">
        <f t="shared" ref="Q145:Q208" si="93">J145-C145</f>
        <v>1139085.7542895544</v>
      </c>
      <c r="R145" s="350">
        <f t="shared" ref="R145:R208" si="94">K145-D145</f>
        <v>1153157.9577238627</v>
      </c>
      <c r="S145" s="350">
        <f t="shared" ref="S145:S208" si="95">L145-E145</f>
        <v>1166332.3175082533</v>
      </c>
      <c r="T145" s="350">
        <f t="shared" ref="T145:T208" si="96">M145-F145</f>
        <v>1178576.620907658</v>
      </c>
      <c r="U145" s="350">
        <f t="shared" ref="U145:U208" si="97">N145-G145</f>
        <v>1189858.7336780706</v>
      </c>
      <c r="V145" s="350">
        <f t="shared" ref="V145:V208" si="98">O145-H145</f>
        <v>5827011.3841073988</v>
      </c>
      <c r="W145" s="365"/>
      <c r="X145" s="377">
        <f t="shared" si="76"/>
        <v>0</v>
      </c>
      <c r="Y145" s="377">
        <f t="shared" si="77"/>
        <v>0</v>
      </c>
      <c r="Z145" s="377">
        <f t="shared" si="78"/>
        <v>0</v>
      </c>
      <c r="AA145" s="377">
        <f t="shared" si="79"/>
        <v>0</v>
      </c>
      <c r="AB145" s="377">
        <f t="shared" si="80"/>
        <v>0</v>
      </c>
      <c r="AC145" s="377">
        <f t="shared" si="81"/>
        <v>0</v>
      </c>
      <c r="AD145" s="376"/>
      <c r="AE145" s="332">
        <v>130</v>
      </c>
      <c r="AF145" s="350">
        <v>4317658.7805177746</v>
      </c>
      <c r="AG145" s="350">
        <v>26670.060831932722</v>
      </c>
      <c r="AH145" s="350">
        <v>25535.647406076103</v>
      </c>
      <c r="AI145" s="350">
        <v>24370.708710745639</v>
      </c>
      <c r="AJ145" s="350">
        <v>23175.304249387453</v>
      </c>
      <c r="AK145" s="348">
        <v>4417410.5017159162</v>
      </c>
      <c r="AL145" s="369"/>
      <c r="AM145" s="350">
        <v>5554728.0172306821</v>
      </c>
      <c r="AN145" s="350">
        <v>1279021.9835900259</v>
      </c>
      <c r="AO145" s="350">
        <v>1292195.1805800516</v>
      </c>
      <c r="AP145" s="350">
        <v>1304327.7930158302</v>
      </c>
      <c r="AQ145" s="350">
        <v>1315384.9819881478</v>
      </c>
      <c r="AR145" s="348">
        <v>10745657.956404738</v>
      </c>
      <c r="AS145" s="369"/>
      <c r="AT145" s="350">
        <f t="shared" ref="AT145:AT208" si="99">AM145-AF145</f>
        <v>1237069.2367129074</v>
      </c>
      <c r="AU145" s="350">
        <f t="shared" si="82"/>
        <v>1252351.9227580931</v>
      </c>
      <c r="AV145" s="350">
        <f t="shared" si="83"/>
        <v>1266659.5331739755</v>
      </c>
      <c r="AW145" s="350">
        <f t="shared" si="84"/>
        <v>1279957.0843050845</v>
      </c>
      <c r="AX145" s="350">
        <f t="shared" si="85"/>
        <v>1292209.6777387604</v>
      </c>
      <c r="AY145" s="350">
        <f t="shared" si="86"/>
        <v>6328247.4546888219</v>
      </c>
      <c r="AZ145" s="365"/>
      <c r="BA145" s="377">
        <f t="shared" si="87"/>
        <v>0</v>
      </c>
      <c r="BB145" s="377">
        <f t="shared" si="88"/>
        <v>0</v>
      </c>
      <c r="BC145" s="377">
        <f t="shared" si="89"/>
        <v>0</v>
      </c>
      <c r="BD145" s="377">
        <f t="shared" si="90"/>
        <v>0</v>
      </c>
      <c r="BE145" s="377">
        <f t="shared" si="91"/>
        <v>0</v>
      </c>
      <c r="BF145" s="377">
        <f t="shared" si="92"/>
        <v>0</v>
      </c>
      <c r="BG145" s="328"/>
    </row>
    <row r="146" spans="2:59">
      <c r="B146" s="332">
        <v>131</v>
      </c>
      <c r="C146" s="350">
        <v>6528507.5478901872</v>
      </c>
      <c r="D146" s="350">
        <v>40326.413525219737</v>
      </c>
      <c r="E146" s="350">
        <v>38611.125914596938</v>
      </c>
      <c r="F146" s="350">
        <v>36849.682629727249</v>
      </c>
      <c r="G146" s="350">
        <v>35042.173642687107</v>
      </c>
      <c r="H146" s="348">
        <v>6679336.9436024185</v>
      </c>
      <c r="I146" s="369"/>
      <c r="J146" s="350">
        <v>8447065.4846583605</v>
      </c>
      <c r="K146" s="350">
        <v>1982586.1106613367</v>
      </c>
      <c r="L146" s="350">
        <v>2003060.3486689571</v>
      </c>
      <c r="M146" s="350">
        <v>2021921.9404617012</v>
      </c>
      <c r="N146" s="350">
        <v>2039116.852422931</v>
      </c>
      <c r="O146" s="348">
        <v>16493750.736873286</v>
      </c>
      <c r="P146" s="369"/>
      <c r="Q146" s="350">
        <f t="shared" si="93"/>
        <v>1918557.9367681732</v>
      </c>
      <c r="R146" s="350">
        <f t="shared" si="94"/>
        <v>1942259.6971361169</v>
      </c>
      <c r="S146" s="350">
        <f t="shared" si="95"/>
        <v>1964449.2227543602</v>
      </c>
      <c r="T146" s="350">
        <f t="shared" si="96"/>
        <v>1985072.257831974</v>
      </c>
      <c r="U146" s="350">
        <f t="shared" si="97"/>
        <v>2004074.678780244</v>
      </c>
      <c r="V146" s="350">
        <f t="shared" si="98"/>
        <v>9814413.7932708673</v>
      </c>
      <c r="W146" s="365"/>
      <c r="X146" s="377">
        <f t="shared" si="76"/>
        <v>0</v>
      </c>
      <c r="Y146" s="377">
        <f t="shared" si="77"/>
        <v>0</v>
      </c>
      <c r="Z146" s="377">
        <f t="shared" si="78"/>
        <v>0</v>
      </c>
      <c r="AA146" s="377">
        <f t="shared" si="79"/>
        <v>0</v>
      </c>
      <c r="AB146" s="377">
        <f t="shared" si="80"/>
        <v>0</v>
      </c>
      <c r="AC146" s="377">
        <f t="shared" si="81"/>
        <v>0</v>
      </c>
      <c r="AD146" s="376"/>
      <c r="AE146" s="332">
        <v>131</v>
      </c>
      <c r="AF146" s="350">
        <v>5327525.0043965653</v>
      </c>
      <c r="AG146" s="350">
        <v>32907.977024960135</v>
      </c>
      <c r="AH146" s="350">
        <v>31508.233275214166</v>
      </c>
      <c r="AI146" s="350">
        <v>30070.824637001428</v>
      </c>
      <c r="AJ146" s="350">
        <v>28595.824531161037</v>
      </c>
      <c r="AK146" s="348">
        <v>5450607.8638649024</v>
      </c>
      <c r="AL146" s="369"/>
      <c r="AM146" s="350">
        <v>6754860.3650893234</v>
      </c>
      <c r="AN146" s="350">
        <v>1477876.5611067512</v>
      </c>
      <c r="AO146" s="350">
        <v>1492984.9946421105</v>
      </c>
      <c r="AP146" s="350">
        <v>1506890.3529055167</v>
      </c>
      <c r="AQ146" s="350">
        <v>1519552.4433917515</v>
      </c>
      <c r="AR146" s="348">
        <v>12752164.717135454</v>
      </c>
      <c r="AS146" s="369"/>
      <c r="AT146" s="350">
        <f t="shared" si="99"/>
        <v>1427335.3606927581</v>
      </c>
      <c r="AU146" s="350">
        <f t="shared" si="82"/>
        <v>1444968.5840817911</v>
      </c>
      <c r="AV146" s="350">
        <f t="shared" si="83"/>
        <v>1461476.7613668963</v>
      </c>
      <c r="AW146" s="350">
        <f t="shared" si="84"/>
        <v>1476819.5282685154</v>
      </c>
      <c r="AX146" s="350">
        <f t="shared" si="85"/>
        <v>1490956.6188605905</v>
      </c>
      <c r="AY146" s="350">
        <f t="shared" si="86"/>
        <v>7301556.8532705512</v>
      </c>
      <c r="AZ146" s="365"/>
      <c r="BA146" s="377">
        <f t="shared" si="87"/>
        <v>0</v>
      </c>
      <c r="BB146" s="377">
        <f t="shared" si="88"/>
        <v>0</v>
      </c>
      <c r="BC146" s="377">
        <f t="shared" si="89"/>
        <v>0</v>
      </c>
      <c r="BD146" s="377">
        <f t="shared" si="90"/>
        <v>0</v>
      </c>
      <c r="BE146" s="377">
        <f t="shared" si="91"/>
        <v>0</v>
      </c>
      <c r="BF146" s="377">
        <f t="shared" si="92"/>
        <v>0</v>
      </c>
      <c r="BG146" s="328"/>
    </row>
    <row r="147" spans="2:59">
      <c r="B147" s="332">
        <v>132</v>
      </c>
      <c r="C147" s="350">
        <v>5376266.5869517326</v>
      </c>
      <c r="D147" s="350">
        <v>33209.052454464341</v>
      </c>
      <c r="E147" s="350">
        <v>31796.502434359198</v>
      </c>
      <c r="F147" s="350">
        <v>30345.942929330758</v>
      </c>
      <c r="G147" s="350">
        <v>28857.448031935535</v>
      </c>
      <c r="H147" s="348">
        <v>5500475.5328018228</v>
      </c>
      <c r="I147" s="369"/>
      <c r="J147" s="350">
        <v>6647844.2545895083</v>
      </c>
      <c r="K147" s="350">
        <v>1320495.7214155714</v>
      </c>
      <c r="L147" s="350">
        <v>1333789.8970516974</v>
      </c>
      <c r="M147" s="350">
        <v>1346007.8280003797</v>
      </c>
      <c r="N147" s="350">
        <v>1357113.7164394464</v>
      </c>
      <c r="O147" s="348">
        <v>12005251.417496603</v>
      </c>
      <c r="P147" s="369"/>
      <c r="Q147" s="350">
        <f t="shared" si="93"/>
        <v>1271577.6676377757</v>
      </c>
      <c r="R147" s="350">
        <f t="shared" si="94"/>
        <v>1287286.668961107</v>
      </c>
      <c r="S147" s="350">
        <f t="shared" si="95"/>
        <v>1301993.3946173382</v>
      </c>
      <c r="T147" s="350">
        <f t="shared" si="96"/>
        <v>1315661.885071049</v>
      </c>
      <c r="U147" s="350">
        <f t="shared" si="97"/>
        <v>1328256.2684075108</v>
      </c>
      <c r="V147" s="350">
        <f t="shared" si="98"/>
        <v>6504775.8846947802</v>
      </c>
      <c r="W147" s="365"/>
      <c r="X147" s="377">
        <f t="shared" si="76"/>
        <v>0</v>
      </c>
      <c r="Y147" s="377">
        <f t="shared" si="77"/>
        <v>0</v>
      </c>
      <c r="Z147" s="377">
        <f t="shared" si="78"/>
        <v>0</v>
      </c>
      <c r="AA147" s="377">
        <f t="shared" si="79"/>
        <v>0</v>
      </c>
      <c r="AB147" s="377">
        <f t="shared" si="80"/>
        <v>0</v>
      </c>
      <c r="AC147" s="377">
        <f t="shared" si="81"/>
        <v>0</v>
      </c>
      <c r="AD147" s="376"/>
      <c r="AE147" s="332">
        <v>132</v>
      </c>
      <c r="AF147" s="350">
        <v>5794622.0914282706</v>
      </c>
      <c r="AG147" s="350">
        <v>35793.22302489078</v>
      </c>
      <c r="AH147" s="350">
        <v>34270.755078154856</v>
      </c>
      <c r="AI147" s="350">
        <v>32707.319929092995</v>
      </c>
      <c r="AJ147" s="350">
        <v>31102.997435793102</v>
      </c>
      <c r="AK147" s="348">
        <v>5928496.3868962023</v>
      </c>
      <c r="AL147" s="369"/>
      <c r="AM147" s="350">
        <v>7931712.3477955163</v>
      </c>
      <c r="AN147" s="350">
        <v>2199284.9761467306</v>
      </c>
      <c r="AO147" s="350">
        <v>2222479.5199114238</v>
      </c>
      <c r="AP147" s="350">
        <v>2243888.1756627457</v>
      </c>
      <c r="AQ147" s="350">
        <v>2263450.73475153</v>
      </c>
      <c r="AR147" s="348">
        <v>16860815.754267946</v>
      </c>
      <c r="AS147" s="369"/>
      <c r="AT147" s="350">
        <f t="shared" si="99"/>
        <v>2137090.2563672457</v>
      </c>
      <c r="AU147" s="350">
        <f t="shared" si="82"/>
        <v>2163491.7531218398</v>
      </c>
      <c r="AV147" s="350">
        <f t="shared" si="83"/>
        <v>2188208.7648332687</v>
      </c>
      <c r="AW147" s="350">
        <f t="shared" si="84"/>
        <v>2211180.8557336526</v>
      </c>
      <c r="AX147" s="350">
        <f t="shared" si="85"/>
        <v>2232347.7373157367</v>
      </c>
      <c r="AY147" s="350">
        <f t="shared" si="86"/>
        <v>10932319.367371744</v>
      </c>
      <c r="AZ147" s="365"/>
      <c r="BA147" s="377">
        <f t="shared" si="87"/>
        <v>0</v>
      </c>
      <c r="BB147" s="377">
        <f t="shared" si="88"/>
        <v>0</v>
      </c>
      <c r="BC147" s="377">
        <f t="shared" si="89"/>
        <v>0</v>
      </c>
      <c r="BD147" s="377">
        <f t="shared" si="90"/>
        <v>0</v>
      </c>
      <c r="BE147" s="377">
        <f t="shared" si="91"/>
        <v>0</v>
      </c>
      <c r="BF147" s="377">
        <f t="shared" si="92"/>
        <v>0</v>
      </c>
      <c r="BG147" s="328"/>
    </row>
    <row r="148" spans="2:59">
      <c r="B148" s="332">
        <v>133</v>
      </c>
      <c r="C148" s="350">
        <v>3614717.2795166988</v>
      </c>
      <c r="D148" s="350">
        <v>22328.010302700837</v>
      </c>
      <c r="E148" s="350">
        <v>21378.286384946572</v>
      </c>
      <c r="F148" s="350">
        <v>20403.006900011875</v>
      </c>
      <c r="G148" s="350">
        <v>19402.221663814042</v>
      </c>
      <c r="H148" s="348">
        <v>3698228.8047681726</v>
      </c>
      <c r="I148" s="369"/>
      <c r="J148" s="350">
        <v>5490008.9056613641</v>
      </c>
      <c r="K148" s="350">
        <v>1920786.8871678575</v>
      </c>
      <c r="L148" s="350">
        <v>1941526.2823444712</v>
      </c>
      <c r="M148" s="350">
        <v>1960708.958084953</v>
      </c>
      <c r="N148" s="350">
        <v>1978282.0611832384</v>
      </c>
      <c r="O148" s="348">
        <v>13291313.094441885</v>
      </c>
      <c r="P148" s="369"/>
      <c r="Q148" s="350">
        <f t="shared" si="93"/>
        <v>1875291.6261446653</v>
      </c>
      <c r="R148" s="350">
        <f t="shared" si="94"/>
        <v>1898458.8768651567</v>
      </c>
      <c r="S148" s="350">
        <f t="shared" si="95"/>
        <v>1920147.9959595245</v>
      </c>
      <c r="T148" s="350">
        <f t="shared" si="96"/>
        <v>1940305.9511849412</v>
      </c>
      <c r="U148" s="350">
        <f t="shared" si="97"/>
        <v>1958879.8395194244</v>
      </c>
      <c r="V148" s="350">
        <f t="shared" si="98"/>
        <v>9593084.2896737121</v>
      </c>
      <c r="W148" s="365"/>
      <c r="X148" s="377">
        <f t="shared" si="76"/>
        <v>0</v>
      </c>
      <c r="Y148" s="377">
        <f t="shared" si="77"/>
        <v>0</v>
      </c>
      <c r="Z148" s="377">
        <f t="shared" si="78"/>
        <v>0</v>
      </c>
      <c r="AA148" s="377">
        <f t="shared" si="79"/>
        <v>0</v>
      </c>
      <c r="AB148" s="377">
        <f t="shared" si="80"/>
        <v>0</v>
      </c>
      <c r="AC148" s="377">
        <f t="shared" si="81"/>
        <v>0</v>
      </c>
      <c r="AD148" s="376"/>
      <c r="AE148" s="332">
        <v>133</v>
      </c>
      <c r="AF148" s="350">
        <v>4117813.0755183161</v>
      </c>
      <c r="AG148" s="350">
        <v>25435.619348648252</v>
      </c>
      <c r="AH148" s="350">
        <v>24353.713001831475</v>
      </c>
      <c r="AI148" s="350">
        <v>23242.694267915518</v>
      </c>
      <c r="AJ148" s="350">
        <v>22102.619896192689</v>
      </c>
      <c r="AK148" s="348">
        <v>4212947.7220329046</v>
      </c>
      <c r="AL148" s="369"/>
      <c r="AM148" s="350">
        <v>5629207.5709210197</v>
      </c>
      <c r="AN148" s="350">
        <v>1555501.8001171888</v>
      </c>
      <c r="AO148" s="350">
        <v>1571900.2764225132</v>
      </c>
      <c r="AP148" s="350">
        <v>1587035.5962001716</v>
      </c>
      <c r="AQ148" s="350">
        <v>1600865.1789183556</v>
      </c>
      <c r="AR148" s="348">
        <v>11944510.422579249</v>
      </c>
      <c r="AS148" s="369"/>
      <c r="AT148" s="350">
        <f t="shared" si="99"/>
        <v>1511394.4954027035</v>
      </c>
      <c r="AU148" s="350">
        <f t="shared" si="82"/>
        <v>1530066.1807685406</v>
      </c>
      <c r="AV148" s="350">
        <f t="shared" si="83"/>
        <v>1547546.5634206817</v>
      </c>
      <c r="AW148" s="350">
        <f t="shared" si="84"/>
        <v>1563792.9019322561</v>
      </c>
      <c r="AX148" s="350">
        <f t="shared" si="85"/>
        <v>1578762.5590221628</v>
      </c>
      <c r="AY148" s="350">
        <f t="shared" si="86"/>
        <v>7731562.7005463447</v>
      </c>
      <c r="AZ148" s="365"/>
      <c r="BA148" s="377">
        <f t="shared" si="87"/>
        <v>0</v>
      </c>
      <c r="BB148" s="377">
        <f t="shared" si="88"/>
        <v>0</v>
      </c>
      <c r="BC148" s="377">
        <f t="shared" si="89"/>
        <v>0</v>
      </c>
      <c r="BD148" s="377">
        <f t="shared" si="90"/>
        <v>0</v>
      </c>
      <c r="BE148" s="377">
        <f t="shared" si="91"/>
        <v>0</v>
      </c>
      <c r="BF148" s="377">
        <f t="shared" si="92"/>
        <v>0</v>
      </c>
      <c r="BG148" s="328"/>
    </row>
    <row r="149" spans="2:59">
      <c r="B149" s="332">
        <v>134</v>
      </c>
      <c r="C149" s="350">
        <v>3888239.4509150921</v>
      </c>
      <c r="D149" s="350">
        <v>24017.549314674838</v>
      </c>
      <c r="E149" s="350">
        <v>22995.960703744498</v>
      </c>
      <c r="F149" s="350">
        <v>21946.882760503369</v>
      </c>
      <c r="G149" s="350">
        <v>20870.369070392939</v>
      </c>
      <c r="H149" s="348">
        <v>3978070.212764408</v>
      </c>
      <c r="I149" s="369"/>
      <c r="J149" s="350">
        <v>5516016.1750927009</v>
      </c>
      <c r="K149" s="350">
        <v>1671903.7385804029</v>
      </c>
      <c r="L149" s="350">
        <v>1689708.5782100298</v>
      </c>
      <c r="M149" s="350">
        <v>1706156.8590058144</v>
      </c>
      <c r="N149" s="350">
        <v>1721202.7140645608</v>
      </c>
      <c r="O149" s="348">
        <v>12304988.064953508</v>
      </c>
      <c r="P149" s="369"/>
      <c r="Q149" s="350">
        <f t="shared" si="93"/>
        <v>1627776.7241776087</v>
      </c>
      <c r="R149" s="350">
        <f t="shared" si="94"/>
        <v>1647886.189265728</v>
      </c>
      <c r="S149" s="350">
        <f t="shared" si="95"/>
        <v>1666712.6175062852</v>
      </c>
      <c r="T149" s="350">
        <f t="shared" si="96"/>
        <v>1684209.9762453111</v>
      </c>
      <c r="U149" s="350">
        <f t="shared" si="97"/>
        <v>1700332.3449941678</v>
      </c>
      <c r="V149" s="350">
        <f t="shared" si="98"/>
        <v>8326917.8521890994</v>
      </c>
      <c r="W149" s="365"/>
      <c r="X149" s="377">
        <f t="shared" si="76"/>
        <v>0</v>
      </c>
      <c r="Y149" s="377">
        <f t="shared" si="77"/>
        <v>0</v>
      </c>
      <c r="Z149" s="377">
        <f t="shared" si="78"/>
        <v>0</v>
      </c>
      <c r="AA149" s="377">
        <f t="shared" si="79"/>
        <v>0</v>
      </c>
      <c r="AB149" s="377">
        <f t="shared" si="80"/>
        <v>0</v>
      </c>
      <c r="AC149" s="377">
        <f t="shared" si="81"/>
        <v>0</v>
      </c>
      <c r="AD149" s="376"/>
      <c r="AE149" s="332">
        <v>134</v>
      </c>
      <c r="AF149" s="350">
        <v>5696546.1630411278</v>
      </c>
      <c r="AG149" s="350">
        <v>35187.410683249196</v>
      </c>
      <c r="AH149" s="350">
        <v>33690.711018718488</v>
      </c>
      <c r="AI149" s="350">
        <v>32153.737535541317</v>
      </c>
      <c r="AJ149" s="350">
        <v>30576.568740182531</v>
      </c>
      <c r="AK149" s="348">
        <v>5828154.5910188193</v>
      </c>
      <c r="AL149" s="369"/>
      <c r="AM149" s="350">
        <v>7345274.638746731</v>
      </c>
      <c r="AN149" s="350">
        <v>1704284.1882754271</v>
      </c>
      <c r="AO149" s="350">
        <v>1721856.2391803095</v>
      </c>
      <c r="AP149" s="350">
        <v>1738041.8397910965</v>
      </c>
      <c r="AQ149" s="350">
        <v>1752794.5570650261</v>
      </c>
      <c r="AR149" s="348">
        <v>14262251.463058591</v>
      </c>
      <c r="AS149" s="369"/>
      <c r="AT149" s="350">
        <f t="shared" si="99"/>
        <v>1648728.4757056031</v>
      </c>
      <c r="AU149" s="350">
        <f t="shared" si="82"/>
        <v>1669096.777592178</v>
      </c>
      <c r="AV149" s="350">
        <f t="shared" si="83"/>
        <v>1688165.5281615909</v>
      </c>
      <c r="AW149" s="350">
        <f t="shared" si="84"/>
        <v>1705888.1022555551</v>
      </c>
      <c r="AX149" s="350">
        <f t="shared" si="85"/>
        <v>1722217.9883248436</v>
      </c>
      <c r="AY149" s="350">
        <f t="shared" si="86"/>
        <v>8434096.8720397726</v>
      </c>
      <c r="AZ149" s="365"/>
      <c r="BA149" s="377">
        <f t="shared" si="87"/>
        <v>0</v>
      </c>
      <c r="BB149" s="377">
        <f t="shared" si="88"/>
        <v>0</v>
      </c>
      <c r="BC149" s="377">
        <f t="shared" si="89"/>
        <v>0</v>
      </c>
      <c r="BD149" s="377">
        <f t="shared" si="90"/>
        <v>0</v>
      </c>
      <c r="BE149" s="377">
        <f t="shared" si="91"/>
        <v>0</v>
      </c>
      <c r="BF149" s="377">
        <f t="shared" si="92"/>
        <v>0</v>
      </c>
      <c r="BG149" s="328"/>
    </row>
    <row r="150" spans="2:59">
      <c r="B150" s="332">
        <v>135</v>
      </c>
      <c r="C150" s="350">
        <v>5335549.8583524721</v>
      </c>
      <c r="D150" s="350">
        <v>32957.546329541903</v>
      </c>
      <c r="E150" s="350">
        <v>31555.694144985417</v>
      </c>
      <c r="F150" s="350">
        <v>30116.120337320361</v>
      </c>
      <c r="G150" s="350">
        <v>28638.898437980159</v>
      </c>
      <c r="H150" s="348">
        <v>5458818.1176023008</v>
      </c>
      <c r="I150" s="369"/>
      <c r="J150" s="350">
        <v>6593357.00912649</v>
      </c>
      <c r="K150" s="350">
        <v>1306303.578210769</v>
      </c>
      <c r="L150" s="350">
        <v>1319449.1855842611</v>
      </c>
      <c r="M150" s="350">
        <v>1331530.0796729054</v>
      </c>
      <c r="N150" s="350">
        <v>1342510.8505673716</v>
      </c>
      <c r="O150" s="348">
        <v>11893150.703161798</v>
      </c>
      <c r="P150" s="369"/>
      <c r="Q150" s="350">
        <f t="shared" si="93"/>
        <v>1257807.1507740179</v>
      </c>
      <c r="R150" s="350">
        <f t="shared" si="94"/>
        <v>1273346.0318812272</v>
      </c>
      <c r="S150" s="350">
        <f t="shared" si="95"/>
        <v>1287893.4914392757</v>
      </c>
      <c r="T150" s="350">
        <f t="shared" si="96"/>
        <v>1301413.9593355851</v>
      </c>
      <c r="U150" s="350">
        <f t="shared" si="97"/>
        <v>1313871.9521293915</v>
      </c>
      <c r="V150" s="350">
        <f t="shared" si="98"/>
        <v>6434332.5855594976</v>
      </c>
      <c r="W150" s="365"/>
      <c r="X150" s="377">
        <f t="shared" si="76"/>
        <v>0</v>
      </c>
      <c r="Y150" s="377">
        <f t="shared" si="77"/>
        <v>0</v>
      </c>
      <c r="Z150" s="377">
        <f t="shared" si="78"/>
        <v>0</v>
      </c>
      <c r="AA150" s="377">
        <f t="shared" si="79"/>
        <v>0</v>
      </c>
      <c r="AB150" s="377">
        <f t="shared" si="80"/>
        <v>0</v>
      </c>
      <c r="AC150" s="377">
        <f t="shared" si="81"/>
        <v>0</v>
      </c>
      <c r="AD150" s="376"/>
      <c r="AE150" s="332">
        <v>135</v>
      </c>
      <c r="AF150" s="350">
        <v>5260593.7179057496</v>
      </c>
      <c r="AG150" s="350">
        <v>32494.544289069247</v>
      </c>
      <c r="AH150" s="350">
        <v>31112.385937768318</v>
      </c>
      <c r="AI150" s="350">
        <v>29693.035893236211</v>
      </c>
      <c r="AJ150" s="350">
        <v>28236.56665389895</v>
      </c>
      <c r="AK150" s="348">
        <v>5382130.2506797221</v>
      </c>
      <c r="AL150" s="369"/>
      <c r="AM150" s="350">
        <v>6570813.5259500165</v>
      </c>
      <c r="AN150" s="350">
        <v>1358900.736556849</v>
      </c>
      <c r="AO150" s="350">
        <v>1372672.2284753444</v>
      </c>
      <c r="AP150" s="350">
        <v>1385336.7424324381</v>
      </c>
      <c r="AQ150" s="350">
        <v>1396857.3888955109</v>
      </c>
      <c r="AR150" s="348">
        <v>12084580.622310158</v>
      </c>
      <c r="AS150" s="369"/>
      <c r="AT150" s="350">
        <f t="shared" si="99"/>
        <v>1310219.8080442669</v>
      </c>
      <c r="AU150" s="350">
        <f t="shared" si="82"/>
        <v>1326406.1922677797</v>
      </c>
      <c r="AV150" s="350">
        <f t="shared" si="83"/>
        <v>1341559.8425375761</v>
      </c>
      <c r="AW150" s="350">
        <f t="shared" si="84"/>
        <v>1355643.7065392018</v>
      </c>
      <c r="AX150" s="350">
        <f t="shared" si="85"/>
        <v>1368620.822241612</v>
      </c>
      <c r="AY150" s="350">
        <f t="shared" si="86"/>
        <v>6702450.3716304358</v>
      </c>
      <c r="AZ150" s="365"/>
      <c r="BA150" s="377">
        <f t="shared" si="87"/>
        <v>0</v>
      </c>
      <c r="BB150" s="377">
        <f t="shared" si="88"/>
        <v>0</v>
      </c>
      <c r="BC150" s="377">
        <f t="shared" si="89"/>
        <v>0</v>
      </c>
      <c r="BD150" s="377">
        <f t="shared" si="90"/>
        <v>0</v>
      </c>
      <c r="BE150" s="377">
        <f t="shared" si="91"/>
        <v>0</v>
      </c>
      <c r="BF150" s="377">
        <f t="shared" si="92"/>
        <v>0</v>
      </c>
      <c r="BG150" s="328"/>
    </row>
    <row r="151" spans="2:59">
      <c r="B151" s="332">
        <v>136</v>
      </c>
      <c r="C151" s="350">
        <v>5560337.5233020531</v>
      </c>
      <c r="D151" s="350">
        <v>34346.053620929357</v>
      </c>
      <c r="E151" s="350">
        <v>32885.141154390098</v>
      </c>
      <c r="F151" s="350">
        <v>31384.917846049779</v>
      </c>
      <c r="G151" s="350">
        <v>29845.460325226926</v>
      </c>
      <c r="H151" s="348">
        <v>5688799.0962486491</v>
      </c>
      <c r="I151" s="369"/>
      <c r="J151" s="350">
        <v>8108006.2707207743</v>
      </c>
      <c r="K151" s="350">
        <v>2613488.5621343693</v>
      </c>
      <c r="L151" s="350">
        <v>2641493.3018924766</v>
      </c>
      <c r="M151" s="350">
        <v>2667378.5752309901</v>
      </c>
      <c r="N151" s="350">
        <v>2691072.5876239045</v>
      </c>
      <c r="O151" s="348">
        <v>18721439.297602512</v>
      </c>
      <c r="P151" s="369"/>
      <c r="Q151" s="350">
        <f t="shared" si="93"/>
        <v>2547668.7474187212</v>
      </c>
      <c r="R151" s="350">
        <f t="shared" si="94"/>
        <v>2579142.5085134399</v>
      </c>
      <c r="S151" s="350">
        <f t="shared" si="95"/>
        <v>2608608.1607380863</v>
      </c>
      <c r="T151" s="350">
        <f t="shared" si="96"/>
        <v>2635993.6573849404</v>
      </c>
      <c r="U151" s="350">
        <f t="shared" si="97"/>
        <v>2661227.1272986773</v>
      </c>
      <c r="V151" s="350">
        <f t="shared" si="98"/>
        <v>13032640.201353863</v>
      </c>
      <c r="W151" s="365"/>
      <c r="X151" s="377">
        <f t="shared" si="76"/>
        <v>0</v>
      </c>
      <c r="Y151" s="377">
        <f t="shared" si="77"/>
        <v>0</v>
      </c>
      <c r="Z151" s="377">
        <f t="shared" si="78"/>
        <v>0</v>
      </c>
      <c r="AA151" s="377">
        <f t="shared" si="79"/>
        <v>0</v>
      </c>
      <c r="AB151" s="377">
        <f t="shared" si="80"/>
        <v>0</v>
      </c>
      <c r="AC151" s="377">
        <f t="shared" si="81"/>
        <v>0</v>
      </c>
      <c r="AD151" s="376"/>
      <c r="AE151" s="332">
        <v>136</v>
      </c>
      <c r="AF151" s="350">
        <v>5595851.6197841289</v>
      </c>
      <c r="AG151" s="350">
        <v>34565.42322879345</v>
      </c>
      <c r="AH151" s="350">
        <v>33095.179856336334</v>
      </c>
      <c r="AI151" s="350">
        <v>31585.374562173114</v>
      </c>
      <c r="AJ151" s="350">
        <v>30036.08446505728</v>
      </c>
      <c r="AK151" s="348">
        <v>5725133.68189649</v>
      </c>
      <c r="AL151" s="369"/>
      <c r="AM151" s="350">
        <v>7116766.5924788807</v>
      </c>
      <c r="AN151" s="350">
        <v>1574269.6967478686</v>
      </c>
      <c r="AO151" s="350">
        <v>1590389.9473099483</v>
      </c>
      <c r="AP151" s="350">
        <v>1605228.8183996687</v>
      </c>
      <c r="AQ151" s="350">
        <v>1618743.4812767108</v>
      </c>
      <c r="AR151" s="348">
        <v>13505398.536213079</v>
      </c>
      <c r="AS151" s="369"/>
      <c r="AT151" s="350">
        <f t="shared" si="99"/>
        <v>1520914.9726947518</v>
      </c>
      <c r="AU151" s="350">
        <f t="shared" si="82"/>
        <v>1539704.273519075</v>
      </c>
      <c r="AV151" s="350">
        <f t="shared" si="83"/>
        <v>1557294.7674536118</v>
      </c>
      <c r="AW151" s="350">
        <f t="shared" si="84"/>
        <v>1573643.4438374955</v>
      </c>
      <c r="AX151" s="350">
        <f t="shared" si="85"/>
        <v>1588707.3968116534</v>
      </c>
      <c r="AY151" s="350">
        <f t="shared" si="86"/>
        <v>7780264.8543165894</v>
      </c>
      <c r="AZ151" s="365"/>
      <c r="BA151" s="377">
        <f t="shared" si="87"/>
        <v>0</v>
      </c>
      <c r="BB151" s="377">
        <f t="shared" si="88"/>
        <v>0</v>
      </c>
      <c r="BC151" s="377">
        <f t="shared" si="89"/>
        <v>0</v>
      </c>
      <c r="BD151" s="377">
        <f t="shared" si="90"/>
        <v>0</v>
      </c>
      <c r="BE151" s="377">
        <f t="shared" si="91"/>
        <v>0</v>
      </c>
      <c r="BF151" s="377">
        <f t="shared" si="92"/>
        <v>0</v>
      </c>
      <c r="BG151" s="328"/>
    </row>
    <row r="152" spans="2:59">
      <c r="B152" s="332">
        <v>137</v>
      </c>
      <c r="C152" s="350">
        <v>6180676.4035043083</v>
      </c>
      <c r="D152" s="350">
        <v>38177.870008564038</v>
      </c>
      <c r="E152" s="350">
        <v>36553.970888829914</v>
      </c>
      <c r="F152" s="350">
        <v>34886.375214466498</v>
      </c>
      <c r="G152" s="350">
        <v>33175.16816394827</v>
      </c>
      <c r="H152" s="348">
        <v>6323469.7877801172</v>
      </c>
      <c r="I152" s="369"/>
      <c r="J152" s="350">
        <v>7735148.5529717412</v>
      </c>
      <c r="K152" s="350">
        <v>1611853.8838364249</v>
      </c>
      <c r="L152" s="350">
        <v>1628208.5919416365</v>
      </c>
      <c r="M152" s="350">
        <v>1643250.3867168713</v>
      </c>
      <c r="N152" s="350">
        <v>1656935.5008148849</v>
      </c>
      <c r="O152" s="348">
        <v>14275396.916281557</v>
      </c>
      <c r="P152" s="369"/>
      <c r="Q152" s="350">
        <f t="shared" si="93"/>
        <v>1554472.1494674329</v>
      </c>
      <c r="R152" s="350">
        <f t="shared" si="94"/>
        <v>1573676.0138278608</v>
      </c>
      <c r="S152" s="350">
        <f t="shared" si="95"/>
        <v>1591654.6210528065</v>
      </c>
      <c r="T152" s="350">
        <f t="shared" si="96"/>
        <v>1608364.0115024047</v>
      </c>
      <c r="U152" s="350">
        <f t="shared" si="97"/>
        <v>1623760.3326509367</v>
      </c>
      <c r="V152" s="350">
        <f t="shared" si="98"/>
        <v>7951927.1285014395</v>
      </c>
      <c r="W152" s="365"/>
      <c r="X152" s="377">
        <f t="shared" si="76"/>
        <v>0</v>
      </c>
      <c r="Y152" s="377">
        <f t="shared" si="77"/>
        <v>0</v>
      </c>
      <c r="Z152" s="377">
        <f t="shared" si="78"/>
        <v>0</v>
      </c>
      <c r="AA152" s="377">
        <f t="shared" si="79"/>
        <v>0</v>
      </c>
      <c r="AB152" s="377">
        <f t="shared" si="80"/>
        <v>0</v>
      </c>
      <c r="AC152" s="377">
        <f t="shared" si="81"/>
        <v>0</v>
      </c>
      <c r="AD152" s="376"/>
      <c r="AE152" s="332">
        <v>137</v>
      </c>
      <c r="AF152" s="350">
        <v>5480003.3264542185</v>
      </c>
      <c r="AG152" s="350">
        <v>33849.831472368496</v>
      </c>
      <c r="AH152" s="350">
        <v>32410.025859357105</v>
      </c>
      <c r="AI152" s="350">
        <v>30931.47735655963</v>
      </c>
      <c r="AJ152" s="350">
        <v>29414.261486175354</v>
      </c>
      <c r="AK152" s="348">
        <v>5606608.9226286793</v>
      </c>
      <c r="AL152" s="369"/>
      <c r="AM152" s="350">
        <v>7267070.3936948087</v>
      </c>
      <c r="AN152" s="350">
        <v>1842994.2280327766</v>
      </c>
      <c r="AO152" s="350">
        <v>1862223.1599700376</v>
      </c>
      <c r="AP152" s="350">
        <v>1879954.2199484089</v>
      </c>
      <c r="AQ152" s="350">
        <v>1896137.0693320853</v>
      </c>
      <c r="AR152" s="348">
        <v>14748379.070978118</v>
      </c>
      <c r="AS152" s="369"/>
      <c r="AT152" s="350">
        <f t="shared" si="99"/>
        <v>1787067.0672405902</v>
      </c>
      <c r="AU152" s="350">
        <f t="shared" si="82"/>
        <v>1809144.3965604082</v>
      </c>
      <c r="AV152" s="350">
        <f t="shared" si="83"/>
        <v>1829813.1341106805</v>
      </c>
      <c r="AW152" s="350">
        <f t="shared" si="84"/>
        <v>1849022.7425918493</v>
      </c>
      <c r="AX152" s="350">
        <f t="shared" si="85"/>
        <v>1866722.8078459101</v>
      </c>
      <c r="AY152" s="350">
        <f t="shared" si="86"/>
        <v>9141770.1483494379</v>
      </c>
      <c r="AZ152" s="365"/>
      <c r="BA152" s="377">
        <f t="shared" si="87"/>
        <v>0</v>
      </c>
      <c r="BB152" s="377">
        <f t="shared" si="88"/>
        <v>0</v>
      </c>
      <c r="BC152" s="377">
        <f t="shared" si="89"/>
        <v>0</v>
      </c>
      <c r="BD152" s="377">
        <f t="shared" si="90"/>
        <v>0</v>
      </c>
      <c r="BE152" s="377">
        <f t="shared" si="91"/>
        <v>0</v>
      </c>
      <c r="BF152" s="377">
        <f t="shared" si="92"/>
        <v>0</v>
      </c>
      <c r="BG152" s="328"/>
    </row>
    <row r="153" spans="2:59">
      <c r="B153" s="332">
        <v>138</v>
      </c>
      <c r="C153" s="350">
        <v>6556228.0157130361</v>
      </c>
      <c r="D153" s="350">
        <v>40497.642100868266</v>
      </c>
      <c r="E153" s="350">
        <v>38775.071267445266</v>
      </c>
      <c r="F153" s="350">
        <v>37006.148779782132</v>
      </c>
      <c r="G153" s="350">
        <v>35190.964991978806</v>
      </c>
      <c r="H153" s="348">
        <v>6707697.8428531103</v>
      </c>
      <c r="I153" s="369"/>
      <c r="J153" s="350">
        <v>8261715.4981532218</v>
      </c>
      <c r="K153" s="350">
        <v>1767054.6241087434</v>
      </c>
      <c r="L153" s="350">
        <v>1785057.2632666065</v>
      </c>
      <c r="M153" s="350">
        <v>1801621.0309212301</v>
      </c>
      <c r="N153" s="350">
        <v>1816697.9046742725</v>
      </c>
      <c r="O153" s="348">
        <v>15432146.321124075</v>
      </c>
      <c r="P153" s="369"/>
      <c r="Q153" s="350">
        <f t="shared" si="93"/>
        <v>1705487.4824401857</v>
      </c>
      <c r="R153" s="350">
        <f t="shared" si="94"/>
        <v>1726556.9820078751</v>
      </c>
      <c r="S153" s="350">
        <f t="shared" si="95"/>
        <v>1746282.1919991612</v>
      </c>
      <c r="T153" s="350">
        <f t="shared" si="96"/>
        <v>1764614.8821414479</v>
      </c>
      <c r="U153" s="350">
        <f t="shared" si="97"/>
        <v>1781506.9396822937</v>
      </c>
      <c r="V153" s="350">
        <f t="shared" si="98"/>
        <v>8724448.4782709647</v>
      </c>
      <c r="W153" s="365"/>
      <c r="X153" s="377">
        <f t="shared" si="76"/>
        <v>0</v>
      </c>
      <c r="Y153" s="377">
        <f t="shared" si="77"/>
        <v>0</v>
      </c>
      <c r="Z153" s="377">
        <f t="shared" si="78"/>
        <v>0</v>
      </c>
      <c r="AA153" s="377">
        <f t="shared" si="79"/>
        <v>0</v>
      </c>
      <c r="AB153" s="377">
        <f t="shared" si="80"/>
        <v>0</v>
      </c>
      <c r="AC153" s="377">
        <f t="shared" si="81"/>
        <v>0</v>
      </c>
      <c r="AD153" s="376"/>
      <c r="AE153" s="332">
        <v>138</v>
      </c>
      <c r="AF153" s="350">
        <v>4600561.1411914937</v>
      </c>
      <c r="AG153" s="350">
        <v>28417.541017885884</v>
      </c>
      <c r="AH153" s="350">
        <v>27208.798365830302</v>
      </c>
      <c r="AI153" s="350">
        <v>25967.530362486486</v>
      </c>
      <c r="AJ153" s="350">
        <v>24693.800410100946</v>
      </c>
      <c r="AK153" s="348">
        <v>4706848.8113477984</v>
      </c>
      <c r="AL153" s="369"/>
      <c r="AM153" s="350">
        <v>7235010.5451672506</v>
      </c>
      <c r="AN153" s="350">
        <v>2695412.7895979965</v>
      </c>
      <c r="AO153" s="350">
        <v>2724673.380928088</v>
      </c>
      <c r="AP153" s="350">
        <v>2751750.4354664688</v>
      </c>
      <c r="AQ153" s="350">
        <v>2776569.6973293847</v>
      </c>
      <c r="AR153" s="348">
        <v>18183416.848489188</v>
      </c>
      <c r="AS153" s="369"/>
      <c r="AT153" s="350">
        <f t="shared" si="99"/>
        <v>2634449.4039757568</v>
      </c>
      <c r="AU153" s="350">
        <f t="shared" si="82"/>
        <v>2666995.2485801107</v>
      </c>
      <c r="AV153" s="350">
        <f t="shared" si="83"/>
        <v>2697464.5825622575</v>
      </c>
      <c r="AW153" s="350">
        <f t="shared" si="84"/>
        <v>2725782.9051039824</v>
      </c>
      <c r="AX153" s="350">
        <f t="shared" si="85"/>
        <v>2751875.896919284</v>
      </c>
      <c r="AY153" s="350">
        <f t="shared" si="86"/>
        <v>13476568.03714139</v>
      </c>
      <c r="AZ153" s="365"/>
      <c r="BA153" s="377">
        <f t="shared" si="87"/>
        <v>0</v>
      </c>
      <c r="BB153" s="377">
        <f t="shared" si="88"/>
        <v>0</v>
      </c>
      <c r="BC153" s="377">
        <f t="shared" si="89"/>
        <v>0</v>
      </c>
      <c r="BD153" s="377">
        <f t="shared" si="90"/>
        <v>0</v>
      </c>
      <c r="BE153" s="377">
        <f t="shared" si="91"/>
        <v>0</v>
      </c>
      <c r="BF153" s="377">
        <f t="shared" si="92"/>
        <v>0</v>
      </c>
      <c r="BG153" s="328"/>
    </row>
    <row r="154" spans="2:59">
      <c r="B154" s="332">
        <v>139</v>
      </c>
      <c r="C154" s="350">
        <v>4991956.107506142</v>
      </c>
      <c r="D154" s="350">
        <v>30835.177077508448</v>
      </c>
      <c r="E154" s="350">
        <v>29523.600059150809</v>
      </c>
      <c r="F154" s="350">
        <v>28176.730579498209</v>
      </c>
      <c r="G154" s="350">
        <v>26794.637434775221</v>
      </c>
      <c r="H154" s="348">
        <v>5107286.2526570745</v>
      </c>
      <c r="I154" s="369"/>
      <c r="J154" s="350">
        <v>6420188.6732257074</v>
      </c>
      <c r="K154" s="350">
        <v>1476712.0502081919</v>
      </c>
      <c r="L154" s="350">
        <v>1491919.0273072193</v>
      </c>
      <c r="M154" s="350">
        <v>1505924.5689991778</v>
      </c>
      <c r="N154" s="350">
        <v>1518688.4528435853</v>
      </c>
      <c r="O154" s="348">
        <v>12413432.772583881</v>
      </c>
      <c r="P154" s="369"/>
      <c r="Q154" s="350">
        <f t="shared" si="93"/>
        <v>1428232.5657195654</v>
      </c>
      <c r="R154" s="350">
        <f t="shared" si="94"/>
        <v>1445876.8731306833</v>
      </c>
      <c r="S154" s="350">
        <f t="shared" si="95"/>
        <v>1462395.4272480686</v>
      </c>
      <c r="T154" s="350">
        <f t="shared" si="96"/>
        <v>1477747.8384196796</v>
      </c>
      <c r="U154" s="350">
        <f t="shared" si="97"/>
        <v>1491893.81540881</v>
      </c>
      <c r="V154" s="350">
        <f t="shared" si="98"/>
        <v>7306146.5199268069</v>
      </c>
      <c r="W154" s="365"/>
      <c r="X154" s="377">
        <f t="shared" si="76"/>
        <v>0</v>
      </c>
      <c r="Y154" s="377">
        <f t="shared" si="77"/>
        <v>0</v>
      </c>
      <c r="Z154" s="377">
        <f t="shared" si="78"/>
        <v>0</v>
      </c>
      <c r="AA154" s="377">
        <f t="shared" si="79"/>
        <v>0</v>
      </c>
      <c r="AB154" s="377">
        <f t="shared" si="80"/>
        <v>0</v>
      </c>
      <c r="AC154" s="377">
        <f t="shared" si="81"/>
        <v>0</v>
      </c>
      <c r="AD154" s="376"/>
      <c r="AE154" s="332">
        <v>139</v>
      </c>
      <c r="AF154" s="350">
        <v>5697920.6862646127</v>
      </c>
      <c r="AG154" s="350">
        <v>35195.90107580967</v>
      </c>
      <c r="AH154" s="350">
        <v>33698.840271669935</v>
      </c>
      <c r="AI154" s="350">
        <v>32161.495931189012</v>
      </c>
      <c r="AJ154" s="350">
        <v>30583.946579776759</v>
      </c>
      <c r="AK154" s="348">
        <v>5829560.8701230576</v>
      </c>
      <c r="AL154" s="369"/>
      <c r="AM154" s="350">
        <v>6998548.2437626189</v>
      </c>
      <c r="AN154" s="350">
        <v>1351891.3406559641</v>
      </c>
      <c r="AO154" s="350">
        <v>1365436.9887290515</v>
      </c>
      <c r="AP154" s="350">
        <v>1377880.3990101232</v>
      </c>
      <c r="AQ154" s="350">
        <v>1389184.9585962887</v>
      </c>
      <c r="AR154" s="348">
        <v>12482941.930754047</v>
      </c>
      <c r="AS154" s="369"/>
      <c r="AT154" s="350">
        <f t="shared" si="99"/>
        <v>1300627.5574980062</v>
      </c>
      <c r="AU154" s="350">
        <f t="shared" si="82"/>
        <v>1316695.4395801544</v>
      </c>
      <c r="AV154" s="350">
        <f t="shared" si="83"/>
        <v>1331738.1484573816</v>
      </c>
      <c r="AW154" s="350">
        <f t="shared" si="84"/>
        <v>1345718.9030789342</v>
      </c>
      <c r="AX154" s="350">
        <f t="shared" si="85"/>
        <v>1358601.012016512</v>
      </c>
      <c r="AY154" s="350">
        <f t="shared" si="86"/>
        <v>6653381.0606309893</v>
      </c>
      <c r="AZ154" s="365"/>
      <c r="BA154" s="377">
        <f t="shared" si="87"/>
        <v>0</v>
      </c>
      <c r="BB154" s="377">
        <f t="shared" si="88"/>
        <v>0</v>
      </c>
      <c r="BC154" s="377">
        <f t="shared" si="89"/>
        <v>0</v>
      </c>
      <c r="BD154" s="377">
        <f t="shared" si="90"/>
        <v>0</v>
      </c>
      <c r="BE154" s="377">
        <f t="shared" si="91"/>
        <v>0</v>
      </c>
      <c r="BF154" s="377">
        <f t="shared" si="92"/>
        <v>0</v>
      </c>
      <c r="BG154" s="328"/>
    </row>
    <row r="155" spans="2:59">
      <c r="B155" s="332">
        <v>140</v>
      </c>
      <c r="C155" s="350">
        <v>6384606.723511586</v>
      </c>
      <c r="D155" s="350">
        <v>39437.542047636925</v>
      </c>
      <c r="E155" s="350">
        <v>37760.062664910532</v>
      </c>
      <c r="F155" s="350">
        <v>36037.444967504067</v>
      </c>
      <c r="G155" s="350">
        <v>34269.776944327925</v>
      </c>
      <c r="H155" s="348">
        <v>6532111.5501359645</v>
      </c>
      <c r="I155" s="369"/>
      <c r="J155" s="350">
        <v>8554124.3333404884</v>
      </c>
      <c r="K155" s="350">
        <v>2235757.2543915254</v>
      </c>
      <c r="L155" s="350">
        <v>2259171.8327777805</v>
      </c>
      <c r="M155" s="350">
        <v>2280769.8753072796</v>
      </c>
      <c r="N155" s="350">
        <v>2300490.2666679653</v>
      </c>
      <c r="O155" s="348">
        <v>17630313.562485039</v>
      </c>
      <c r="P155" s="369"/>
      <c r="Q155" s="350">
        <f t="shared" si="93"/>
        <v>2169517.6098289024</v>
      </c>
      <c r="R155" s="350">
        <f t="shared" si="94"/>
        <v>2196319.7123438884</v>
      </c>
      <c r="S155" s="350">
        <f t="shared" si="95"/>
        <v>2221411.7701128698</v>
      </c>
      <c r="T155" s="350">
        <f t="shared" si="96"/>
        <v>2244732.4303397755</v>
      </c>
      <c r="U155" s="350">
        <f t="shared" si="97"/>
        <v>2266220.4897236372</v>
      </c>
      <c r="V155" s="350">
        <f t="shared" si="98"/>
        <v>11098202.012349075</v>
      </c>
      <c r="W155" s="365"/>
      <c r="X155" s="377">
        <f t="shared" si="76"/>
        <v>0</v>
      </c>
      <c r="Y155" s="377">
        <f t="shared" si="77"/>
        <v>0</v>
      </c>
      <c r="Z155" s="377">
        <f t="shared" si="78"/>
        <v>0</v>
      </c>
      <c r="AA155" s="377">
        <f t="shared" si="79"/>
        <v>0</v>
      </c>
      <c r="AB155" s="377">
        <f t="shared" si="80"/>
        <v>0</v>
      </c>
      <c r="AC155" s="377">
        <f t="shared" si="81"/>
        <v>0</v>
      </c>
      <c r="AD155" s="376"/>
      <c r="AE155" s="332">
        <v>140</v>
      </c>
      <c r="AF155" s="350">
        <v>7475725.2418148182</v>
      </c>
      <c r="AG155" s="350">
        <v>46177.35145297827</v>
      </c>
      <c r="AH155" s="350">
        <v>44213.193673632755</v>
      </c>
      <c r="AI155" s="350">
        <v>42196.183517768251</v>
      </c>
      <c r="AJ155" s="350">
        <v>40126.424011466566</v>
      </c>
      <c r="AK155" s="348">
        <v>7648438.3944706647</v>
      </c>
      <c r="AL155" s="369"/>
      <c r="AM155" s="350">
        <v>10164699.450813254</v>
      </c>
      <c r="AN155" s="350">
        <v>2768371.001530489</v>
      </c>
      <c r="AO155" s="350">
        <v>2797506.7969784504</v>
      </c>
      <c r="AP155" s="350">
        <v>2824394.2094476251</v>
      </c>
      <c r="AQ155" s="350">
        <v>2848957.4845029544</v>
      </c>
      <c r="AR155" s="348">
        <v>21403928.943272777</v>
      </c>
      <c r="AS155" s="369"/>
      <c r="AT155" s="350">
        <f t="shared" si="99"/>
        <v>2688974.2089984361</v>
      </c>
      <c r="AU155" s="350">
        <f t="shared" si="82"/>
        <v>2722193.6500775106</v>
      </c>
      <c r="AV155" s="350">
        <f t="shared" si="83"/>
        <v>2753293.6033048178</v>
      </c>
      <c r="AW155" s="350">
        <f t="shared" si="84"/>
        <v>2782198.025929857</v>
      </c>
      <c r="AX155" s="350">
        <f t="shared" si="85"/>
        <v>2808831.0604914878</v>
      </c>
      <c r="AY155" s="350">
        <f t="shared" si="86"/>
        <v>13755490.548802111</v>
      </c>
      <c r="AZ155" s="365"/>
      <c r="BA155" s="377">
        <f t="shared" si="87"/>
        <v>0</v>
      </c>
      <c r="BB155" s="377">
        <f t="shared" si="88"/>
        <v>0</v>
      </c>
      <c r="BC155" s="377">
        <f t="shared" si="89"/>
        <v>0</v>
      </c>
      <c r="BD155" s="377">
        <f t="shared" si="90"/>
        <v>0</v>
      </c>
      <c r="BE155" s="377">
        <f t="shared" si="91"/>
        <v>0</v>
      </c>
      <c r="BF155" s="377">
        <f t="shared" si="92"/>
        <v>0</v>
      </c>
      <c r="BG155" s="328"/>
    </row>
    <row r="156" spans="2:59">
      <c r="B156" s="332">
        <v>141</v>
      </c>
      <c r="C156" s="350">
        <v>7445149.8469026322</v>
      </c>
      <c r="D156" s="350">
        <v>45988.48807036475</v>
      </c>
      <c r="E156" s="350">
        <v>44032.363611908899</v>
      </c>
      <c r="F156" s="350">
        <v>42023.602940887067</v>
      </c>
      <c r="G156" s="350">
        <v>39962.308662002506</v>
      </c>
      <c r="H156" s="348">
        <v>7617156.6101877959</v>
      </c>
      <c r="I156" s="369"/>
      <c r="J156" s="350">
        <v>9843311.3810388111</v>
      </c>
      <c r="K156" s="350">
        <v>2473776.7793226028</v>
      </c>
      <c r="L156" s="350">
        <v>2499557.1468295865</v>
      </c>
      <c r="M156" s="350">
        <v>2523326.7942495826</v>
      </c>
      <c r="N156" s="350">
        <v>2545018.1707137967</v>
      </c>
      <c r="O156" s="348">
        <v>19884990.27215438</v>
      </c>
      <c r="P156" s="369"/>
      <c r="Q156" s="350">
        <f t="shared" si="93"/>
        <v>2398161.5341361789</v>
      </c>
      <c r="R156" s="350">
        <f t="shared" si="94"/>
        <v>2427788.2912522382</v>
      </c>
      <c r="S156" s="350">
        <f t="shared" si="95"/>
        <v>2455524.7832176774</v>
      </c>
      <c r="T156" s="350">
        <f t="shared" si="96"/>
        <v>2481303.1913086954</v>
      </c>
      <c r="U156" s="350">
        <f t="shared" si="97"/>
        <v>2505055.8620517943</v>
      </c>
      <c r="V156" s="350">
        <f t="shared" si="98"/>
        <v>12267833.661966585</v>
      </c>
      <c r="W156" s="365"/>
      <c r="X156" s="377">
        <f t="shared" si="76"/>
        <v>0</v>
      </c>
      <c r="Y156" s="377">
        <f t="shared" si="77"/>
        <v>0</v>
      </c>
      <c r="Z156" s="377">
        <f t="shared" si="78"/>
        <v>0</v>
      </c>
      <c r="AA156" s="377">
        <f t="shared" si="79"/>
        <v>0</v>
      </c>
      <c r="AB156" s="377">
        <f t="shared" si="80"/>
        <v>0</v>
      </c>
      <c r="AC156" s="377">
        <f t="shared" si="81"/>
        <v>0</v>
      </c>
      <c r="AD156" s="376"/>
      <c r="AE156" s="332">
        <v>141</v>
      </c>
      <c r="AF156" s="350">
        <v>7955207.6355215553</v>
      </c>
      <c r="AG156" s="350">
        <v>49139.10115531757</v>
      </c>
      <c r="AH156" s="350">
        <v>47048.965087150958</v>
      </c>
      <c r="AI156" s="350">
        <v>44902.586766141627</v>
      </c>
      <c r="AJ156" s="350">
        <v>42700.075826315646</v>
      </c>
      <c r="AK156" s="348">
        <v>8138998.3643564805</v>
      </c>
      <c r="AL156" s="369"/>
      <c r="AM156" s="350">
        <v>11135639.413426943</v>
      </c>
      <c r="AN156" s="350">
        <v>3268861.7602073476</v>
      </c>
      <c r="AO156" s="350">
        <v>3303555.6435635788</v>
      </c>
      <c r="AP156" s="350">
        <v>3335596.4820373785</v>
      </c>
      <c r="AQ156" s="350">
        <v>3364894.6635097014</v>
      </c>
      <c r="AR156" s="348">
        <v>24408547.962744948</v>
      </c>
      <c r="AS156" s="369"/>
      <c r="AT156" s="350">
        <f t="shared" si="99"/>
        <v>3180431.7779053878</v>
      </c>
      <c r="AU156" s="350">
        <f t="shared" si="82"/>
        <v>3219722.6590520302</v>
      </c>
      <c r="AV156" s="350">
        <f t="shared" si="83"/>
        <v>3256506.6784764277</v>
      </c>
      <c r="AW156" s="350">
        <f t="shared" si="84"/>
        <v>3290693.895271237</v>
      </c>
      <c r="AX156" s="350">
        <f t="shared" si="85"/>
        <v>3322194.5876833857</v>
      </c>
      <c r="AY156" s="350">
        <f t="shared" si="86"/>
        <v>16269549.598388467</v>
      </c>
      <c r="AZ156" s="365"/>
      <c r="BA156" s="377">
        <f t="shared" si="87"/>
        <v>0</v>
      </c>
      <c r="BB156" s="377">
        <f t="shared" si="88"/>
        <v>0</v>
      </c>
      <c r="BC156" s="377">
        <f t="shared" si="89"/>
        <v>0</v>
      </c>
      <c r="BD156" s="377">
        <f t="shared" si="90"/>
        <v>0</v>
      </c>
      <c r="BE156" s="377">
        <f t="shared" si="91"/>
        <v>0</v>
      </c>
      <c r="BF156" s="377">
        <f t="shared" si="92"/>
        <v>0</v>
      </c>
      <c r="BG156" s="328"/>
    </row>
    <row r="157" spans="2:59">
      <c r="B157" s="332">
        <v>142</v>
      </c>
      <c r="C157" s="350">
        <v>6632688.4897897178</v>
      </c>
      <c r="D157" s="350">
        <v>40969.936369250529</v>
      </c>
      <c r="E157" s="350">
        <v>39227.276456826206</v>
      </c>
      <c r="F157" s="350">
        <v>37437.724324846204</v>
      </c>
      <c r="G157" s="350">
        <v>35601.371381147874</v>
      </c>
      <c r="H157" s="348">
        <v>6785924.7983217891</v>
      </c>
      <c r="I157" s="369"/>
      <c r="J157" s="350">
        <v>8358899.1462393692</v>
      </c>
      <c r="K157" s="350">
        <v>1788506.1053508201</v>
      </c>
      <c r="L157" s="350">
        <v>1806728.3340923695</v>
      </c>
      <c r="M157" s="350">
        <v>1823494.2304235615</v>
      </c>
      <c r="N157" s="350">
        <v>1838755.1883875029</v>
      </c>
      <c r="O157" s="348">
        <v>15616383.004493624</v>
      </c>
      <c r="P157" s="369"/>
      <c r="Q157" s="350">
        <f t="shared" si="93"/>
        <v>1726210.6564496513</v>
      </c>
      <c r="R157" s="350">
        <f t="shared" si="94"/>
        <v>1747536.1689815696</v>
      </c>
      <c r="S157" s="350">
        <f t="shared" si="95"/>
        <v>1767501.0576355434</v>
      </c>
      <c r="T157" s="350">
        <f t="shared" si="96"/>
        <v>1786056.5060987154</v>
      </c>
      <c r="U157" s="350">
        <f t="shared" si="97"/>
        <v>1803153.8170063552</v>
      </c>
      <c r="V157" s="350">
        <f t="shared" si="98"/>
        <v>8830458.2061718348</v>
      </c>
      <c r="W157" s="365"/>
      <c r="X157" s="377">
        <f t="shared" si="76"/>
        <v>0</v>
      </c>
      <c r="Y157" s="377">
        <f t="shared" si="77"/>
        <v>0</v>
      </c>
      <c r="Z157" s="377">
        <f t="shared" si="78"/>
        <v>0</v>
      </c>
      <c r="AA157" s="377">
        <f t="shared" si="79"/>
        <v>0</v>
      </c>
      <c r="AB157" s="377">
        <f t="shared" si="80"/>
        <v>0</v>
      </c>
      <c r="AC157" s="377">
        <f t="shared" si="81"/>
        <v>0</v>
      </c>
      <c r="AD157" s="376"/>
      <c r="AE157" s="332">
        <v>142</v>
      </c>
      <c r="AF157" s="350">
        <v>6624014.2575788358</v>
      </c>
      <c r="AG157" s="350">
        <v>40916.355872852168</v>
      </c>
      <c r="AH157" s="350">
        <v>39175.975011640781</v>
      </c>
      <c r="AI157" s="350">
        <v>37388.763256534265</v>
      </c>
      <c r="AJ157" s="350">
        <v>35554.811895826766</v>
      </c>
      <c r="AK157" s="348">
        <v>6777050.1636156896</v>
      </c>
      <c r="AL157" s="369"/>
      <c r="AM157" s="350">
        <v>8642231.0063383523</v>
      </c>
      <c r="AN157" s="350">
        <v>2084066.0445415219</v>
      </c>
      <c r="AO157" s="350">
        <v>2105667.8163417028</v>
      </c>
      <c r="AP157" s="350">
        <v>2125574.8959114682</v>
      </c>
      <c r="AQ157" s="350">
        <v>2143730.4395197695</v>
      </c>
      <c r="AR157" s="348">
        <v>17101270.202652812</v>
      </c>
      <c r="AS157" s="369"/>
      <c r="AT157" s="350">
        <f t="shared" si="99"/>
        <v>2018216.7487595165</v>
      </c>
      <c r="AU157" s="350">
        <f t="shared" si="82"/>
        <v>2043149.6886686697</v>
      </c>
      <c r="AV157" s="350">
        <f t="shared" si="83"/>
        <v>2066491.8413300621</v>
      </c>
      <c r="AW157" s="350">
        <f t="shared" si="84"/>
        <v>2088186.132654934</v>
      </c>
      <c r="AX157" s="350">
        <f t="shared" si="85"/>
        <v>2108175.6276239427</v>
      </c>
      <c r="AY157" s="350">
        <f t="shared" si="86"/>
        <v>10324220.039037123</v>
      </c>
      <c r="AZ157" s="365"/>
      <c r="BA157" s="377">
        <f t="shared" si="87"/>
        <v>0</v>
      </c>
      <c r="BB157" s="377">
        <f t="shared" si="88"/>
        <v>0</v>
      </c>
      <c r="BC157" s="377">
        <f t="shared" si="89"/>
        <v>0</v>
      </c>
      <c r="BD157" s="377">
        <f t="shared" si="90"/>
        <v>0</v>
      </c>
      <c r="BE157" s="377">
        <f t="shared" si="91"/>
        <v>0</v>
      </c>
      <c r="BF157" s="377">
        <f t="shared" si="92"/>
        <v>0</v>
      </c>
      <c r="BG157" s="328"/>
    </row>
    <row r="158" spans="2:59">
      <c r="B158" s="332">
        <v>143</v>
      </c>
      <c r="C158" s="350">
        <v>5787673.9475607527</v>
      </c>
      <c r="D158" s="350">
        <v>35750.304529234207</v>
      </c>
      <c r="E158" s="350">
        <v>34229.662124557348</v>
      </c>
      <c r="F158" s="350">
        <v>32668.10163999418</v>
      </c>
      <c r="G158" s="350">
        <v>31065.702837891262</v>
      </c>
      <c r="H158" s="348">
        <v>5921387.7186924294</v>
      </c>
      <c r="I158" s="369"/>
      <c r="J158" s="350">
        <v>8362379.673571608</v>
      </c>
      <c r="K158" s="350">
        <v>2642263.804997338</v>
      </c>
      <c r="L158" s="350">
        <v>2670521.5172474058</v>
      </c>
      <c r="M158" s="350">
        <v>2696636.0803160835</v>
      </c>
      <c r="N158" s="350">
        <v>2720534.9400821766</v>
      </c>
      <c r="O158" s="348">
        <v>19092336.016214609</v>
      </c>
      <c r="P158" s="369"/>
      <c r="Q158" s="350">
        <f t="shared" si="93"/>
        <v>2574705.7260108553</v>
      </c>
      <c r="R158" s="350">
        <f t="shared" si="94"/>
        <v>2606513.5004681037</v>
      </c>
      <c r="S158" s="350">
        <f t="shared" si="95"/>
        <v>2636291.8551228484</v>
      </c>
      <c r="T158" s="350">
        <f t="shared" si="96"/>
        <v>2663967.9786760896</v>
      </c>
      <c r="U158" s="350">
        <f t="shared" si="97"/>
        <v>2689469.2372442852</v>
      </c>
      <c r="V158" s="350">
        <f t="shared" si="98"/>
        <v>13170948.29752218</v>
      </c>
      <c r="W158" s="365"/>
      <c r="X158" s="377">
        <f t="shared" si="76"/>
        <v>0</v>
      </c>
      <c r="Y158" s="377">
        <f t="shared" si="77"/>
        <v>0</v>
      </c>
      <c r="Z158" s="377">
        <f t="shared" si="78"/>
        <v>0</v>
      </c>
      <c r="AA158" s="377">
        <f t="shared" si="79"/>
        <v>0</v>
      </c>
      <c r="AB158" s="377">
        <f t="shared" si="80"/>
        <v>0</v>
      </c>
      <c r="AC158" s="377">
        <f t="shared" si="81"/>
        <v>0</v>
      </c>
      <c r="AD158" s="376"/>
      <c r="AE158" s="332">
        <v>143</v>
      </c>
      <c r="AF158" s="350">
        <v>4252693.714468821</v>
      </c>
      <c r="AG158" s="350">
        <v>26268.773386223282</v>
      </c>
      <c r="AH158" s="350">
        <v>25151.428757807702</v>
      </c>
      <c r="AI158" s="350">
        <v>24004.018154233992</v>
      </c>
      <c r="AJ158" s="350">
        <v>22826.600183642538</v>
      </c>
      <c r="AK158" s="348">
        <v>4350944.5349507276</v>
      </c>
      <c r="AL158" s="369"/>
      <c r="AM158" s="350">
        <v>5511386.6255669631</v>
      </c>
      <c r="AN158" s="350">
        <v>1300511.5082264256</v>
      </c>
      <c r="AO158" s="350">
        <v>1313951.8676219832</v>
      </c>
      <c r="AP158" s="350">
        <v>1326334.4461628834</v>
      </c>
      <c r="AQ158" s="350">
        <v>1337623.7940287113</v>
      </c>
      <c r="AR158" s="348">
        <v>10789808.241606966</v>
      </c>
      <c r="AS158" s="369"/>
      <c r="AT158" s="350">
        <f t="shared" si="99"/>
        <v>1258692.9110981422</v>
      </c>
      <c r="AU158" s="350">
        <f t="shared" si="82"/>
        <v>1274242.7348402024</v>
      </c>
      <c r="AV158" s="350">
        <f t="shared" si="83"/>
        <v>1288800.4388641755</v>
      </c>
      <c r="AW158" s="350">
        <f t="shared" si="84"/>
        <v>1302330.4280086495</v>
      </c>
      <c r="AX158" s="350">
        <f t="shared" si="85"/>
        <v>1314797.1938450688</v>
      </c>
      <c r="AY158" s="350">
        <f t="shared" si="86"/>
        <v>6438863.7066562381</v>
      </c>
      <c r="AZ158" s="365"/>
      <c r="BA158" s="377">
        <f t="shared" si="87"/>
        <v>0</v>
      </c>
      <c r="BB158" s="377">
        <f t="shared" si="88"/>
        <v>0</v>
      </c>
      <c r="BC158" s="377">
        <f t="shared" si="89"/>
        <v>0</v>
      </c>
      <c r="BD158" s="377">
        <f t="shared" si="90"/>
        <v>0</v>
      </c>
      <c r="BE158" s="377">
        <f t="shared" si="91"/>
        <v>0</v>
      </c>
      <c r="BF158" s="377">
        <f t="shared" si="92"/>
        <v>0</v>
      </c>
      <c r="BG158" s="328"/>
    </row>
    <row r="159" spans="2:59">
      <c r="B159" s="332">
        <v>144</v>
      </c>
      <c r="C159" s="350">
        <v>5082196.5604698071</v>
      </c>
      <c r="D159" s="350">
        <v>31392.589900611394</v>
      </c>
      <c r="E159" s="350">
        <v>30057.303277904961</v>
      </c>
      <c r="F159" s="350">
        <v>28686.086205984753</v>
      </c>
      <c r="G159" s="350">
        <v>27279.008724713396</v>
      </c>
      <c r="H159" s="348">
        <v>5199611.5485790214</v>
      </c>
      <c r="I159" s="369"/>
      <c r="J159" s="350">
        <v>6287500.0841531046</v>
      </c>
      <c r="K159" s="350">
        <v>1251586.3677386022</v>
      </c>
      <c r="L159" s="350">
        <v>1264191.297829696</v>
      </c>
      <c r="M159" s="350">
        <v>1275776.1746925572</v>
      </c>
      <c r="N159" s="350">
        <v>1286307.0660828683</v>
      </c>
      <c r="O159" s="348">
        <v>11365360.990496829</v>
      </c>
      <c r="P159" s="369"/>
      <c r="Q159" s="350">
        <f t="shared" si="93"/>
        <v>1205303.5236832974</v>
      </c>
      <c r="R159" s="350">
        <f t="shared" si="94"/>
        <v>1220193.7778379908</v>
      </c>
      <c r="S159" s="350">
        <f t="shared" si="95"/>
        <v>1234133.9945517911</v>
      </c>
      <c r="T159" s="350">
        <f t="shared" si="96"/>
        <v>1247090.0884865725</v>
      </c>
      <c r="U159" s="350">
        <f t="shared" si="97"/>
        <v>1259028.0573581548</v>
      </c>
      <c r="V159" s="350">
        <f t="shared" si="98"/>
        <v>6165749.4419178078</v>
      </c>
      <c r="W159" s="365"/>
      <c r="X159" s="377">
        <f t="shared" si="76"/>
        <v>0</v>
      </c>
      <c r="Y159" s="377">
        <f t="shared" si="77"/>
        <v>0</v>
      </c>
      <c r="Z159" s="377">
        <f t="shared" si="78"/>
        <v>0</v>
      </c>
      <c r="AA159" s="377">
        <f t="shared" si="79"/>
        <v>0</v>
      </c>
      <c r="AB159" s="377">
        <f t="shared" si="80"/>
        <v>0</v>
      </c>
      <c r="AC159" s="377">
        <f t="shared" si="81"/>
        <v>0</v>
      </c>
      <c r="AD159" s="376"/>
      <c r="AE159" s="332">
        <v>144</v>
      </c>
      <c r="AF159" s="350">
        <v>4852436.3394427188</v>
      </c>
      <c r="AG159" s="350">
        <v>29973.367265603094</v>
      </c>
      <c r="AH159" s="350">
        <v>28698.447404772491</v>
      </c>
      <c r="AI159" s="350">
        <v>27389.221468726177</v>
      </c>
      <c r="AJ159" s="350">
        <v>26045.756330908065</v>
      </c>
      <c r="AK159" s="348">
        <v>4964543.1319127288</v>
      </c>
      <c r="AL159" s="369"/>
      <c r="AM159" s="350">
        <v>7411629.0379793858</v>
      </c>
      <c r="AN159" s="350">
        <v>2620782.1931621172</v>
      </c>
      <c r="AO159" s="350">
        <v>2649106.2084483076</v>
      </c>
      <c r="AP159" s="350">
        <v>2675306.3528475617</v>
      </c>
      <c r="AQ159" s="350">
        <v>2699310.4969809344</v>
      </c>
      <c r="AR159" s="348">
        <v>18056134.289418306</v>
      </c>
      <c r="AS159" s="369"/>
      <c r="AT159" s="350">
        <f t="shared" si="99"/>
        <v>2559192.698536667</v>
      </c>
      <c r="AU159" s="350">
        <f t="shared" si="82"/>
        <v>2590808.8258965141</v>
      </c>
      <c r="AV159" s="350">
        <f t="shared" si="83"/>
        <v>2620407.7610435351</v>
      </c>
      <c r="AW159" s="350">
        <f t="shared" si="84"/>
        <v>2647917.1313788355</v>
      </c>
      <c r="AX159" s="350">
        <f t="shared" si="85"/>
        <v>2673264.7406500261</v>
      </c>
      <c r="AY159" s="350">
        <f t="shared" si="86"/>
        <v>13091591.157505577</v>
      </c>
      <c r="AZ159" s="365"/>
      <c r="BA159" s="377">
        <f t="shared" si="87"/>
        <v>0</v>
      </c>
      <c r="BB159" s="377">
        <f t="shared" si="88"/>
        <v>0</v>
      </c>
      <c r="BC159" s="377">
        <f t="shared" si="89"/>
        <v>0</v>
      </c>
      <c r="BD159" s="377">
        <f t="shared" si="90"/>
        <v>0</v>
      </c>
      <c r="BE159" s="377">
        <f t="shared" si="91"/>
        <v>0</v>
      </c>
      <c r="BF159" s="377">
        <f t="shared" si="92"/>
        <v>0</v>
      </c>
      <c r="BG159" s="328"/>
    </row>
    <row r="160" spans="2:59">
      <c r="B160" s="332">
        <v>145</v>
      </c>
      <c r="C160" s="350">
        <v>5618536.8265421074</v>
      </c>
      <c r="D160" s="350">
        <v>34705.549133820008</v>
      </c>
      <c r="E160" s="350">
        <v>33229.345493445566</v>
      </c>
      <c r="F160" s="350">
        <v>31713.419549988772</v>
      </c>
      <c r="G160" s="350">
        <v>30157.848734839055</v>
      </c>
      <c r="H160" s="348">
        <v>5748342.9894542005</v>
      </c>
      <c r="I160" s="369"/>
      <c r="J160" s="350">
        <v>7368212.4999940041</v>
      </c>
      <c r="K160" s="350">
        <v>1805996.6206610212</v>
      </c>
      <c r="L160" s="350">
        <v>1824756.6957566838</v>
      </c>
      <c r="M160" s="350">
        <v>1842048.4493190276</v>
      </c>
      <c r="N160" s="350">
        <v>1857822.5994535047</v>
      </c>
      <c r="O160" s="348">
        <v>14698836.865184242</v>
      </c>
      <c r="P160" s="369"/>
      <c r="Q160" s="350">
        <f t="shared" si="93"/>
        <v>1749675.6734518968</v>
      </c>
      <c r="R160" s="350">
        <f t="shared" si="94"/>
        <v>1771291.0715272012</v>
      </c>
      <c r="S160" s="350">
        <f t="shared" si="95"/>
        <v>1791527.3502632382</v>
      </c>
      <c r="T160" s="350">
        <f t="shared" si="96"/>
        <v>1810335.0297690388</v>
      </c>
      <c r="U160" s="350">
        <f t="shared" si="97"/>
        <v>1827664.7507186655</v>
      </c>
      <c r="V160" s="350">
        <f t="shared" si="98"/>
        <v>8950493.8757300414</v>
      </c>
      <c r="W160" s="365"/>
      <c r="X160" s="377">
        <f t="shared" si="76"/>
        <v>0</v>
      </c>
      <c r="Y160" s="377">
        <f t="shared" si="77"/>
        <v>0</v>
      </c>
      <c r="Z160" s="377">
        <f t="shared" si="78"/>
        <v>0</v>
      </c>
      <c r="AA160" s="377">
        <f t="shared" si="79"/>
        <v>0</v>
      </c>
      <c r="AB160" s="377">
        <f t="shared" si="80"/>
        <v>0</v>
      </c>
      <c r="AC160" s="377">
        <f t="shared" si="81"/>
        <v>0</v>
      </c>
      <c r="AD160" s="376"/>
      <c r="AE160" s="332">
        <v>145</v>
      </c>
      <c r="AF160" s="350">
        <v>8584340.1943905801</v>
      </c>
      <c r="AG160" s="350">
        <v>53025.235856859748</v>
      </c>
      <c r="AH160" s="350">
        <v>50769.802701147666</v>
      </c>
      <c r="AI160" s="350">
        <v>48453.679409643082</v>
      </c>
      <c r="AJ160" s="350">
        <v>46076.98428669951</v>
      </c>
      <c r="AK160" s="348">
        <v>8782665.8966449294</v>
      </c>
      <c r="AL160" s="369"/>
      <c r="AM160" s="350">
        <v>10745866.623842321</v>
      </c>
      <c r="AN160" s="350">
        <v>2241255.0452159829</v>
      </c>
      <c r="AO160" s="350">
        <v>2263999.245984083</v>
      </c>
      <c r="AP160" s="350">
        <v>2284917.8838230469</v>
      </c>
      <c r="AQ160" s="350">
        <v>2303950.0991719151</v>
      </c>
      <c r="AR160" s="348">
        <v>19839988.898037348</v>
      </c>
      <c r="AS160" s="369"/>
      <c r="AT160" s="350">
        <f t="shared" si="99"/>
        <v>2161526.4294517413</v>
      </c>
      <c r="AU160" s="350">
        <f t="shared" si="82"/>
        <v>2188229.809359123</v>
      </c>
      <c r="AV160" s="350">
        <f t="shared" si="83"/>
        <v>2213229.4432829353</v>
      </c>
      <c r="AW160" s="350">
        <f t="shared" si="84"/>
        <v>2236464.2044134038</v>
      </c>
      <c r="AX160" s="350">
        <f t="shared" si="85"/>
        <v>2257873.1148852156</v>
      </c>
      <c r="AY160" s="350">
        <f t="shared" si="86"/>
        <v>11057323.001392419</v>
      </c>
      <c r="AZ160" s="365"/>
      <c r="BA160" s="377">
        <f t="shared" si="87"/>
        <v>0</v>
      </c>
      <c r="BB160" s="377">
        <f t="shared" si="88"/>
        <v>0</v>
      </c>
      <c r="BC160" s="377">
        <f t="shared" si="89"/>
        <v>0</v>
      </c>
      <c r="BD160" s="377">
        <f t="shared" si="90"/>
        <v>0</v>
      </c>
      <c r="BE160" s="377">
        <f t="shared" si="91"/>
        <v>0</v>
      </c>
      <c r="BF160" s="377">
        <f t="shared" si="92"/>
        <v>0</v>
      </c>
      <c r="BG160" s="328"/>
    </row>
    <row r="161" spans="2:59">
      <c r="B161" s="332">
        <v>146</v>
      </c>
      <c r="C161" s="350">
        <v>6878334.5190557986</v>
      </c>
      <c r="D161" s="350">
        <v>42487.285209600661</v>
      </c>
      <c r="E161" s="350">
        <v>40680.084728370763</v>
      </c>
      <c r="F161" s="350">
        <v>38824.255343046498</v>
      </c>
      <c r="G161" s="350">
        <v>36919.89184681941</v>
      </c>
      <c r="H161" s="348">
        <v>7037246.0361836357</v>
      </c>
      <c r="I161" s="369"/>
      <c r="J161" s="350">
        <v>8807767.0140585043</v>
      </c>
      <c r="K161" s="350">
        <v>1995755.8842810306</v>
      </c>
      <c r="L161" s="350">
        <v>2016263.9816368069</v>
      </c>
      <c r="M161" s="350">
        <v>2035148.0805391595</v>
      </c>
      <c r="N161" s="350">
        <v>2052353.845415222</v>
      </c>
      <c r="O161" s="348">
        <v>16907288.805930723</v>
      </c>
      <c r="P161" s="369"/>
      <c r="Q161" s="350">
        <f t="shared" si="93"/>
        <v>1929432.4950027056</v>
      </c>
      <c r="R161" s="350">
        <f t="shared" si="94"/>
        <v>1953268.59907143</v>
      </c>
      <c r="S161" s="350">
        <f t="shared" si="95"/>
        <v>1975583.8969084362</v>
      </c>
      <c r="T161" s="350">
        <f t="shared" si="96"/>
        <v>1996323.825196113</v>
      </c>
      <c r="U161" s="350">
        <f t="shared" si="97"/>
        <v>2015433.9535684027</v>
      </c>
      <c r="V161" s="350">
        <f t="shared" si="98"/>
        <v>9870042.7697470859</v>
      </c>
      <c r="W161" s="365"/>
      <c r="X161" s="377">
        <f t="shared" si="76"/>
        <v>0</v>
      </c>
      <c r="Y161" s="377">
        <f t="shared" si="77"/>
        <v>0</v>
      </c>
      <c r="Z161" s="377">
        <f t="shared" si="78"/>
        <v>0</v>
      </c>
      <c r="AA161" s="377">
        <f t="shared" si="79"/>
        <v>0</v>
      </c>
      <c r="AB161" s="377">
        <f t="shared" si="80"/>
        <v>0</v>
      </c>
      <c r="AC161" s="377">
        <f t="shared" si="81"/>
        <v>0</v>
      </c>
      <c r="AD161" s="376"/>
      <c r="AE161" s="332">
        <v>146</v>
      </c>
      <c r="AF161" s="350">
        <v>5021127.2026233841</v>
      </c>
      <c r="AG161" s="350">
        <v>31015.366138492325</v>
      </c>
      <c r="AH161" s="350">
        <v>29696.124762289313</v>
      </c>
      <c r="AI161" s="350">
        <v>28341.384689055529</v>
      </c>
      <c r="AJ161" s="350">
        <v>26951.215117031134</v>
      </c>
      <c r="AK161" s="348">
        <v>5137131.2933302522</v>
      </c>
      <c r="AL161" s="369"/>
      <c r="AM161" s="350">
        <v>6653863.3754694052</v>
      </c>
      <c r="AN161" s="350">
        <v>1683922.2728316549</v>
      </c>
      <c r="AO161" s="350">
        <v>1701486.8193468037</v>
      </c>
      <c r="AP161" s="350">
        <v>1717682.7483046083</v>
      </c>
      <c r="AQ161" s="350">
        <v>1732464.0685058623</v>
      </c>
      <c r="AR161" s="348">
        <v>13489419.284458334</v>
      </c>
      <c r="AS161" s="369"/>
      <c r="AT161" s="350">
        <f t="shared" si="99"/>
        <v>1632736.1728460211</v>
      </c>
      <c r="AU161" s="350">
        <f t="shared" si="82"/>
        <v>1652906.9066931626</v>
      </c>
      <c r="AV161" s="350">
        <f t="shared" si="83"/>
        <v>1671790.6945845145</v>
      </c>
      <c r="AW161" s="350">
        <f t="shared" si="84"/>
        <v>1689341.3636155527</v>
      </c>
      <c r="AX161" s="350">
        <f t="shared" si="85"/>
        <v>1705512.853388831</v>
      </c>
      <c r="AY161" s="350">
        <f t="shared" si="86"/>
        <v>8352287.9911280815</v>
      </c>
      <c r="AZ161" s="365"/>
      <c r="BA161" s="377">
        <f t="shared" si="87"/>
        <v>0</v>
      </c>
      <c r="BB161" s="377">
        <f t="shared" si="88"/>
        <v>0</v>
      </c>
      <c r="BC161" s="377">
        <f t="shared" si="89"/>
        <v>0</v>
      </c>
      <c r="BD161" s="377">
        <f t="shared" si="90"/>
        <v>0</v>
      </c>
      <c r="BE161" s="377">
        <f t="shared" si="91"/>
        <v>0</v>
      </c>
      <c r="BF161" s="377">
        <f t="shared" si="92"/>
        <v>0</v>
      </c>
      <c r="BG161" s="328"/>
    </row>
    <row r="162" spans="2:59">
      <c r="B162" s="332">
        <v>147</v>
      </c>
      <c r="C162" s="350">
        <v>4733793.1118688295</v>
      </c>
      <c r="D162" s="350">
        <v>29240.511276387584</v>
      </c>
      <c r="E162" s="350">
        <v>27996.7635106864</v>
      </c>
      <c r="F162" s="350">
        <v>26719.54846150491</v>
      </c>
      <c r="G162" s="350">
        <v>25408.931367211884</v>
      </c>
      <c r="H162" s="348">
        <v>4843158.8664846206</v>
      </c>
      <c r="I162" s="369"/>
      <c r="J162" s="350">
        <v>8113492.3307149196</v>
      </c>
      <c r="K162" s="350">
        <v>3450692.3503929689</v>
      </c>
      <c r="L162" s="350">
        <v>3488537.2957343776</v>
      </c>
      <c r="M162" s="350">
        <v>3523589.2705450859</v>
      </c>
      <c r="N162" s="350">
        <v>3555752.9968648017</v>
      </c>
      <c r="O162" s="348">
        <v>22132064.244252153</v>
      </c>
      <c r="P162" s="369"/>
      <c r="Q162" s="350">
        <f t="shared" si="93"/>
        <v>3379699.2188460901</v>
      </c>
      <c r="R162" s="350">
        <f t="shared" si="94"/>
        <v>3421451.8391165812</v>
      </c>
      <c r="S162" s="350">
        <f t="shared" si="95"/>
        <v>3460540.5322236912</v>
      </c>
      <c r="T162" s="350">
        <f t="shared" si="96"/>
        <v>3496869.7220835811</v>
      </c>
      <c r="U162" s="350">
        <f t="shared" si="97"/>
        <v>3530344.0654975898</v>
      </c>
      <c r="V162" s="350">
        <f t="shared" si="98"/>
        <v>17288905.377767533</v>
      </c>
      <c r="W162" s="365"/>
      <c r="X162" s="377">
        <f t="shared" si="76"/>
        <v>0</v>
      </c>
      <c r="Y162" s="377">
        <f t="shared" si="77"/>
        <v>0</v>
      </c>
      <c r="Z162" s="377">
        <f t="shared" si="78"/>
        <v>0</v>
      </c>
      <c r="AA162" s="377">
        <f t="shared" si="79"/>
        <v>0</v>
      </c>
      <c r="AB162" s="377">
        <f t="shared" si="80"/>
        <v>0</v>
      </c>
      <c r="AC162" s="377">
        <f t="shared" si="81"/>
        <v>0</v>
      </c>
      <c r="AD162" s="376"/>
      <c r="AE162" s="332">
        <v>147</v>
      </c>
      <c r="AF162" s="350">
        <v>8286142.0121677294</v>
      </c>
      <c r="AG162" s="350">
        <v>51183.273797296228</v>
      </c>
      <c r="AH162" s="350">
        <v>49006.188662740962</v>
      </c>
      <c r="AI162" s="350">
        <v>46770.521613612225</v>
      </c>
      <c r="AJ162" s="350">
        <v>44476.38684467585</v>
      </c>
      <c r="AK162" s="348">
        <v>8477578.3830860555</v>
      </c>
      <c r="AL162" s="369"/>
      <c r="AM162" s="350">
        <v>10341381.704523783</v>
      </c>
      <c r="AN162" s="350">
        <v>2131813.2854933897</v>
      </c>
      <c r="AO162" s="350">
        <v>2153406.5504385345</v>
      </c>
      <c r="AP162" s="350">
        <v>2173263.1431309907</v>
      </c>
      <c r="AQ162" s="350">
        <v>2191325.1983083058</v>
      </c>
      <c r="AR162" s="348">
        <v>18991189.881895006</v>
      </c>
      <c r="AS162" s="369"/>
      <c r="AT162" s="350">
        <f t="shared" si="99"/>
        <v>2055239.6923560537</v>
      </c>
      <c r="AU162" s="350">
        <f t="shared" si="82"/>
        <v>2080630.0116960935</v>
      </c>
      <c r="AV162" s="350">
        <f t="shared" si="83"/>
        <v>2104400.3617757936</v>
      </c>
      <c r="AW162" s="350">
        <f t="shared" si="84"/>
        <v>2126492.6215173784</v>
      </c>
      <c r="AX162" s="350">
        <f t="shared" si="85"/>
        <v>2146848.8114636298</v>
      </c>
      <c r="AY162" s="350">
        <f t="shared" si="86"/>
        <v>10513611.49880895</v>
      </c>
      <c r="AZ162" s="365"/>
      <c r="BA162" s="377">
        <f t="shared" si="87"/>
        <v>0</v>
      </c>
      <c r="BB162" s="377">
        <f t="shared" si="88"/>
        <v>0</v>
      </c>
      <c r="BC162" s="377">
        <f t="shared" si="89"/>
        <v>0</v>
      </c>
      <c r="BD162" s="377">
        <f t="shared" si="90"/>
        <v>0</v>
      </c>
      <c r="BE162" s="377">
        <f t="shared" si="91"/>
        <v>0</v>
      </c>
      <c r="BF162" s="377">
        <f t="shared" si="92"/>
        <v>0</v>
      </c>
      <c r="BG162" s="328"/>
    </row>
    <row r="163" spans="2:59">
      <c r="B163" s="332">
        <v>148</v>
      </c>
      <c r="C163" s="350">
        <v>4259672.1809877921</v>
      </c>
      <c r="D163" s="350">
        <v>26311.879184072612</v>
      </c>
      <c r="E163" s="350">
        <v>25192.701046684382</v>
      </c>
      <c r="F163" s="350">
        <v>24043.407597315498</v>
      </c>
      <c r="G163" s="350">
        <v>22864.057540278143</v>
      </c>
      <c r="H163" s="348">
        <v>4358084.2263561431</v>
      </c>
      <c r="I163" s="369"/>
      <c r="J163" s="350">
        <v>5960249.3898436865</v>
      </c>
      <c r="K163" s="350">
        <v>1747897.9263549512</v>
      </c>
      <c r="L163" s="350">
        <v>1766447.1673038637</v>
      </c>
      <c r="M163" s="350">
        <v>1783577.782299431</v>
      </c>
      <c r="N163" s="350">
        <v>1799241.8558150744</v>
      </c>
      <c r="O163" s="348">
        <v>13057414.121617008</v>
      </c>
      <c r="P163" s="369"/>
      <c r="Q163" s="350">
        <f t="shared" si="93"/>
        <v>1700577.2088558944</v>
      </c>
      <c r="R163" s="350">
        <f t="shared" si="94"/>
        <v>1721586.0471708786</v>
      </c>
      <c r="S163" s="350">
        <f t="shared" si="95"/>
        <v>1741254.4662571794</v>
      </c>
      <c r="T163" s="350">
        <f t="shared" si="96"/>
        <v>1759534.3747021155</v>
      </c>
      <c r="U163" s="350">
        <f t="shared" si="97"/>
        <v>1776377.7982747962</v>
      </c>
      <c r="V163" s="350">
        <f t="shared" si="98"/>
        <v>8699329.8952608649</v>
      </c>
      <c r="W163" s="365"/>
      <c r="X163" s="377">
        <f t="shared" si="76"/>
        <v>0</v>
      </c>
      <c r="Y163" s="377">
        <f t="shared" si="77"/>
        <v>0</v>
      </c>
      <c r="Z163" s="377">
        <f t="shared" si="78"/>
        <v>0</v>
      </c>
      <c r="AA163" s="377">
        <f t="shared" si="79"/>
        <v>0</v>
      </c>
      <c r="AB163" s="377">
        <f t="shared" si="80"/>
        <v>0</v>
      </c>
      <c r="AC163" s="377">
        <f t="shared" si="81"/>
        <v>0</v>
      </c>
      <c r="AD163" s="376"/>
      <c r="AE163" s="332">
        <v>148</v>
      </c>
      <c r="AF163" s="350">
        <v>6309157.3584890552</v>
      </c>
      <c r="AG163" s="350">
        <v>38971.493372377488</v>
      </c>
      <c r="AH163" s="350">
        <v>37313.837411789886</v>
      </c>
      <c r="AI163" s="350">
        <v>35611.576553427883</v>
      </c>
      <c r="AJ163" s="350">
        <v>33864.797746411401</v>
      </c>
      <c r="AK163" s="348">
        <v>6454919.0635730624</v>
      </c>
      <c r="AL163" s="369"/>
      <c r="AM163" s="350">
        <v>8885918.492913425</v>
      </c>
      <c r="AN163" s="350">
        <v>2647565.7946577091</v>
      </c>
      <c r="AO163" s="350">
        <v>2675710.2656533262</v>
      </c>
      <c r="AP163" s="350">
        <v>2701706.2224215725</v>
      </c>
      <c r="AQ163" s="350">
        <v>2725481.0600438043</v>
      </c>
      <c r="AR163" s="348">
        <v>19636381.835689835</v>
      </c>
      <c r="AS163" s="369"/>
      <c r="AT163" s="350">
        <f t="shared" si="99"/>
        <v>2576761.1344243698</v>
      </c>
      <c r="AU163" s="350">
        <f t="shared" si="82"/>
        <v>2608594.3012853316</v>
      </c>
      <c r="AV163" s="350">
        <f t="shared" si="83"/>
        <v>2638396.4282415365</v>
      </c>
      <c r="AW163" s="350">
        <f t="shared" si="84"/>
        <v>2666094.6458681445</v>
      </c>
      <c r="AX163" s="350">
        <f t="shared" si="85"/>
        <v>2691616.2622973928</v>
      </c>
      <c r="AY163" s="350">
        <f t="shared" si="86"/>
        <v>13181462.772116773</v>
      </c>
      <c r="AZ163" s="365"/>
      <c r="BA163" s="377">
        <f t="shared" si="87"/>
        <v>0</v>
      </c>
      <c r="BB163" s="377">
        <f t="shared" si="88"/>
        <v>0</v>
      </c>
      <c r="BC163" s="377">
        <f t="shared" si="89"/>
        <v>0</v>
      </c>
      <c r="BD163" s="377">
        <f t="shared" si="90"/>
        <v>0</v>
      </c>
      <c r="BE163" s="377">
        <f t="shared" si="91"/>
        <v>0</v>
      </c>
      <c r="BF163" s="377">
        <f t="shared" si="92"/>
        <v>0</v>
      </c>
      <c r="BG163" s="328"/>
    </row>
    <row r="164" spans="2:59">
      <c r="B164" s="332">
        <v>149</v>
      </c>
      <c r="C164" s="350">
        <v>5423753.8026524168</v>
      </c>
      <c r="D164" s="350">
        <v>33502.379694028517</v>
      </c>
      <c r="E164" s="350">
        <v>32077.352973522415</v>
      </c>
      <c r="F164" s="350">
        <v>30613.981039833794</v>
      </c>
      <c r="G164" s="350">
        <v>29112.338639963178</v>
      </c>
      <c r="H164" s="348">
        <v>5549059.8549997658</v>
      </c>
      <c r="I164" s="369"/>
      <c r="J164" s="350">
        <v>7665787.3048626892</v>
      </c>
      <c r="K164" s="350">
        <v>2303233.8418083987</v>
      </c>
      <c r="L164" s="350">
        <v>2327739.5721845771</v>
      </c>
      <c r="M164" s="350">
        <v>2350376.3510334902</v>
      </c>
      <c r="N164" s="350">
        <v>2371081.0040874295</v>
      </c>
      <c r="O164" s="348">
        <v>17018218.073976584</v>
      </c>
      <c r="P164" s="369"/>
      <c r="Q164" s="350">
        <f t="shared" si="93"/>
        <v>2242033.5022102725</v>
      </c>
      <c r="R164" s="350">
        <f t="shared" si="94"/>
        <v>2269731.4621143704</v>
      </c>
      <c r="S164" s="350">
        <f t="shared" si="95"/>
        <v>2295662.2192110545</v>
      </c>
      <c r="T164" s="350">
        <f t="shared" si="96"/>
        <v>2319762.3699936564</v>
      </c>
      <c r="U164" s="350">
        <f t="shared" si="97"/>
        <v>2341968.6654474665</v>
      </c>
      <c r="V164" s="350">
        <f t="shared" si="98"/>
        <v>11469158.218976818</v>
      </c>
      <c r="W164" s="365"/>
      <c r="X164" s="377">
        <f t="shared" si="76"/>
        <v>0</v>
      </c>
      <c r="Y164" s="377">
        <f t="shared" si="77"/>
        <v>0</v>
      </c>
      <c r="Z164" s="377">
        <f t="shared" si="78"/>
        <v>0</v>
      </c>
      <c r="AA164" s="377">
        <f t="shared" si="79"/>
        <v>0</v>
      </c>
      <c r="AB164" s="377">
        <f t="shared" si="80"/>
        <v>0</v>
      </c>
      <c r="AC164" s="377">
        <f t="shared" si="81"/>
        <v>0</v>
      </c>
      <c r="AD164" s="376"/>
      <c r="AE164" s="332">
        <v>149</v>
      </c>
      <c r="AF164" s="350">
        <v>6749269.623767362</v>
      </c>
      <c r="AG164" s="350">
        <v>41690.054862417972</v>
      </c>
      <c r="AH164" s="350">
        <v>39916.764645398289</v>
      </c>
      <c r="AI164" s="350">
        <v>38095.757995816421</v>
      </c>
      <c r="AJ164" s="350">
        <v>36227.127928159702</v>
      </c>
      <c r="AK164" s="348">
        <v>6905199.3291991558</v>
      </c>
      <c r="AL164" s="369"/>
      <c r="AM164" s="350">
        <v>8995753.2854570001</v>
      </c>
      <c r="AN164" s="350">
        <v>2315926.6534842411</v>
      </c>
      <c r="AO164" s="350">
        <v>2340135.5897127772</v>
      </c>
      <c r="AP164" s="350">
        <v>2362462.5696673151</v>
      </c>
      <c r="AQ164" s="350">
        <v>2382844.3118061684</v>
      </c>
      <c r="AR164" s="348">
        <v>18397122.410127498</v>
      </c>
      <c r="AS164" s="369"/>
      <c r="AT164" s="350">
        <f t="shared" si="99"/>
        <v>2246483.6616896382</v>
      </c>
      <c r="AU164" s="350">
        <f t="shared" si="82"/>
        <v>2274236.5986218234</v>
      </c>
      <c r="AV164" s="350">
        <f t="shared" si="83"/>
        <v>2300218.825067379</v>
      </c>
      <c r="AW164" s="350">
        <f t="shared" si="84"/>
        <v>2324366.8116714987</v>
      </c>
      <c r="AX164" s="350">
        <f t="shared" si="85"/>
        <v>2346617.1838780087</v>
      </c>
      <c r="AY164" s="350">
        <f t="shared" si="86"/>
        <v>11491923.080928342</v>
      </c>
      <c r="AZ164" s="365"/>
      <c r="BA164" s="377">
        <f t="shared" si="87"/>
        <v>0</v>
      </c>
      <c r="BB164" s="377">
        <f t="shared" si="88"/>
        <v>0</v>
      </c>
      <c r="BC164" s="377">
        <f t="shared" si="89"/>
        <v>0</v>
      </c>
      <c r="BD164" s="377">
        <f t="shared" si="90"/>
        <v>0</v>
      </c>
      <c r="BE164" s="377">
        <f t="shared" si="91"/>
        <v>0</v>
      </c>
      <c r="BF164" s="377">
        <f t="shared" si="92"/>
        <v>0</v>
      </c>
      <c r="BG164" s="328"/>
    </row>
    <row r="165" spans="2:59">
      <c r="B165" s="332">
        <v>150</v>
      </c>
      <c r="C165" s="350">
        <v>5835062.637038094</v>
      </c>
      <c r="D165" s="350">
        <v>36043.023174998794</v>
      </c>
      <c r="E165" s="350">
        <v>34509.929956509011</v>
      </c>
      <c r="F165" s="350">
        <v>32935.583626447427</v>
      </c>
      <c r="G165" s="350">
        <v>31320.064600236146</v>
      </c>
      <c r="H165" s="348">
        <v>5969871.2383962842</v>
      </c>
      <c r="I165" s="369"/>
      <c r="J165" s="350">
        <v>7830481.8802080741</v>
      </c>
      <c r="K165" s="350">
        <v>2056113.5671104216</v>
      </c>
      <c r="L165" s="350">
        <v>2077658.9567289113</v>
      </c>
      <c r="M165" s="350">
        <v>2097533.8459198577</v>
      </c>
      <c r="N165" s="350">
        <v>2115682.023209678</v>
      </c>
      <c r="O165" s="348">
        <v>16177470.273176944</v>
      </c>
      <c r="P165" s="369"/>
      <c r="Q165" s="350">
        <f t="shared" si="93"/>
        <v>1995419.2431699801</v>
      </c>
      <c r="R165" s="350">
        <f t="shared" si="94"/>
        <v>2020070.5439354228</v>
      </c>
      <c r="S165" s="350">
        <f t="shared" si="95"/>
        <v>2043149.0267724022</v>
      </c>
      <c r="T165" s="350">
        <f t="shared" si="96"/>
        <v>2064598.2622934103</v>
      </c>
      <c r="U165" s="350">
        <f t="shared" si="97"/>
        <v>2084361.9586094418</v>
      </c>
      <c r="V165" s="350">
        <f t="shared" si="98"/>
        <v>10207599.034780659</v>
      </c>
      <c r="W165" s="365"/>
      <c r="X165" s="377">
        <f t="shared" si="76"/>
        <v>0</v>
      </c>
      <c r="Y165" s="377">
        <f t="shared" si="77"/>
        <v>0</v>
      </c>
      <c r="Z165" s="377">
        <f t="shared" si="78"/>
        <v>0</v>
      </c>
      <c r="AA165" s="377">
        <f t="shared" si="79"/>
        <v>0</v>
      </c>
      <c r="AB165" s="377">
        <f t="shared" si="80"/>
        <v>0</v>
      </c>
      <c r="AC165" s="377">
        <f t="shared" si="81"/>
        <v>0</v>
      </c>
      <c r="AD165" s="376"/>
      <c r="AE165" s="332">
        <v>150</v>
      </c>
      <c r="AF165" s="350">
        <v>5767338.3395865811</v>
      </c>
      <c r="AG165" s="350">
        <v>35624.692031977429</v>
      </c>
      <c r="AH165" s="350">
        <v>34109.392566119335</v>
      </c>
      <c r="AI165" s="350">
        <v>32553.318790402809</v>
      </c>
      <c r="AJ165" s="350">
        <v>30956.550186916116</v>
      </c>
      <c r="AK165" s="348">
        <v>5900582.2931619976</v>
      </c>
      <c r="AL165" s="369"/>
      <c r="AM165" s="350">
        <v>8830091.7915790752</v>
      </c>
      <c r="AN165" s="350">
        <v>3136215.2335353056</v>
      </c>
      <c r="AO165" s="350">
        <v>3170122.9175941637</v>
      </c>
      <c r="AP165" s="350">
        <v>3201489.1083297385</v>
      </c>
      <c r="AQ165" s="350">
        <v>3230227.4832422039</v>
      </c>
      <c r="AR165" s="348">
        <v>21568146.534280486</v>
      </c>
      <c r="AS165" s="369"/>
      <c r="AT165" s="350">
        <f t="shared" si="99"/>
        <v>3062753.4519924941</v>
      </c>
      <c r="AU165" s="350">
        <f t="shared" si="82"/>
        <v>3100590.5415033284</v>
      </c>
      <c r="AV165" s="350">
        <f t="shared" si="83"/>
        <v>3136013.5250280444</v>
      </c>
      <c r="AW165" s="350">
        <f t="shared" si="84"/>
        <v>3168935.7895393358</v>
      </c>
      <c r="AX165" s="350">
        <f t="shared" si="85"/>
        <v>3199270.9330552877</v>
      </c>
      <c r="AY165" s="350">
        <f t="shared" si="86"/>
        <v>15667564.241118489</v>
      </c>
      <c r="AZ165" s="365"/>
      <c r="BA165" s="377">
        <f t="shared" si="87"/>
        <v>0</v>
      </c>
      <c r="BB165" s="377">
        <f t="shared" si="88"/>
        <v>0</v>
      </c>
      <c r="BC165" s="377">
        <f t="shared" si="89"/>
        <v>0</v>
      </c>
      <c r="BD165" s="377">
        <f t="shared" si="90"/>
        <v>0</v>
      </c>
      <c r="BE165" s="377">
        <f t="shared" si="91"/>
        <v>0</v>
      </c>
      <c r="BF165" s="377">
        <f t="shared" si="92"/>
        <v>0</v>
      </c>
      <c r="BG165" s="328"/>
    </row>
    <row r="166" spans="2:59">
      <c r="B166" s="332">
        <v>151</v>
      </c>
      <c r="C166" s="350">
        <v>5781778.8745361632</v>
      </c>
      <c r="D166" s="350">
        <v>35713.890823528156</v>
      </c>
      <c r="E166" s="350">
        <v>34194.797279081853</v>
      </c>
      <c r="F166" s="350">
        <v>32634.827332132791</v>
      </c>
      <c r="G166" s="350">
        <v>31034.060663771619</v>
      </c>
      <c r="H166" s="348">
        <v>5915356.4506346779</v>
      </c>
      <c r="I166" s="369"/>
      <c r="J166" s="350">
        <v>8298565.7948402297</v>
      </c>
      <c r="K166" s="350">
        <v>2583593.0598103264</v>
      </c>
      <c r="L166" s="350">
        <v>2611182.4475754499</v>
      </c>
      <c r="M166" s="350">
        <v>2636676.0181787251</v>
      </c>
      <c r="N166" s="350">
        <v>2660002.8513394725</v>
      </c>
      <c r="O166" s="348">
        <v>18790020.171744205</v>
      </c>
      <c r="P166" s="369"/>
      <c r="Q166" s="350">
        <f t="shared" si="93"/>
        <v>2516786.9203040665</v>
      </c>
      <c r="R166" s="350">
        <f t="shared" si="94"/>
        <v>2547879.1689867983</v>
      </c>
      <c r="S166" s="350">
        <f t="shared" si="95"/>
        <v>2576987.6502963682</v>
      </c>
      <c r="T166" s="350">
        <f t="shared" si="96"/>
        <v>2604041.1908465922</v>
      </c>
      <c r="U166" s="350">
        <f t="shared" si="97"/>
        <v>2628968.7906757006</v>
      </c>
      <c r="V166" s="350">
        <f t="shared" si="98"/>
        <v>12874663.721109528</v>
      </c>
      <c r="W166" s="365"/>
      <c r="X166" s="377">
        <f t="shared" si="76"/>
        <v>0</v>
      </c>
      <c r="Y166" s="377">
        <f t="shared" si="77"/>
        <v>0</v>
      </c>
      <c r="Z166" s="377">
        <f t="shared" si="78"/>
        <v>0</v>
      </c>
      <c r="AA166" s="377">
        <f t="shared" si="79"/>
        <v>0</v>
      </c>
      <c r="AB166" s="377">
        <f t="shared" si="80"/>
        <v>0</v>
      </c>
      <c r="AC166" s="377">
        <f t="shared" si="81"/>
        <v>0</v>
      </c>
      <c r="AD166" s="376"/>
      <c r="AE166" s="332">
        <v>151</v>
      </c>
      <c r="AF166" s="350">
        <v>6225292.7075604908</v>
      </c>
      <c r="AG166" s="350">
        <v>38453.463705001428</v>
      </c>
      <c r="AH166" s="350">
        <v>36817.842182707609</v>
      </c>
      <c r="AI166" s="350">
        <v>35138.208674490947</v>
      </c>
      <c r="AJ166" s="350">
        <v>33414.64897369859</v>
      </c>
      <c r="AK166" s="348">
        <v>6369116.8710963903</v>
      </c>
      <c r="AL166" s="369"/>
      <c r="AM166" s="350">
        <v>8380208.7605837639</v>
      </c>
      <c r="AN166" s="350">
        <v>2219991.23240491</v>
      </c>
      <c r="AO166" s="350">
        <v>2243278.7909687348</v>
      </c>
      <c r="AP166" s="350">
        <v>2264762.8620842462</v>
      </c>
      <c r="AQ166" s="350">
        <v>2284382.7401618911</v>
      </c>
      <c r="AR166" s="348">
        <v>17392624.386203546</v>
      </c>
      <c r="AS166" s="369"/>
      <c r="AT166" s="350">
        <f t="shared" si="99"/>
        <v>2154916.0530232731</v>
      </c>
      <c r="AU166" s="350">
        <f t="shared" si="82"/>
        <v>2181537.7686999086</v>
      </c>
      <c r="AV166" s="350">
        <f t="shared" si="83"/>
        <v>2206460.9487860273</v>
      </c>
      <c r="AW166" s="350">
        <f t="shared" si="84"/>
        <v>2229624.6534097553</v>
      </c>
      <c r="AX166" s="350">
        <f t="shared" si="85"/>
        <v>2250968.0911881924</v>
      </c>
      <c r="AY166" s="350">
        <f t="shared" si="86"/>
        <v>11023507.515107155</v>
      </c>
      <c r="AZ166" s="365"/>
      <c r="BA166" s="377">
        <f t="shared" si="87"/>
        <v>0</v>
      </c>
      <c r="BB166" s="377">
        <f t="shared" si="88"/>
        <v>0</v>
      </c>
      <c r="BC166" s="377">
        <f t="shared" si="89"/>
        <v>0</v>
      </c>
      <c r="BD166" s="377">
        <f t="shared" si="90"/>
        <v>0</v>
      </c>
      <c r="BE166" s="377">
        <f t="shared" si="91"/>
        <v>0</v>
      </c>
      <c r="BF166" s="377">
        <f t="shared" si="92"/>
        <v>0</v>
      </c>
      <c r="BG166" s="328"/>
    </row>
    <row r="167" spans="2:59">
      <c r="B167" s="332">
        <v>152</v>
      </c>
      <c r="C167" s="350">
        <v>6325153.2616840331</v>
      </c>
      <c r="D167" s="350">
        <v>39070.299631269139</v>
      </c>
      <c r="E167" s="350">
        <v>37408.440937611085</v>
      </c>
      <c r="F167" s="350">
        <v>35701.86425728492</v>
      </c>
      <c r="G167" s="350">
        <v>33950.656759855185</v>
      </c>
      <c r="H167" s="348">
        <v>6471284.5232700538</v>
      </c>
      <c r="I167" s="369"/>
      <c r="J167" s="350">
        <v>7924045.0902676713</v>
      </c>
      <c r="K167" s="350">
        <v>1657714.7508744004</v>
      </c>
      <c r="L167" s="350">
        <v>1674545.245479658</v>
      </c>
      <c r="M167" s="350">
        <v>1690025.5369330798</v>
      </c>
      <c r="N167" s="350">
        <v>1704110.6067745956</v>
      </c>
      <c r="O167" s="348">
        <v>14650441.230329406</v>
      </c>
      <c r="P167" s="369"/>
      <c r="Q167" s="350">
        <f t="shared" si="93"/>
        <v>1598891.8285836382</v>
      </c>
      <c r="R167" s="350">
        <f t="shared" si="94"/>
        <v>1618644.4512431312</v>
      </c>
      <c r="S167" s="350">
        <f t="shared" si="95"/>
        <v>1637136.804542047</v>
      </c>
      <c r="T167" s="350">
        <f t="shared" si="96"/>
        <v>1654323.6726757949</v>
      </c>
      <c r="U167" s="350">
        <f t="shared" si="97"/>
        <v>1670159.9500147405</v>
      </c>
      <c r="V167" s="350">
        <f t="shared" si="98"/>
        <v>8179156.7070593517</v>
      </c>
      <c r="W167" s="365"/>
      <c r="X167" s="377">
        <f t="shared" si="76"/>
        <v>0</v>
      </c>
      <c r="Y167" s="377">
        <f t="shared" si="77"/>
        <v>0</v>
      </c>
      <c r="Z167" s="377">
        <f t="shared" si="78"/>
        <v>0</v>
      </c>
      <c r="AA167" s="377">
        <f t="shared" si="79"/>
        <v>0</v>
      </c>
      <c r="AB167" s="377">
        <f t="shared" si="80"/>
        <v>0</v>
      </c>
      <c r="AC167" s="377">
        <f t="shared" si="81"/>
        <v>0</v>
      </c>
      <c r="AD167" s="376"/>
      <c r="AE167" s="332">
        <v>152</v>
      </c>
      <c r="AF167" s="350">
        <v>6905412.5644591916</v>
      </c>
      <c r="AG167" s="350">
        <v>42654.545559441074</v>
      </c>
      <c r="AH167" s="350">
        <v>40840.2306442509</v>
      </c>
      <c r="AI167" s="350">
        <v>38977.095386813467</v>
      </c>
      <c r="AJ167" s="350">
        <v>37065.234953487823</v>
      </c>
      <c r="AK167" s="348">
        <v>7064949.6710031852</v>
      </c>
      <c r="AL167" s="369"/>
      <c r="AM167" s="350">
        <v>8292358.4436802864</v>
      </c>
      <c r="AN167" s="350">
        <v>1446734.6787129366</v>
      </c>
      <c r="AO167" s="350">
        <v>1460961.4071920023</v>
      </c>
      <c r="AP167" s="350">
        <v>1474006.8827040214</v>
      </c>
      <c r="AQ167" s="350">
        <v>1485832.0738990786</v>
      </c>
      <c r="AR167" s="348">
        <v>14159893.486188326</v>
      </c>
      <c r="AS167" s="369"/>
      <c r="AT167" s="350">
        <f t="shared" si="99"/>
        <v>1386945.8792210948</v>
      </c>
      <c r="AU167" s="350">
        <f t="shared" si="82"/>
        <v>1404080.1331534956</v>
      </c>
      <c r="AV167" s="350">
        <f t="shared" si="83"/>
        <v>1420121.1765477513</v>
      </c>
      <c r="AW167" s="350">
        <f t="shared" si="84"/>
        <v>1435029.787317208</v>
      </c>
      <c r="AX167" s="350">
        <f t="shared" si="85"/>
        <v>1448766.8389455909</v>
      </c>
      <c r="AY167" s="350">
        <f t="shared" si="86"/>
        <v>7094943.8151851408</v>
      </c>
      <c r="AZ167" s="365"/>
      <c r="BA167" s="377">
        <f t="shared" si="87"/>
        <v>0</v>
      </c>
      <c r="BB167" s="377">
        <f t="shared" si="88"/>
        <v>0</v>
      </c>
      <c r="BC167" s="377">
        <f t="shared" si="89"/>
        <v>0</v>
      </c>
      <c r="BD167" s="377">
        <f t="shared" si="90"/>
        <v>0</v>
      </c>
      <c r="BE167" s="377">
        <f t="shared" si="91"/>
        <v>0</v>
      </c>
      <c r="BF167" s="377">
        <f t="shared" si="92"/>
        <v>0</v>
      </c>
      <c r="BG167" s="328"/>
    </row>
    <row r="168" spans="2:59">
      <c r="B168" s="332">
        <v>153</v>
      </c>
      <c r="C168" s="350">
        <v>5346133.7548617544</v>
      </c>
      <c r="D168" s="350">
        <v>33022.922770360841</v>
      </c>
      <c r="E168" s="350">
        <v>31618.289793040032</v>
      </c>
      <c r="F168" s="350">
        <v>30175.860365879624</v>
      </c>
      <c r="G168" s="350">
        <v>28695.708166170818</v>
      </c>
      <c r="H168" s="348">
        <v>5469646.5359572051</v>
      </c>
      <c r="I168" s="369"/>
      <c r="J168" s="350">
        <v>6730460.1311194915</v>
      </c>
      <c r="K168" s="350">
        <v>1434451.1917634082</v>
      </c>
      <c r="L168" s="350">
        <v>1449057.3057128787</v>
      </c>
      <c r="M168" s="350">
        <v>1462495.3293954725</v>
      </c>
      <c r="N168" s="350">
        <v>1474726.2838698528</v>
      </c>
      <c r="O168" s="348">
        <v>12551190.241861105</v>
      </c>
      <c r="P168" s="369"/>
      <c r="Q168" s="350">
        <f t="shared" si="93"/>
        <v>1384326.3762577372</v>
      </c>
      <c r="R168" s="350">
        <f t="shared" si="94"/>
        <v>1401428.2689930473</v>
      </c>
      <c r="S168" s="350">
        <f t="shared" si="95"/>
        <v>1417439.0159198386</v>
      </c>
      <c r="T168" s="350">
        <f t="shared" si="96"/>
        <v>1432319.4690295928</v>
      </c>
      <c r="U168" s="350">
        <f t="shared" si="97"/>
        <v>1446030.5757036819</v>
      </c>
      <c r="V168" s="350">
        <f t="shared" si="98"/>
        <v>7081543.7059038999</v>
      </c>
      <c r="W168" s="365"/>
      <c r="X168" s="377">
        <f t="shared" si="76"/>
        <v>0</v>
      </c>
      <c r="Y168" s="377">
        <f t="shared" si="77"/>
        <v>0</v>
      </c>
      <c r="Z168" s="377">
        <f t="shared" si="78"/>
        <v>0</v>
      </c>
      <c r="AA168" s="377">
        <f t="shared" si="79"/>
        <v>0</v>
      </c>
      <c r="AB168" s="377">
        <f t="shared" si="80"/>
        <v>0</v>
      </c>
      <c r="AC168" s="377">
        <f t="shared" si="81"/>
        <v>0</v>
      </c>
      <c r="AD168" s="376"/>
      <c r="AE168" s="332">
        <v>153</v>
      </c>
      <c r="AF168" s="350">
        <v>4781483.3025427144</v>
      </c>
      <c r="AG168" s="350">
        <v>29535.092286841078</v>
      </c>
      <c r="AH168" s="350">
        <v>28278.81449147993</v>
      </c>
      <c r="AI168" s="350">
        <v>26988.732249376684</v>
      </c>
      <c r="AJ168" s="350">
        <v>25664.911456135414</v>
      </c>
      <c r="AK168" s="348">
        <v>4891950.8530265465</v>
      </c>
      <c r="AL168" s="369"/>
      <c r="AM168" s="350">
        <v>6669208.7307094168</v>
      </c>
      <c r="AN168" s="350">
        <v>1940581.3776877299</v>
      </c>
      <c r="AO168" s="350">
        <v>1961158.0250002085</v>
      </c>
      <c r="AP168" s="350">
        <v>1980159.5518755065</v>
      </c>
      <c r="AQ168" s="350">
        <v>1997532.7704227641</v>
      </c>
      <c r="AR168" s="348">
        <v>14548640.455695625</v>
      </c>
      <c r="AS168" s="369"/>
      <c r="AT168" s="350">
        <f t="shared" si="99"/>
        <v>1887725.4281667024</v>
      </c>
      <c r="AU168" s="350">
        <f t="shared" si="82"/>
        <v>1911046.2854008889</v>
      </c>
      <c r="AV168" s="350">
        <f t="shared" si="83"/>
        <v>1932879.2105087286</v>
      </c>
      <c r="AW168" s="350">
        <f t="shared" si="84"/>
        <v>1953170.8196261299</v>
      </c>
      <c r="AX168" s="350">
        <f t="shared" si="85"/>
        <v>1971867.8589666288</v>
      </c>
      <c r="AY168" s="350">
        <f t="shared" si="86"/>
        <v>9656689.6026690789</v>
      </c>
      <c r="AZ168" s="365"/>
      <c r="BA168" s="377">
        <f t="shared" si="87"/>
        <v>0</v>
      </c>
      <c r="BB168" s="377">
        <f t="shared" si="88"/>
        <v>0</v>
      </c>
      <c r="BC168" s="377">
        <f t="shared" si="89"/>
        <v>0</v>
      </c>
      <c r="BD168" s="377">
        <f t="shared" si="90"/>
        <v>0</v>
      </c>
      <c r="BE168" s="377">
        <f t="shared" si="91"/>
        <v>0</v>
      </c>
      <c r="BF168" s="377">
        <f t="shared" si="92"/>
        <v>0</v>
      </c>
      <c r="BG168" s="328"/>
    </row>
    <row r="169" spans="2:59">
      <c r="B169" s="332">
        <v>154</v>
      </c>
      <c r="C169" s="350">
        <v>4116058.7580423271</v>
      </c>
      <c r="D169" s="350">
        <v>25424.782977322862</v>
      </c>
      <c r="E169" s="350">
        <v>24343.337556530714</v>
      </c>
      <c r="F169" s="350">
        <v>23232.792151428333</v>
      </c>
      <c r="G169" s="350">
        <v>22093.20348713424</v>
      </c>
      <c r="H169" s="348">
        <v>4211152.8742147433</v>
      </c>
      <c r="I169" s="369"/>
      <c r="J169" s="350">
        <v>6422848.2964102589</v>
      </c>
      <c r="K169" s="350">
        <v>2360712.2737968648</v>
      </c>
      <c r="L169" s="350">
        <v>2386310.5363882976</v>
      </c>
      <c r="M169" s="350">
        <v>2409996.2197833364</v>
      </c>
      <c r="N169" s="350">
        <v>2431704.3048885306</v>
      </c>
      <c r="O169" s="348">
        <v>16011571.631267287</v>
      </c>
      <c r="P169" s="369"/>
      <c r="Q169" s="350">
        <f t="shared" si="93"/>
        <v>2306789.5383679317</v>
      </c>
      <c r="R169" s="350">
        <f t="shared" si="94"/>
        <v>2335287.4908195417</v>
      </c>
      <c r="S169" s="350">
        <f t="shared" si="95"/>
        <v>2361967.1988317668</v>
      </c>
      <c r="T169" s="350">
        <f t="shared" si="96"/>
        <v>2386763.4276319081</v>
      </c>
      <c r="U169" s="350">
        <f t="shared" si="97"/>
        <v>2409611.1014013966</v>
      </c>
      <c r="V169" s="350">
        <f t="shared" si="98"/>
        <v>11800418.757052545</v>
      </c>
      <c r="W169" s="365"/>
      <c r="X169" s="377">
        <f t="shared" si="76"/>
        <v>0</v>
      </c>
      <c r="Y169" s="377">
        <f t="shared" si="77"/>
        <v>0</v>
      </c>
      <c r="Z169" s="377">
        <f t="shared" si="78"/>
        <v>0</v>
      </c>
      <c r="AA169" s="377">
        <f t="shared" si="79"/>
        <v>0</v>
      </c>
      <c r="AB169" s="377">
        <f t="shared" si="80"/>
        <v>0</v>
      </c>
      <c r="AC169" s="377">
        <f t="shared" si="81"/>
        <v>0</v>
      </c>
      <c r="AD169" s="376"/>
      <c r="AE169" s="332">
        <v>154</v>
      </c>
      <c r="AF169" s="350">
        <v>4577803.5764001217</v>
      </c>
      <c r="AG169" s="350">
        <v>28276.968159255084</v>
      </c>
      <c r="AH169" s="350">
        <v>27074.204786328122</v>
      </c>
      <c r="AI169" s="350">
        <v>25839.076955052577</v>
      </c>
      <c r="AJ169" s="350">
        <v>24571.647754036912</v>
      </c>
      <c r="AK169" s="348">
        <v>4683565.4740547938</v>
      </c>
      <c r="AL169" s="369"/>
      <c r="AM169" s="350">
        <v>5992417.9124231078</v>
      </c>
      <c r="AN169" s="350">
        <v>1460367.372724615</v>
      </c>
      <c r="AO169" s="350">
        <v>1475525.6586833494</v>
      </c>
      <c r="AP169" s="350">
        <v>1489496.5564372293</v>
      </c>
      <c r="AQ169" s="350">
        <v>1502240.2220159979</v>
      </c>
      <c r="AR169" s="348">
        <v>11920047.722284298</v>
      </c>
      <c r="AS169" s="369"/>
      <c r="AT169" s="350">
        <f t="shared" si="99"/>
        <v>1414614.3360229861</v>
      </c>
      <c r="AU169" s="350">
        <f t="shared" si="82"/>
        <v>1432090.4045653599</v>
      </c>
      <c r="AV169" s="350">
        <f t="shared" si="83"/>
        <v>1448451.4538970212</v>
      </c>
      <c r="AW169" s="350">
        <f t="shared" si="84"/>
        <v>1463657.4794821767</v>
      </c>
      <c r="AX169" s="350">
        <f t="shared" si="85"/>
        <v>1477668.574261961</v>
      </c>
      <c r="AY169" s="350">
        <f t="shared" si="86"/>
        <v>7236482.2482295046</v>
      </c>
      <c r="AZ169" s="365"/>
      <c r="BA169" s="377">
        <f t="shared" si="87"/>
        <v>0</v>
      </c>
      <c r="BB169" s="377">
        <f t="shared" si="88"/>
        <v>0</v>
      </c>
      <c r="BC169" s="377">
        <f t="shared" si="89"/>
        <v>0</v>
      </c>
      <c r="BD169" s="377">
        <f t="shared" si="90"/>
        <v>0</v>
      </c>
      <c r="BE169" s="377">
        <f t="shared" si="91"/>
        <v>0</v>
      </c>
      <c r="BF169" s="377">
        <f t="shared" si="92"/>
        <v>0</v>
      </c>
      <c r="BG169" s="328"/>
    </row>
    <row r="170" spans="2:59">
      <c r="B170" s="332">
        <v>155</v>
      </c>
      <c r="C170" s="350">
        <v>6075887.3495653588</v>
      </c>
      <c r="D170" s="350">
        <v>37530.590873010027</v>
      </c>
      <c r="E170" s="350">
        <v>35934.223829270952</v>
      </c>
      <c r="F170" s="350">
        <v>34294.901075485563</v>
      </c>
      <c r="G170" s="350">
        <v>32612.706345983956</v>
      </c>
      <c r="H170" s="348">
        <v>6216259.7716891095</v>
      </c>
      <c r="I170" s="369"/>
      <c r="J170" s="350">
        <v>9301435.0137404539</v>
      </c>
      <c r="K170" s="350">
        <v>3302926.4953991072</v>
      </c>
      <c r="L170" s="350">
        <v>3338635.9459986165</v>
      </c>
      <c r="M170" s="350">
        <v>3371668.8014198858</v>
      </c>
      <c r="N170" s="350">
        <v>3401934.1508998787</v>
      </c>
      <c r="O170" s="348">
        <v>22716600.40745794</v>
      </c>
      <c r="P170" s="369"/>
      <c r="Q170" s="350">
        <f t="shared" si="93"/>
        <v>3225547.664175095</v>
      </c>
      <c r="R170" s="350">
        <f t="shared" si="94"/>
        <v>3265395.9045260972</v>
      </c>
      <c r="S170" s="350">
        <f t="shared" si="95"/>
        <v>3302701.7221693457</v>
      </c>
      <c r="T170" s="350">
        <f t="shared" si="96"/>
        <v>3337373.9003444002</v>
      </c>
      <c r="U170" s="350">
        <f t="shared" si="97"/>
        <v>3369321.4445538949</v>
      </c>
      <c r="V170" s="350">
        <f t="shared" si="98"/>
        <v>16500340.635768831</v>
      </c>
      <c r="W170" s="365"/>
      <c r="X170" s="377">
        <f t="shared" si="76"/>
        <v>0</v>
      </c>
      <c r="Y170" s="377">
        <f t="shared" si="77"/>
        <v>0</v>
      </c>
      <c r="Z170" s="377">
        <f t="shared" si="78"/>
        <v>0</v>
      </c>
      <c r="AA170" s="377">
        <f t="shared" si="79"/>
        <v>0</v>
      </c>
      <c r="AB170" s="377">
        <f t="shared" si="80"/>
        <v>0</v>
      </c>
      <c r="AC170" s="377">
        <f t="shared" si="81"/>
        <v>0</v>
      </c>
      <c r="AD170" s="376"/>
      <c r="AE170" s="332">
        <v>155</v>
      </c>
      <c r="AF170" s="350">
        <v>6198700.7256042389</v>
      </c>
      <c r="AG170" s="350">
        <v>38289.205755852301</v>
      </c>
      <c r="AH170" s="350">
        <v>36660.570960135017</v>
      </c>
      <c r="AI170" s="350">
        <v>34988.112180247714</v>
      </c>
      <c r="AJ170" s="350">
        <v>33271.914843060396</v>
      </c>
      <c r="AK170" s="348">
        <v>6341910.5293435343</v>
      </c>
      <c r="AL170" s="369"/>
      <c r="AM170" s="350">
        <v>8160183.8734796587</v>
      </c>
      <c r="AN170" s="350">
        <v>2024004.4097218064</v>
      </c>
      <c r="AO170" s="350">
        <v>2045061.7620028479</v>
      </c>
      <c r="AP170" s="350">
        <v>2064473.7515930347</v>
      </c>
      <c r="AQ170" s="350">
        <v>2082185.1293863915</v>
      </c>
      <c r="AR170" s="348">
        <v>16375908.92618374</v>
      </c>
      <c r="AS170" s="369"/>
      <c r="AT170" s="350">
        <f t="shared" si="99"/>
        <v>1961483.1478754198</v>
      </c>
      <c r="AU170" s="350">
        <f t="shared" si="82"/>
        <v>1985715.203965954</v>
      </c>
      <c r="AV170" s="350">
        <f t="shared" si="83"/>
        <v>2008401.1910427129</v>
      </c>
      <c r="AW170" s="350">
        <f t="shared" si="84"/>
        <v>2029485.639412787</v>
      </c>
      <c r="AX170" s="350">
        <f t="shared" si="85"/>
        <v>2048913.2145433312</v>
      </c>
      <c r="AY170" s="350">
        <f t="shared" si="86"/>
        <v>10033998.396840205</v>
      </c>
      <c r="AZ170" s="365"/>
      <c r="BA170" s="377">
        <f t="shared" si="87"/>
        <v>0</v>
      </c>
      <c r="BB170" s="377">
        <f t="shared" si="88"/>
        <v>0</v>
      </c>
      <c r="BC170" s="377">
        <f t="shared" si="89"/>
        <v>0</v>
      </c>
      <c r="BD170" s="377">
        <f t="shared" si="90"/>
        <v>0</v>
      </c>
      <c r="BE170" s="377">
        <f t="shared" si="91"/>
        <v>0</v>
      </c>
      <c r="BF170" s="377">
        <f t="shared" si="92"/>
        <v>0</v>
      </c>
      <c r="BG170" s="328"/>
    </row>
    <row r="171" spans="2:59">
      <c r="B171" s="332">
        <v>156</v>
      </c>
      <c r="C171" s="350">
        <v>5954754.7534334231</v>
      </c>
      <c r="D171" s="350">
        <v>36782.358121930309</v>
      </c>
      <c r="E171" s="350">
        <v>35217.817225264815</v>
      </c>
      <c r="F171" s="350">
        <v>33611.177009788727</v>
      </c>
      <c r="G171" s="350">
        <v>31962.519540454119</v>
      </c>
      <c r="H171" s="348">
        <v>6092328.6253308607</v>
      </c>
      <c r="I171" s="369"/>
      <c r="J171" s="350">
        <v>8066452.9414639277</v>
      </c>
      <c r="K171" s="350">
        <v>2174568.3506763019</v>
      </c>
      <c r="L171" s="350">
        <v>2197427.14365103</v>
      </c>
      <c r="M171" s="350">
        <v>2218519.6489606807</v>
      </c>
      <c r="N171" s="350">
        <v>2237786.3764873566</v>
      </c>
      <c r="O171" s="348">
        <v>16894754.461239297</v>
      </c>
      <c r="P171" s="369"/>
      <c r="Q171" s="350">
        <f t="shared" si="93"/>
        <v>2111698.1880305046</v>
      </c>
      <c r="R171" s="350">
        <f t="shared" si="94"/>
        <v>2137785.9925543717</v>
      </c>
      <c r="S171" s="350">
        <f t="shared" si="95"/>
        <v>2162209.3264257652</v>
      </c>
      <c r="T171" s="350">
        <f t="shared" si="96"/>
        <v>2184908.4719508919</v>
      </c>
      <c r="U171" s="350">
        <f t="shared" si="97"/>
        <v>2205823.8569469023</v>
      </c>
      <c r="V171" s="350">
        <f t="shared" si="98"/>
        <v>10802425.835908435</v>
      </c>
      <c r="W171" s="365"/>
      <c r="X171" s="377">
        <f t="shared" si="76"/>
        <v>0</v>
      </c>
      <c r="Y171" s="377">
        <f t="shared" si="77"/>
        <v>0</v>
      </c>
      <c r="Z171" s="377">
        <f t="shared" si="78"/>
        <v>0</v>
      </c>
      <c r="AA171" s="377">
        <f t="shared" si="79"/>
        <v>0</v>
      </c>
      <c r="AB171" s="377">
        <f t="shared" si="80"/>
        <v>0</v>
      </c>
      <c r="AC171" s="377">
        <f t="shared" si="81"/>
        <v>0</v>
      </c>
      <c r="AD171" s="376"/>
      <c r="AE171" s="332">
        <v>156</v>
      </c>
      <c r="AF171" s="350">
        <v>6983891.414245015</v>
      </c>
      <c r="AG171" s="350">
        <v>43139.307279669585</v>
      </c>
      <c r="AH171" s="350">
        <v>41304.372981299195</v>
      </c>
      <c r="AI171" s="350">
        <v>39420.063505719081</v>
      </c>
      <c r="AJ171" s="350">
        <v>37486.475100843483</v>
      </c>
      <c r="AK171" s="348">
        <v>7145241.633112547</v>
      </c>
      <c r="AL171" s="369"/>
      <c r="AM171" s="350">
        <v>8779900.5196272042</v>
      </c>
      <c r="AN171" s="350">
        <v>1861336.2114343685</v>
      </c>
      <c r="AO171" s="350">
        <v>1880273.4358968688</v>
      </c>
      <c r="AP171" s="350">
        <v>1897694.8549949073</v>
      </c>
      <c r="AQ171" s="350">
        <v>1913549.8985585261</v>
      </c>
      <c r="AR171" s="348">
        <v>16332754.920511873</v>
      </c>
      <c r="AS171" s="369"/>
      <c r="AT171" s="350">
        <f t="shared" si="99"/>
        <v>1796009.1053821892</v>
      </c>
      <c r="AU171" s="350">
        <f t="shared" si="82"/>
        <v>1818196.9041546988</v>
      </c>
      <c r="AV171" s="350">
        <f t="shared" si="83"/>
        <v>1838969.0629155696</v>
      </c>
      <c r="AW171" s="350">
        <f t="shared" si="84"/>
        <v>1858274.7914891881</v>
      </c>
      <c r="AX171" s="350">
        <f t="shared" si="85"/>
        <v>1876063.4234576826</v>
      </c>
      <c r="AY171" s="350">
        <f t="shared" si="86"/>
        <v>9187513.2873993255</v>
      </c>
      <c r="AZ171" s="365"/>
      <c r="BA171" s="377">
        <f t="shared" si="87"/>
        <v>0</v>
      </c>
      <c r="BB171" s="377">
        <f t="shared" si="88"/>
        <v>0</v>
      </c>
      <c r="BC171" s="377">
        <f t="shared" si="89"/>
        <v>0</v>
      </c>
      <c r="BD171" s="377">
        <f t="shared" si="90"/>
        <v>0</v>
      </c>
      <c r="BE171" s="377">
        <f t="shared" si="91"/>
        <v>0</v>
      </c>
      <c r="BF171" s="377">
        <f t="shared" si="92"/>
        <v>0</v>
      </c>
      <c r="BG171" s="328"/>
    </row>
    <row r="172" spans="2:59">
      <c r="B172" s="332">
        <v>157</v>
      </c>
      <c r="C172" s="350">
        <v>4910818.3076495435</v>
      </c>
      <c r="D172" s="350">
        <v>30333.991095023655</v>
      </c>
      <c r="E172" s="350">
        <v>29043.732067313558</v>
      </c>
      <c r="F172" s="350">
        <v>27718.754211691852</v>
      </c>
      <c r="G172" s="350">
        <v>26359.125206182194</v>
      </c>
      <c r="H172" s="348">
        <v>5024273.9102297546</v>
      </c>
      <c r="I172" s="369"/>
      <c r="J172" s="350">
        <v>6622177.6739863455</v>
      </c>
      <c r="K172" s="350">
        <v>1762835.3979337034</v>
      </c>
      <c r="L172" s="350">
        <v>1781338.2615287674</v>
      </c>
      <c r="M172" s="350">
        <v>1798409.0920904945</v>
      </c>
      <c r="N172" s="350">
        <v>1813999.6788953422</v>
      </c>
      <c r="O172" s="348">
        <v>13778760.104434654</v>
      </c>
      <c r="P172" s="369"/>
      <c r="Q172" s="350">
        <f t="shared" si="93"/>
        <v>1711359.366336802</v>
      </c>
      <c r="R172" s="350">
        <f t="shared" si="94"/>
        <v>1732501.4068386797</v>
      </c>
      <c r="S172" s="350">
        <f t="shared" si="95"/>
        <v>1752294.5294614539</v>
      </c>
      <c r="T172" s="350">
        <f t="shared" si="96"/>
        <v>1770690.3378788026</v>
      </c>
      <c r="U172" s="350">
        <f t="shared" si="97"/>
        <v>1787640.5536891599</v>
      </c>
      <c r="V172" s="350">
        <f t="shared" si="98"/>
        <v>8754486.1942049004</v>
      </c>
      <c r="W172" s="365"/>
      <c r="X172" s="377">
        <f t="shared" si="76"/>
        <v>0</v>
      </c>
      <c r="Y172" s="377">
        <f t="shared" si="77"/>
        <v>0</v>
      </c>
      <c r="Z172" s="377">
        <f t="shared" si="78"/>
        <v>0</v>
      </c>
      <c r="AA172" s="377">
        <f t="shared" si="79"/>
        <v>0</v>
      </c>
      <c r="AB172" s="377">
        <f t="shared" si="80"/>
        <v>0</v>
      </c>
      <c r="AC172" s="377">
        <f t="shared" si="81"/>
        <v>0</v>
      </c>
      <c r="AD172" s="376"/>
      <c r="AE172" s="332">
        <v>157</v>
      </c>
      <c r="AF172" s="350">
        <v>5001130.2320016073</v>
      </c>
      <c r="AG172" s="350">
        <v>30891.845394948359</v>
      </c>
      <c r="AH172" s="350">
        <v>29577.857984634833</v>
      </c>
      <c r="AI172" s="350">
        <v>28228.513253193636</v>
      </c>
      <c r="AJ172" s="350">
        <v>26843.88012328036</v>
      </c>
      <c r="AK172" s="348">
        <v>5116672.3287576642</v>
      </c>
      <c r="AL172" s="369"/>
      <c r="AM172" s="350">
        <v>6500456.1910888311</v>
      </c>
      <c r="AN172" s="350">
        <v>1548740.3958069808</v>
      </c>
      <c r="AO172" s="350">
        <v>1564767.2096003599</v>
      </c>
      <c r="AP172" s="350">
        <v>1579534.4758163658</v>
      </c>
      <c r="AQ172" s="350">
        <v>1592999.9665566974</v>
      </c>
      <c r="AR172" s="348">
        <v>12786498.238869235</v>
      </c>
      <c r="AS172" s="369"/>
      <c r="AT172" s="350">
        <f t="shared" si="99"/>
        <v>1499325.9590872237</v>
      </c>
      <c r="AU172" s="350">
        <f t="shared" si="82"/>
        <v>1517848.5504120325</v>
      </c>
      <c r="AV172" s="350">
        <f t="shared" si="83"/>
        <v>1535189.3516157251</v>
      </c>
      <c r="AW172" s="350">
        <f t="shared" si="84"/>
        <v>1551305.9625631722</v>
      </c>
      <c r="AX172" s="350">
        <f t="shared" si="85"/>
        <v>1566156.0864334169</v>
      </c>
      <c r="AY172" s="350">
        <f t="shared" si="86"/>
        <v>7669825.9101115707</v>
      </c>
      <c r="AZ172" s="365"/>
      <c r="BA172" s="377">
        <f t="shared" si="87"/>
        <v>0</v>
      </c>
      <c r="BB172" s="377">
        <f t="shared" si="88"/>
        <v>0</v>
      </c>
      <c r="BC172" s="377">
        <f t="shared" si="89"/>
        <v>0</v>
      </c>
      <c r="BD172" s="377">
        <f t="shared" si="90"/>
        <v>0</v>
      </c>
      <c r="BE172" s="377">
        <f t="shared" si="91"/>
        <v>0</v>
      </c>
      <c r="BF172" s="377">
        <f t="shared" si="92"/>
        <v>0</v>
      </c>
      <c r="BG172" s="328"/>
    </row>
    <row r="173" spans="2:59">
      <c r="B173" s="332">
        <v>158</v>
      </c>
      <c r="C173" s="350">
        <v>6909379.7363679521</v>
      </c>
      <c r="D173" s="350">
        <v>42679.050672399331</v>
      </c>
      <c r="E173" s="350">
        <v>40863.693430036219</v>
      </c>
      <c r="F173" s="350">
        <v>38999.487798051588</v>
      </c>
      <c r="G173" s="350">
        <v>37086.528997476962</v>
      </c>
      <c r="H173" s="348">
        <v>7069008.4972659163</v>
      </c>
      <c r="I173" s="369"/>
      <c r="J173" s="350">
        <v>8821319.3411025498</v>
      </c>
      <c r="K173" s="350">
        <v>1978238.6532610818</v>
      </c>
      <c r="L173" s="350">
        <v>1998536.2757868757</v>
      </c>
      <c r="M173" s="350">
        <v>2017223.963209077</v>
      </c>
      <c r="N173" s="350">
        <v>2034247.8738668433</v>
      </c>
      <c r="O173" s="348">
        <v>16849566.107226431</v>
      </c>
      <c r="P173" s="369"/>
      <c r="Q173" s="350">
        <f t="shared" si="93"/>
        <v>1911939.6047345977</v>
      </c>
      <c r="R173" s="350">
        <f t="shared" si="94"/>
        <v>1935559.6025886824</v>
      </c>
      <c r="S173" s="350">
        <f t="shared" si="95"/>
        <v>1957672.5823568394</v>
      </c>
      <c r="T173" s="350">
        <f t="shared" si="96"/>
        <v>1978224.4754110253</v>
      </c>
      <c r="U173" s="350">
        <f t="shared" si="97"/>
        <v>1997161.3448693664</v>
      </c>
      <c r="V173" s="350">
        <f t="shared" si="98"/>
        <v>9780557.6099605151</v>
      </c>
      <c r="W173" s="365"/>
      <c r="X173" s="377">
        <f t="shared" si="76"/>
        <v>0</v>
      </c>
      <c r="Y173" s="377">
        <f t="shared" si="77"/>
        <v>0</v>
      </c>
      <c r="Z173" s="377">
        <f t="shared" si="78"/>
        <v>0</v>
      </c>
      <c r="AA173" s="377">
        <f t="shared" si="79"/>
        <v>0</v>
      </c>
      <c r="AB173" s="377">
        <f t="shared" si="80"/>
        <v>0</v>
      </c>
      <c r="AC173" s="377">
        <f t="shared" si="81"/>
        <v>0</v>
      </c>
      <c r="AD173" s="376"/>
      <c r="AE173" s="332">
        <v>158</v>
      </c>
      <c r="AF173" s="350">
        <v>6911195.404841016</v>
      </c>
      <c r="AG173" s="350">
        <v>42690.266007166305</v>
      </c>
      <c r="AH173" s="350">
        <v>40874.431719533612</v>
      </c>
      <c r="AI173" s="350">
        <v>39009.736205746289</v>
      </c>
      <c r="AJ173" s="350">
        <v>37096.274711859449</v>
      </c>
      <c r="AK173" s="348">
        <v>7070866.1134853214</v>
      </c>
      <c r="AL173" s="369"/>
      <c r="AM173" s="350">
        <v>9693823.6715508066</v>
      </c>
      <c r="AN173" s="350">
        <v>2859694.9709295686</v>
      </c>
      <c r="AO173" s="350">
        <v>2890062.2675377461</v>
      </c>
      <c r="AP173" s="350">
        <v>2918108.7043658756</v>
      </c>
      <c r="AQ173" s="350">
        <v>2943755.8771657096</v>
      </c>
      <c r="AR173" s="348">
        <v>21305445.491549704</v>
      </c>
      <c r="AS173" s="369"/>
      <c r="AT173" s="350">
        <f t="shared" si="99"/>
        <v>2782628.2667097906</v>
      </c>
      <c r="AU173" s="350">
        <f t="shared" si="82"/>
        <v>2817004.7049224023</v>
      </c>
      <c r="AV173" s="350">
        <f t="shared" si="83"/>
        <v>2849187.8358182125</v>
      </c>
      <c r="AW173" s="350">
        <f t="shared" si="84"/>
        <v>2879098.9681601292</v>
      </c>
      <c r="AX173" s="350">
        <f t="shared" si="85"/>
        <v>2906659.6024538502</v>
      </c>
      <c r="AY173" s="350">
        <f t="shared" si="86"/>
        <v>14234579.378064383</v>
      </c>
      <c r="AZ173" s="365"/>
      <c r="BA173" s="377">
        <f t="shared" si="87"/>
        <v>0</v>
      </c>
      <c r="BB173" s="377">
        <f t="shared" si="88"/>
        <v>0</v>
      </c>
      <c r="BC173" s="377">
        <f t="shared" si="89"/>
        <v>0</v>
      </c>
      <c r="BD173" s="377">
        <f t="shared" si="90"/>
        <v>0</v>
      </c>
      <c r="BE173" s="377">
        <f t="shared" si="91"/>
        <v>0</v>
      </c>
      <c r="BF173" s="377">
        <f t="shared" si="92"/>
        <v>0</v>
      </c>
      <c r="BG173" s="328"/>
    </row>
    <row r="174" spans="2:59">
      <c r="B174" s="332">
        <v>159</v>
      </c>
      <c r="C174" s="350">
        <v>5848270.6282446589</v>
      </c>
      <c r="D174" s="350">
        <v>36124.608577379389</v>
      </c>
      <c r="E174" s="350">
        <v>34588.045116491048</v>
      </c>
      <c r="F174" s="350">
        <v>33010.135165306194</v>
      </c>
      <c r="G174" s="350">
        <v>31390.959321263723</v>
      </c>
      <c r="H174" s="348">
        <v>5983384.3764250986</v>
      </c>
      <c r="I174" s="369"/>
      <c r="J174" s="350">
        <v>8319613.6186576765</v>
      </c>
      <c r="K174" s="350">
        <v>2537998.4358357219</v>
      </c>
      <c r="L174" s="350">
        <v>2565044.7614011625</v>
      </c>
      <c r="M174" s="350">
        <v>2590031.9044011356</v>
      </c>
      <c r="N174" s="350">
        <v>2612890.2274698936</v>
      </c>
      <c r="O174" s="348">
        <v>18625578.947765589</v>
      </c>
      <c r="P174" s="369"/>
      <c r="Q174" s="350">
        <f t="shared" si="93"/>
        <v>2471342.9904130176</v>
      </c>
      <c r="R174" s="350">
        <f t="shared" si="94"/>
        <v>2501873.8272583424</v>
      </c>
      <c r="S174" s="350">
        <f t="shared" si="95"/>
        <v>2530456.7162846713</v>
      </c>
      <c r="T174" s="350">
        <f t="shared" si="96"/>
        <v>2557021.7692358294</v>
      </c>
      <c r="U174" s="350">
        <f t="shared" si="97"/>
        <v>2581499.2681486299</v>
      </c>
      <c r="V174" s="350">
        <f t="shared" si="98"/>
        <v>12642194.57134049</v>
      </c>
      <c r="W174" s="365"/>
      <c r="X174" s="377">
        <f t="shared" si="76"/>
        <v>0</v>
      </c>
      <c r="Y174" s="377">
        <f t="shared" si="77"/>
        <v>0</v>
      </c>
      <c r="Z174" s="377">
        <f t="shared" si="78"/>
        <v>0</v>
      </c>
      <c r="AA174" s="377">
        <f t="shared" si="79"/>
        <v>0</v>
      </c>
      <c r="AB174" s="377">
        <f t="shared" si="80"/>
        <v>0</v>
      </c>
      <c r="AC174" s="377">
        <f t="shared" si="81"/>
        <v>0</v>
      </c>
      <c r="AD174" s="376"/>
      <c r="AE174" s="332">
        <v>159</v>
      </c>
      <c r="AF174" s="350">
        <v>6471470.892839212</v>
      </c>
      <c r="AG174" s="350">
        <v>39974.099658566331</v>
      </c>
      <c r="AH174" s="350">
        <v>38273.797749811099</v>
      </c>
      <c r="AI174" s="350">
        <v>36527.743408323659</v>
      </c>
      <c r="AJ174" s="350">
        <v>34736.025820136558</v>
      </c>
      <c r="AK174" s="348">
        <v>6620982.5594760496</v>
      </c>
      <c r="AL174" s="369"/>
      <c r="AM174" s="350">
        <v>7911150.2863436341</v>
      </c>
      <c r="AN174" s="350">
        <v>1497439.2140617736</v>
      </c>
      <c r="AO174" s="350">
        <v>1512389.8572050284</v>
      </c>
      <c r="AP174" s="350">
        <v>1526119.2587065748</v>
      </c>
      <c r="AQ174" s="350">
        <v>1538586.8935943425</v>
      </c>
      <c r="AR174" s="348">
        <v>13985685.509911355</v>
      </c>
      <c r="AS174" s="369"/>
      <c r="AT174" s="350">
        <f t="shared" si="99"/>
        <v>1439679.3935044222</v>
      </c>
      <c r="AU174" s="350">
        <f t="shared" si="82"/>
        <v>1457465.1144032073</v>
      </c>
      <c r="AV174" s="350">
        <f t="shared" si="83"/>
        <v>1474116.0594552173</v>
      </c>
      <c r="AW174" s="350">
        <f t="shared" si="84"/>
        <v>1489591.5152982511</v>
      </c>
      <c r="AX174" s="350">
        <f t="shared" si="85"/>
        <v>1503850.867774206</v>
      </c>
      <c r="AY174" s="350">
        <f t="shared" si="86"/>
        <v>7364702.950435305</v>
      </c>
      <c r="AZ174" s="365"/>
      <c r="BA174" s="377">
        <f t="shared" si="87"/>
        <v>0</v>
      </c>
      <c r="BB174" s="377">
        <f t="shared" si="88"/>
        <v>0</v>
      </c>
      <c r="BC174" s="377">
        <f t="shared" si="89"/>
        <v>0</v>
      </c>
      <c r="BD174" s="377">
        <f t="shared" si="90"/>
        <v>0</v>
      </c>
      <c r="BE174" s="377">
        <f t="shared" si="91"/>
        <v>0</v>
      </c>
      <c r="BF174" s="377">
        <f t="shared" si="92"/>
        <v>0</v>
      </c>
      <c r="BG174" s="328"/>
    </row>
    <row r="175" spans="2:59">
      <c r="B175" s="332">
        <v>160</v>
      </c>
      <c r="C175" s="350">
        <v>6595202.8023596657</v>
      </c>
      <c r="D175" s="350">
        <v>40738.38829773543</v>
      </c>
      <c r="E175" s="350">
        <v>39005.577303269602</v>
      </c>
      <c r="F175" s="350">
        <v>37226.139108037976</v>
      </c>
      <c r="G175" s="350">
        <v>35400.164603273719</v>
      </c>
      <c r="H175" s="348">
        <v>6747573.0716719823</v>
      </c>
      <c r="I175" s="369"/>
      <c r="J175" s="350">
        <v>8265126.1920432169</v>
      </c>
      <c r="K175" s="350">
        <v>1731291.9206819942</v>
      </c>
      <c r="L175" s="350">
        <v>1748872.9949373563</v>
      </c>
      <c r="M175" s="350">
        <v>1765043.960001973</v>
      </c>
      <c r="N175" s="350">
        <v>1779757.7972975147</v>
      </c>
      <c r="O175" s="348">
        <v>15290092.864962056</v>
      </c>
      <c r="P175" s="369"/>
      <c r="Q175" s="350">
        <f t="shared" si="93"/>
        <v>1669923.3896835512</v>
      </c>
      <c r="R175" s="350">
        <f t="shared" si="94"/>
        <v>1690553.5323842587</v>
      </c>
      <c r="S175" s="350">
        <f t="shared" si="95"/>
        <v>1709867.4176340867</v>
      </c>
      <c r="T175" s="350">
        <f t="shared" si="96"/>
        <v>1727817.8208939349</v>
      </c>
      <c r="U175" s="350">
        <f t="shared" si="97"/>
        <v>1744357.6326942411</v>
      </c>
      <c r="V175" s="350">
        <f t="shared" si="98"/>
        <v>8542519.7932900749</v>
      </c>
      <c r="W175" s="365"/>
      <c r="X175" s="377">
        <f t="shared" si="76"/>
        <v>0</v>
      </c>
      <c r="Y175" s="377">
        <f t="shared" si="77"/>
        <v>0</v>
      </c>
      <c r="Z175" s="377">
        <f t="shared" si="78"/>
        <v>0</v>
      </c>
      <c r="AA175" s="377">
        <f t="shared" si="79"/>
        <v>0</v>
      </c>
      <c r="AB175" s="377">
        <f t="shared" si="80"/>
        <v>0</v>
      </c>
      <c r="AC175" s="377">
        <f t="shared" si="81"/>
        <v>0</v>
      </c>
      <c r="AD175" s="376"/>
      <c r="AE175" s="332">
        <v>160</v>
      </c>
      <c r="AF175" s="350">
        <v>6870604.0963916834</v>
      </c>
      <c r="AG175" s="350">
        <v>42439.534599098435</v>
      </c>
      <c r="AH175" s="350">
        <v>40634.365194362144</v>
      </c>
      <c r="AI175" s="350">
        <v>38780.621538587016</v>
      </c>
      <c r="AJ175" s="350">
        <v>36878.398318422602</v>
      </c>
      <c r="AK175" s="348">
        <v>7029337.0160421543</v>
      </c>
      <c r="AL175" s="369"/>
      <c r="AM175" s="350">
        <v>9015994.7975834887</v>
      </c>
      <c r="AN175" s="350">
        <v>2214334.2757892581</v>
      </c>
      <c r="AO175" s="350">
        <v>2237342.1188106295</v>
      </c>
      <c r="AP175" s="350">
        <v>2258549.6895086942</v>
      </c>
      <c r="AQ175" s="350">
        <v>2277896.5599026782</v>
      </c>
      <c r="AR175" s="348">
        <v>18004117.44159475</v>
      </c>
      <c r="AS175" s="369"/>
      <c r="AT175" s="350">
        <f t="shared" si="99"/>
        <v>2145390.7011918053</v>
      </c>
      <c r="AU175" s="350">
        <f t="shared" si="82"/>
        <v>2171894.7411901597</v>
      </c>
      <c r="AV175" s="350">
        <f t="shared" si="83"/>
        <v>2196707.7536162673</v>
      </c>
      <c r="AW175" s="350">
        <f t="shared" si="84"/>
        <v>2219769.0679701073</v>
      </c>
      <c r="AX175" s="350">
        <f t="shared" si="85"/>
        <v>2241018.1615842558</v>
      </c>
      <c r="AY175" s="350">
        <f t="shared" si="86"/>
        <v>10974780.425552595</v>
      </c>
      <c r="AZ175" s="365"/>
      <c r="BA175" s="377">
        <f t="shared" si="87"/>
        <v>0</v>
      </c>
      <c r="BB175" s="377">
        <f t="shared" si="88"/>
        <v>0</v>
      </c>
      <c r="BC175" s="377">
        <f t="shared" si="89"/>
        <v>0</v>
      </c>
      <c r="BD175" s="377">
        <f t="shared" si="90"/>
        <v>0</v>
      </c>
      <c r="BE175" s="377">
        <f t="shared" si="91"/>
        <v>0</v>
      </c>
      <c r="BF175" s="377">
        <f t="shared" si="92"/>
        <v>0</v>
      </c>
      <c r="BG175" s="328"/>
    </row>
    <row r="176" spans="2:59">
      <c r="B176" s="332">
        <v>161</v>
      </c>
      <c r="C176" s="350">
        <v>5623490.922175955</v>
      </c>
      <c r="D176" s="350">
        <v>34736.150447782114</v>
      </c>
      <c r="E176" s="350">
        <v>33258.645177777245</v>
      </c>
      <c r="F176" s="350">
        <v>31741.382579898655</v>
      </c>
      <c r="G176" s="350">
        <v>30184.440153806481</v>
      </c>
      <c r="H176" s="348">
        <v>5753411.540535219</v>
      </c>
      <c r="I176" s="369"/>
      <c r="J176" s="350">
        <v>7625447.5133748502</v>
      </c>
      <c r="K176" s="350">
        <v>2061424.8044539932</v>
      </c>
      <c r="L176" s="350">
        <v>2083101.3912318139</v>
      </c>
      <c r="M176" s="350">
        <v>2103103.6356620649</v>
      </c>
      <c r="N176" s="350">
        <v>2121375.1389331664</v>
      </c>
      <c r="O176" s="348">
        <v>15994452.483655889</v>
      </c>
      <c r="P176" s="369"/>
      <c r="Q176" s="350">
        <f t="shared" si="93"/>
        <v>2001956.5911988951</v>
      </c>
      <c r="R176" s="350">
        <f t="shared" si="94"/>
        <v>2026688.6540062111</v>
      </c>
      <c r="S176" s="350">
        <f t="shared" si="95"/>
        <v>2049842.7460540368</v>
      </c>
      <c r="T176" s="350">
        <f t="shared" si="96"/>
        <v>2071362.2530821662</v>
      </c>
      <c r="U176" s="350">
        <f t="shared" si="97"/>
        <v>2091190.6987793599</v>
      </c>
      <c r="V176" s="350">
        <f t="shared" si="98"/>
        <v>10241040.94312067</v>
      </c>
      <c r="W176" s="365"/>
      <c r="X176" s="377">
        <f t="shared" si="76"/>
        <v>0</v>
      </c>
      <c r="Y176" s="377">
        <f t="shared" si="77"/>
        <v>0</v>
      </c>
      <c r="Z176" s="377">
        <f t="shared" si="78"/>
        <v>0</v>
      </c>
      <c r="AA176" s="377">
        <f t="shared" si="79"/>
        <v>0</v>
      </c>
      <c r="AB176" s="377">
        <f t="shared" si="80"/>
        <v>0</v>
      </c>
      <c r="AC176" s="377">
        <f t="shared" si="81"/>
        <v>0</v>
      </c>
      <c r="AD176" s="376"/>
      <c r="AE176" s="332">
        <v>161</v>
      </c>
      <c r="AF176" s="350">
        <v>5284297.7545508584</v>
      </c>
      <c r="AG176" s="350">
        <v>32640.963478594356</v>
      </c>
      <c r="AH176" s="350">
        <v>31252.577173954574</v>
      </c>
      <c r="AI176" s="350">
        <v>29826.831591717619</v>
      </c>
      <c r="AJ176" s="350">
        <v>28363.799556987316</v>
      </c>
      <c r="AK176" s="348">
        <v>5406381.9263521126</v>
      </c>
      <c r="AL176" s="369"/>
      <c r="AM176" s="350">
        <v>7245241.8136833496</v>
      </c>
      <c r="AN176" s="350">
        <v>2017810.4188286182</v>
      </c>
      <c r="AO176" s="350">
        <v>2039101.7846451795</v>
      </c>
      <c r="AP176" s="350">
        <v>2058754.6926400389</v>
      </c>
      <c r="AQ176" s="350">
        <v>2076713.8963134552</v>
      </c>
      <c r="AR176" s="348">
        <v>15437622.60611064</v>
      </c>
      <c r="AS176" s="369"/>
      <c r="AT176" s="350">
        <f t="shared" si="99"/>
        <v>1960944.0591324912</v>
      </c>
      <c r="AU176" s="350">
        <f t="shared" si="82"/>
        <v>1985169.4553500239</v>
      </c>
      <c r="AV176" s="350">
        <f t="shared" si="83"/>
        <v>2007849.2074712249</v>
      </c>
      <c r="AW176" s="350">
        <f t="shared" si="84"/>
        <v>2028927.8610483212</v>
      </c>
      <c r="AX176" s="350">
        <f t="shared" si="85"/>
        <v>2048350.0967564678</v>
      </c>
      <c r="AY176" s="350">
        <f t="shared" si="86"/>
        <v>10031240.679758526</v>
      </c>
      <c r="AZ176" s="365"/>
      <c r="BA176" s="377">
        <f t="shared" si="87"/>
        <v>0</v>
      </c>
      <c r="BB176" s="377">
        <f t="shared" si="88"/>
        <v>0</v>
      </c>
      <c r="BC176" s="377">
        <f t="shared" si="89"/>
        <v>0</v>
      </c>
      <c r="BD176" s="377">
        <f t="shared" si="90"/>
        <v>0</v>
      </c>
      <c r="BE176" s="377">
        <f t="shared" si="91"/>
        <v>0</v>
      </c>
      <c r="BF176" s="377">
        <f t="shared" si="92"/>
        <v>0</v>
      </c>
      <c r="BG176" s="328"/>
    </row>
    <row r="177" spans="2:59">
      <c r="B177" s="332">
        <v>162</v>
      </c>
      <c r="C177" s="350">
        <v>8038635.2604705663</v>
      </c>
      <c r="D177" s="350">
        <v>49654.431325106649</v>
      </c>
      <c r="E177" s="350">
        <v>47542.375642017061</v>
      </c>
      <c r="F177" s="350">
        <v>45373.487883949398</v>
      </c>
      <c r="G177" s="350">
        <v>43147.878834677431</v>
      </c>
      <c r="H177" s="348">
        <v>8224353.4341563182</v>
      </c>
      <c r="I177" s="369"/>
      <c r="J177" s="350">
        <v>10921429.064281575</v>
      </c>
      <c r="K177" s="350">
        <v>2968062.1129443739</v>
      </c>
      <c r="L177" s="350">
        <v>2999291.6758467155</v>
      </c>
      <c r="M177" s="350">
        <v>3028110.6235864209</v>
      </c>
      <c r="N177" s="350">
        <v>3054437.7417273261</v>
      </c>
      <c r="O177" s="348">
        <v>22971331.218386412</v>
      </c>
      <c r="P177" s="369"/>
      <c r="Q177" s="350">
        <f t="shared" si="93"/>
        <v>2882793.803811009</v>
      </c>
      <c r="R177" s="350">
        <f t="shared" si="94"/>
        <v>2918407.681619267</v>
      </c>
      <c r="S177" s="350">
        <f t="shared" si="95"/>
        <v>2951749.3002046985</v>
      </c>
      <c r="T177" s="350">
        <f t="shared" si="96"/>
        <v>2982737.1357024717</v>
      </c>
      <c r="U177" s="350">
        <f t="shared" si="97"/>
        <v>3011289.8628926487</v>
      </c>
      <c r="V177" s="350">
        <f t="shared" si="98"/>
        <v>14746977.784230094</v>
      </c>
      <c r="W177" s="365"/>
      <c r="X177" s="377">
        <f t="shared" si="76"/>
        <v>0</v>
      </c>
      <c r="Y177" s="377">
        <f t="shared" si="77"/>
        <v>0</v>
      </c>
      <c r="Z177" s="377">
        <f t="shared" si="78"/>
        <v>0</v>
      </c>
      <c r="AA177" s="377">
        <f t="shared" si="79"/>
        <v>0</v>
      </c>
      <c r="AB177" s="377">
        <f t="shared" si="80"/>
        <v>0</v>
      </c>
      <c r="AC177" s="377">
        <f t="shared" si="81"/>
        <v>0</v>
      </c>
      <c r="AD177" s="376"/>
      <c r="AE177" s="332">
        <v>162</v>
      </c>
      <c r="AF177" s="350">
        <v>7858278.9868061552</v>
      </c>
      <c r="AG177" s="350">
        <v>48540.375528999619</v>
      </c>
      <c r="AH177" s="350">
        <v>46475.706308963629</v>
      </c>
      <c r="AI177" s="350">
        <v>44355.480108657495</v>
      </c>
      <c r="AJ177" s="350">
        <v>42179.805226285003</v>
      </c>
      <c r="AK177" s="348">
        <v>8039830.3539790614</v>
      </c>
      <c r="AL177" s="369"/>
      <c r="AM177" s="350">
        <v>9387537.9897855148</v>
      </c>
      <c r="AN177" s="350">
        <v>1596691.7610288437</v>
      </c>
      <c r="AO177" s="350">
        <v>1612314.0905557428</v>
      </c>
      <c r="AP177" s="350">
        <v>1626632.2327032392</v>
      </c>
      <c r="AQ177" s="350">
        <v>1639603.15452073</v>
      </c>
      <c r="AR177" s="348">
        <v>15862779.228594068</v>
      </c>
      <c r="AS177" s="369"/>
      <c r="AT177" s="350">
        <f t="shared" si="99"/>
        <v>1529259.0029793596</v>
      </c>
      <c r="AU177" s="350">
        <f t="shared" si="82"/>
        <v>1548151.3854998441</v>
      </c>
      <c r="AV177" s="350">
        <f t="shared" si="83"/>
        <v>1565838.3842467791</v>
      </c>
      <c r="AW177" s="350">
        <f t="shared" si="84"/>
        <v>1582276.7525945818</v>
      </c>
      <c r="AX177" s="350">
        <f t="shared" si="85"/>
        <v>1597423.349294445</v>
      </c>
      <c r="AY177" s="350">
        <f t="shared" si="86"/>
        <v>7822948.8746150071</v>
      </c>
      <c r="AZ177" s="365"/>
      <c r="BA177" s="377">
        <f t="shared" si="87"/>
        <v>0</v>
      </c>
      <c r="BB177" s="377">
        <f t="shared" si="88"/>
        <v>0</v>
      </c>
      <c r="BC177" s="377">
        <f t="shared" si="89"/>
        <v>0</v>
      </c>
      <c r="BD177" s="377">
        <f t="shared" si="90"/>
        <v>0</v>
      </c>
      <c r="BE177" s="377">
        <f t="shared" si="91"/>
        <v>0</v>
      </c>
      <c r="BF177" s="377">
        <f t="shared" si="92"/>
        <v>0</v>
      </c>
      <c r="BG177" s="328"/>
    </row>
    <row r="178" spans="2:59">
      <c r="B178" s="332">
        <v>163</v>
      </c>
      <c r="C178" s="350">
        <v>4651525.2257267106</v>
      </c>
      <c r="D178" s="350">
        <v>28732.344781659813</v>
      </c>
      <c r="E178" s="350">
        <v>27510.211923320116</v>
      </c>
      <c r="F178" s="350">
        <v>26255.193404439131</v>
      </c>
      <c r="G178" s="350">
        <v>24967.353329619425</v>
      </c>
      <c r="H178" s="348">
        <v>4758990.3291657483</v>
      </c>
      <c r="I178" s="369"/>
      <c r="J178" s="350">
        <v>6290352.2008814868</v>
      </c>
      <c r="K178" s="350">
        <v>1687805.2992239175</v>
      </c>
      <c r="L178" s="350">
        <v>1705537.3988399543</v>
      </c>
      <c r="M178" s="350">
        <v>1721898.520833197</v>
      </c>
      <c r="N178" s="350">
        <v>1736842.4970858693</v>
      </c>
      <c r="O178" s="348">
        <v>13142435.916864425</v>
      </c>
      <c r="P178" s="369"/>
      <c r="Q178" s="350">
        <f t="shared" si="93"/>
        <v>1638826.9751547761</v>
      </c>
      <c r="R178" s="350">
        <f t="shared" si="94"/>
        <v>1659072.9544422578</v>
      </c>
      <c r="S178" s="350">
        <f t="shared" si="95"/>
        <v>1678027.1869166342</v>
      </c>
      <c r="T178" s="350">
        <f t="shared" si="96"/>
        <v>1695643.3274287579</v>
      </c>
      <c r="U178" s="350">
        <f t="shared" si="97"/>
        <v>1711875.1437562499</v>
      </c>
      <c r="V178" s="350">
        <f t="shared" si="98"/>
        <v>8383445.5876986766</v>
      </c>
      <c r="W178" s="365"/>
      <c r="X178" s="377">
        <f t="shared" si="76"/>
        <v>0</v>
      </c>
      <c r="Y178" s="377">
        <f t="shared" si="77"/>
        <v>0</v>
      </c>
      <c r="Z178" s="377">
        <f t="shared" si="78"/>
        <v>0</v>
      </c>
      <c r="AA178" s="377">
        <f t="shared" si="79"/>
        <v>0</v>
      </c>
      <c r="AB178" s="377">
        <f t="shared" si="80"/>
        <v>0</v>
      </c>
      <c r="AC178" s="377">
        <f t="shared" si="81"/>
        <v>0</v>
      </c>
      <c r="AD178" s="376"/>
      <c r="AE178" s="332">
        <v>163</v>
      </c>
      <c r="AF178" s="350">
        <v>6028043.713436909</v>
      </c>
      <c r="AG178" s="350">
        <v>37235.062034158283</v>
      </c>
      <c r="AH178" s="350">
        <v>35651.265336044547</v>
      </c>
      <c r="AI178" s="350">
        <v>34024.851175987242</v>
      </c>
      <c r="AJ178" s="350">
        <v>32355.902628960455</v>
      </c>
      <c r="AK178" s="348">
        <v>6167310.7946120584</v>
      </c>
      <c r="AL178" s="369"/>
      <c r="AM178" s="350">
        <v>8248989.610985877</v>
      </c>
      <c r="AN178" s="350">
        <v>2285618.40436655</v>
      </c>
      <c r="AO178" s="350">
        <v>2309721.4711954296</v>
      </c>
      <c r="AP178" s="350">
        <v>2331968.532145428</v>
      </c>
      <c r="AQ178" s="350">
        <v>2352297.0161698963</v>
      </c>
      <c r="AR178" s="348">
        <v>17528595.034863181</v>
      </c>
      <c r="AS178" s="369"/>
      <c r="AT178" s="350">
        <f t="shared" si="99"/>
        <v>2220945.897548968</v>
      </c>
      <c r="AU178" s="350">
        <f t="shared" si="82"/>
        <v>2248383.3423323915</v>
      </c>
      <c r="AV178" s="350">
        <f t="shared" si="83"/>
        <v>2274070.205859385</v>
      </c>
      <c r="AW178" s="350">
        <f t="shared" si="84"/>
        <v>2297943.6809694408</v>
      </c>
      <c r="AX178" s="350">
        <f t="shared" si="85"/>
        <v>2319941.1135409358</v>
      </c>
      <c r="AY178" s="350">
        <f t="shared" si="86"/>
        <v>11361284.240251124</v>
      </c>
      <c r="AZ178" s="365"/>
      <c r="BA178" s="377">
        <f t="shared" si="87"/>
        <v>0</v>
      </c>
      <c r="BB178" s="377">
        <f t="shared" si="88"/>
        <v>0</v>
      </c>
      <c r="BC178" s="377">
        <f t="shared" si="89"/>
        <v>0</v>
      </c>
      <c r="BD178" s="377">
        <f t="shared" si="90"/>
        <v>0</v>
      </c>
      <c r="BE178" s="377">
        <f t="shared" si="91"/>
        <v>0</v>
      </c>
      <c r="BF178" s="377">
        <f t="shared" si="92"/>
        <v>0</v>
      </c>
      <c r="BG178" s="328"/>
    </row>
    <row r="179" spans="2:59">
      <c r="B179" s="332">
        <v>164</v>
      </c>
      <c r="C179" s="350">
        <v>5438698.8805455463</v>
      </c>
      <c r="D179" s="350">
        <v>33594.695033616277</v>
      </c>
      <c r="E179" s="350">
        <v>32165.74167187473</v>
      </c>
      <c r="F179" s="350">
        <v>30698.337437247515</v>
      </c>
      <c r="G179" s="350">
        <v>29192.557282707709</v>
      </c>
      <c r="H179" s="348">
        <v>5564350.2119709933</v>
      </c>
      <c r="I179" s="369"/>
      <c r="J179" s="350">
        <v>6755336.816302985</v>
      </c>
      <c r="K179" s="350">
        <v>1366498.3042151446</v>
      </c>
      <c r="L179" s="350">
        <v>1380297.2314639068</v>
      </c>
      <c r="M179" s="350">
        <v>1392982.681210526</v>
      </c>
      <c r="N179" s="350">
        <v>1404517.5853179763</v>
      </c>
      <c r="O179" s="348">
        <v>12299632.618510539</v>
      </c>
      <c r="P179" s="369"/>
      <c r="Q179" s="350">
        <f t="shared" si="93"/>
        <v>1316637.9357574387</v>
      </c>
      <c r="R179" s="350">
        <f t="shared" si="94"/>
        <v>1332903.6091815282</v>
      </c>
      <c r="S179" s="350">
        <f t="shared" si="95"/>
        <v>1348131.4897920322</v>
      </c>
      <c r="T179" s="350">
        <f t="shared" si="96"/>
        <v>1362284.3437732784</v>
      </c>
      <c r="U179" s="350">
        <f t="shared" si="97"/>
        <v>1375325.0280352687</v>
      </c>
      <c r="V179" s="350">
        <f t="shared" si="98"/>
        <v>6735282.4065395454</v>
      </c>
      <c r="W179" s="365"/>
      <c r="X179" s="377">
        <f t="shared" si="76"/>
        <v>0</v>
      </c>
      <c r="Y179" s="377">
        <f t="shared" si="77"/>
        <v>0</v>
      </c>
      <c r="Z179" s="377">
        <f t="shared" si="78"/>
        <v>0</v>
      </c>
      <c r="AA179" s="377">
        <f t="shared" si="79"/>
        <v>0</v>
      </c>
      <c r="AB179" s="377">
        <f t="shared" si="80"/>
        <v>0</v>
      </c>
      <c r="AC179" s="377">
        <f t="shared" si="81"/>
        <v>0</v>
      </c>
      <c r="AD179" s="376"/>
      <c r="AE179" s="332">
        <v>164</v>
      </c>
      <c r="AF179" s="350">
        <v>6131204.2238893211</v>
      </c>
      <c r="AG179" s="350">
        <v>37872.281700898951</v>
      </c>
      <c r="AH179" s="350">
        <v>36261.380807194873</v>
      </c>
      <c r="AI179" s="350">
        <v>34607.133120552244</v>
      </c>
      <c r="AJ179" s="350">
        <v>32909.623137641946</v>
      </c>
      <c r="AK179" s="348">
        <v>6272854.6426556092</v>
      </c>
      <c r="AL179" s="369"/>
      <c r="AM179" s="350">
        <v>8536191.4461007509</v>
      </c>
      <c r="AN179" s="350">
        <v>2472570.5852075052</v>
      </c>
      <c r="AO179" s="350">
        <v>2498775.1203535898</v>
      </c>
      <c r="AP179" s="350">
        <v>2522972.6517007509</v>
      </c>
      <c r="AQ179" s="350">
        <v>2545095.417715691</v>
      </c>
      <c r="AR179" s="348">
        <v>18575605.221078288</v>
      </c>
      <c r="AS179" s="369"/>
      <c r="AT179" s="350">
        <f t="shared" si="99"/>
        <v>2404987.2222114298</v>
      </c>
      <c r="AU179" s="350">
        <f t="shared" si="82"/>
        <v>2434698.3035066063</v>
      </c>
      <c r="AV179" s="350">
        <f t="shared" si="83"/>
        <v>2462513.7395463949</v>
      </c>
      <c r="AW179" s="350">
        <f t="shared" si="84"/>
        <v>2488365.5185801988</v>
      </c>
      <c r="AX179" s="350">
        <f t="shared" si="85"/>
        <v>2512185.7945780489</v>
      </c>
      <c r="AY179" s="350">
        <f t="shared" si="86"/>
        <v>12302750.578422679</v>
      </c>
      <c r="AZ179" s="365"/>
      <c r="BA179" s="377">
        <f t="shared" si="87"/>
        <v>0</v>
      </c>
      <c r="BB179" s="377">
        <f t="shared" si="88"/>
        <v>0</v>
      </c>
      <c r="BC179" s="377">
        <f t="shared" si="89"/>
        <v>0</v>
      </c>
      <c r="BD179" s="377">
        <f t="shared" si="90"/>
        <v>0</v>
      </c>
      <c r="BE179" s="377">
        <f t="shared" si="91"/>
        <v>0</v>
      </c>
      <c r="BF179" s="377">
        <f t="shared" si="92"/>
        <v>0</v>
      </c>
      <c r="BG179" s="328"/>
    </row>
    <row r="180" spans="2:59">
      <c r="B180" s="332">
        <v>165</v>
      </c>
      <c r="C180" s="350">
        <v>5916620.0041555716</v>
      </c>
      <c r="D180" s="350">
        <v>36546.800813039401</v>
      </c>
      <c r="E180" s="350">
        <v>34992.279367600706</v>
      </c>
      <c r="F180" s="350">
        <v>33395.928210925864</v>
      </c>
      <c r="G180" s="350">
        <v>31757.828882410893</v>
      </c>
      <c r="H180" s="348">
        <v>6053312.8414295493</v>
      </c>
      <c r="I180" s="369"/>
      <c r="J180" s="350">
        <v>7873733.7709072605</v>
      </c>
      <c r="K180" s="350">
        <v>2017838.6445585818</v>
      </c>
      <c r="L180" s="350">
        <v>2038919.5751017891</v>
      </c>
      <c r="M180" s="350">
        <v>2058360.7047994016</v>
      </c>
      <c r="N180" s="350">
        <v>2076106.9039206493</v>
      </c>
      <c r="O180" s="348">
        <v>16064959.599287683</v>
      </c>
      <c r="P180" s="369"/>
      <c r="Q180" s="350">
        <f t="shared" si="93"/>
        <v>1957113.7667516889</v>
      </c>
      <c r="R180" s="350">
        <f t="shared" si="94"/>
        <v>1981291.8437455425</v>
      </c>
      <c r="S180" s="350">
        <f t="shared" si="95"/>
        <v>2003927.2957341883</v>
      </c>
      <c r="T180" s="350">
        <f t="shared" si="96"/>
        <v>2024964.7765884758</v>
      </c>
      <c r="U180" s="350">
        <f t="shared" si="97"/>
        <v>2044349.0750382384</v>
      </c>
      <c r="V180" s="350">
        <f t="shared" si="98"/>
        <v>10011646.757858135</v>
      </c>
      <c r="W180" s="365"/>
      <c r="X180" s="377">
        <f t="shared" si="76"/>
        <v>0</v>
      </c>
      <c r="Y180" s="377">
        <f t="shared" si="77"/>
        <v>0</v>
      </c>
      <c r="Z180" s="377">
        <f t="shared" si="78"/>
        <v>0</v>
      </c>
      <c r="AA180" s="377">
        <f t="shared" si="79"/>
        <v>0</v>
      </c>
      <c r="AB180" s="377">
        <f t="shared" si="80"/>
        <v>0</v>
      </c>
      <c r="AC180" s="377">
        <f t="shared" si="81"/>
        <v>0</v>
      </c>
      <c r="AD180" s="376"/>
      <c r="AE180" s="332">
        <v>165</v>
      </c>
      <c r="AF180" s="350">
        <v>6669856.3084585099</v>
      </c>
      <c r="AG180" s="350">
        <v>41199.520974073443</v>
      </c>
      <c r="AH180" s="350">
        <v>39447.095659923034</v>
      </c>
      <c r="AI180" s="350">
        <v>37647.515354717245</v>
      </c>
      <c r="AJ180" s="350">
        <v>35800.871978513314</v>
      </c>
      <c r="AK180" s="348">
        <v>6823951.3124257363</v>
      </c>
      <c r="AL180" s="369"/>
      <c r="AM180" s="350">
        <v>8259435.4098755652</v>
      </c>
      <c r="AN180" s="350">
        <v>1650416.1961258813</v>
      </c>
      <c r="AO180" s="350">
        <v>1667048.4156103826</v>
      </c>
      <c r="AP180" s="350">
        <v>1682335.5987220723</v>
      </c>
      <c r="AQ180" s="350">
        <v>1696232.994468597</v>
      </c>
      <c r="AR180" s="348">
        <v>14955468.614802498</v>
      </c>
      <c r="AS180" s="369"/>
      <c r="AT180" s="350">
        <f t="shared" si="99"/>
        <v>1589579.1014170554</v>
      </c>
      <c r="AU180" s="350">
        <f t="shared" si="82"/>
        <v>1609216.6751518077</v>
      </c>
      <c r="AV180" s="350">
        <f t="shared" si="83"/>
        <v>1627601.3199504595</v>
      </c>
      <c r="AW180" s="350">
        <f t="shared" si="84"/>
        <v>1644688.0833673552</v>
      </c>
      <c r="AX180" s="350">
        <f t="shared" si="85"/>
        <v>1660432.1224900838</v>
      </c>
      <c r="AY180" s="350">
        <f t="shared" si="86"/>
        <v>8131517.302376762</v>
      </c>
      <c r="AZ180" s="365"/>
      <c r="BA180" s="377">
        <f t="shared" si="87"/>
        <v>0</v>
      </c>
      <c r="BB180" s="377">
        <f t="shared" si="88"/>
        <v>0</v>
      </c>
      <c r="BC180" s="377">
        <f t="shared" si="89"/>
        <v>0</v>
      </c>
      <c r="BD180" s="377">
        <f t="shared" si="90"/>
        <v>0</v>
      </c>
      <c r="BE180" s="377">
        <f t="shared" si="91"/>
        <v>0</v>
      </c>
      <c r="BF180" s="377">
        <f t="shared" si="92"/>
        <v>0</v>
      </c>
      <c r="BG180" s="328"/>
    </row>
    <row r="181" spans="2:59">
      <c r="B181" s="332">
        <v>166</v>
      </c>
      <c r="C181" s="350">
        <v>6053762.5724351089</v>
      </c>
      <c r="D181" s="350">
        <v>37393.926726546772</v>
      </c>
      <c r="E181" s="350">
        <v>35803.372704516711</v>
      </c>
      <c r="F181" s="350">
        <v>34170.019391652102</v>
      </c>
      <c r="G181" s="350">
        <v>32493.950217371086</v>
      </c>
      <c r="H181" s="348">
        <v>6193623.8414751962</v>
      </c>
      <c r="I181" s="369"/>
      <c r="J181" s="350">
        <v>8583565.1792425141</v>
      </c>
      <c r="K181" s="350">
        <v>2598449.5772996028</v>
      </c>
      <c r="L181" s="350">
        <v>2626118.0405201856</v>
      </c>
      <c r="M181" s="350">
        <v>2651678.136464064</v>
      </c>
      <c r="N181" s="350">
        <v>2675058.5814191215</v>
      </c>
      <c r="O181" s="348">
        <v>19134869.514945488</v>
      </c>
      <c r="P181" s="369"/>
      <c r="Q181" s="350">
        <f t="shared" si="93"/>
        <v>2529802.6068074051</v>
      </c>
      <c r="R181" s="350">
        <f t="shared" si="94"/>
        <v>2561055.6505730562</v>
      </c>
      <c r="S181" s="350">
        <f t="shared" si="95"/>
        <v>2590314.667815669</v>
      </c>
      <c r="T181" s="350">
        <f t="shared" si="96"/>
        <v>2617508.1170724118</v>
      </c>
      <c r="U181" s="350">
        <f t="shared" si="97"/>
        <v>2642564.6312017506</v>
      </c>
      <c r="V181" s="350">
        <f t="shared" si="98"/>
        <v>12941245.673470292</v>
      </c>
      <c r="W181" s="365"/>
      <c r="X181" s="377">
        <f t="shared" si="76"/>
        <v>0</v>
      </c>
      <c r="Y181" s="377">
        <f t="shared" si="77"/>
        <v>0</v>
      </c>
      <c r="Z181" s="377">
        <f t="shared" si="78"/>
        <v>0</v>
      </c>
      <c r="AA181" s="377">
        <f t="shared" si="79"/>
        <v>0</v>
      </c>
      <c r="AB181" s="377">
        <f t="shared" si="80"/>
        <v>0</v>
      </c>
      <c r="AC181" s="377">
        <f t="shared" si="81"/>
        <v>0</v>
      </c>
      <c r="AD181" s="376"/>
      <c r="AE181" s="332">
        <v>166</v>
      </c>
      <c r="AF181" s="350">
        <v>6444874.2603479642</v>
      </c>
      <c r="AG181" s="350">
        <v>39809.812983188283</v>
      </c>
      <c r="AH181" s="350">
        <v>38116.499022882468</v>
      </c>
      <c r="AI181" s="350">
        <v>36377.620664475267</v>
      </c>
      <c r="AJ181" s="350">
        <v>34593.266727460359</v>
      </c>
      <c r="AK181" s="348">
        <v>6593771.4597459706</v>
      </c>
      <c r="AL181" s="369"/>
      <c r="AM181" s="350">
        <v>8427547.2250569407</v>
      </c>
      <c r="AN181" s="350">
        <v>2046976.6116269885</v>
      </c>
      <c r="AO181" s="350">
        <v>2068214.3604716533</v>
      </c>
      <c r="AP181" s="350">
        <v>2087787.7048587876</v>
      </c>
      <c r="AQ181" s="350">
        <v>2105640.8012984977</v>
      </c>
      <c r="AR181" s="348">
        <v>16736166.703312866</v>
      </c>
      <c r="AS181" s="369"/>
      <c r="AT181" s="350">
        <f t="shared" si="99"/>
        <v>1982672.9647089764</v>
      </c>
      <c r="AU181" s="350">
        <f t="shared" si="82"/>
        <v>2007166.7986438002</v>
      </c>
      <c r="AV181" s="350">
        <f t="shared" si="83"/>
        <v>2030097.8614487709</v>
      </c>
      <c r="AW181" s="350">
        <f t="shared" si="84"/>
        <v>2051410.0841943123</v>
      </c>
      <c r="AX181" s="350">
        <f t="shared" si="85"/>
        <v>2071047.5345710374</v>
      </c>
      <c r="AY181" s="350">
        <f t="shared" si="86"/>
        <v>10142395.243566897</v>
      </c>
      <c r="AZ181" s="365"/>
      <c r="BA181" s="377">
        <f t="shared" si="87"/>
        <v>0</v>
      </c>
      <c r="BB181" s="377">
        <f t="shared" si="88"/>
        <v>0</v>
      </c>
      <c r="BC181" s="377">
        <f t="shared" si="89"/>
        <v>0</v>
      </c>
      <c r="BD181" s="377">
        <f t="shared" si="90"/>
        <v>0</v>
      </c>
      <c r="BE181" s="377">
        <f t="shared" si="91"/>
        <v>0</v>
      </c>
      <c r="BF181" s="377">
        <f t="shared" si="92"/>
        <v>0</v>
      </c>
      <c r="BG181" s="328"/>
    </row>
    <row r="182" spans="2:59">
      <c r="B182" s="332">
        <v>167</v>
      </c>
      <c r="C182" s="350">
        <v>4761335.0062519973</v>
      </c>
      <c r="D182" s="350">
        <v>29410.636808756743</v>
      </c>
      <c r="E182" s="350">
        <v>28159.6527383018</v>
      </c>
      <c r="F182" s="350">
        <v>26875.006666860925</v>
      </c>
      <c r="G182" s="350">
        <v>25556.764212366965</v>
      </c>
      <c r="H182" s="348">
        <v>4871337.0666782837</v>
      </c>
      <c r="I182" s="369"/>
      <c r="J182" s="350">
        <v>5779868.0655517606</v>
      </c>
      <c r="K182" s="350">
        <v>1060526.5981078302</v>
      </c>
      <c r="L182" s="350">
        <v>1071055.6937416294</v>
      </c>
      <c r="M182" s="350">
        <v>1080719.5015099696</v>
      </c>
      <c r="N182" s="350">
        <v>1089489.3536454905</v>
      </c>
      <c r="O182" s="348">
        <v>10081659.212556681</v>
      </c>
      <c r="P182" s="369"/>
      <c r="Q182" s="350">
        <f t="shared" si="93"/>
        <v>1018533.0592997633</v>
      </c>
      <c r="R182" s="350">
        <f t="shared" si="94"/>
        <v>1031115.9612990734</v>
      </c>
      <c r="S182" s="350">
        <f t="shared" si="95"/>
        <v>1042896.0410033276</v>
      </c>
      <c r="T182" s="350">
        <f t="shared" si="96"/>
        <v>1053844.4948431086</v>
      </c>
      <c r="U182" s="350">
        <f t="shared" si="97"/>
        <v>1063932.5894331236</v>
      </c>
      <c r="V182" s="350">
        <f t="shared" si="98"/>
        <v>5210322.1458783969</v>
      </c>
      <c r="W182" s="365"/>
      <c r="X182" s="377">
        <f t="shared" si="76"/>
        <v>0</v>
      </c>
      <c r="Y182" s="377">
        <f t="shared" si="77"/>
        <v>0</v>
      </c>
      <c r="Z182" s="377">
        <f t="shared" si="78"/>
        <v>0</v>
      </c>
      <c r="AA182" s="377">
        <f t="shared" si="79"/>
        <v>0</v>
      </c>
      <c r="AB182" s="377">
        <f t="shared" si="80"/>
        <v>0</v>
      </c>
      <c r="AC182" s="377">
        <f t="shared" si="81"/>
        <v>0</v>
      </c>
      <c r="AD182" s="376"/>
      <c r="AE182" s="332">
        <v>167</v>
      </c>
      <c r="AF182" s="350">
        <v>6567379.4904714189</v>
      </c>
      <c r="AG182" s="350">
        <v>40566.524457091684</v>
      </c>
      <c r="AH182" s="350">
        <v>38841.023706480148</v>
      </c>
      <c r="AI182" s="350">
        <v>37069.092462190398</v>
      </c>
      <c r="AJ182" s="350">
        <v>35250.821232012298</v>
      </c>
      <c r="AK182" s="348">
        <v>6719106.9523291932</v>
      </c>
      <c r="AL182" s="369"/>
      <c r="AM182" s="350">
        <v>9060675.7358019035</v>
      </c>
      <c r="AN182" s="350">
        <v>2564664.8159497418</v>
      </c>
      <c r="AO182" s="350">
        <v>2591776.1096734363</v>
      </c>
      <c r="AP182" s="350">
        <v>2616805.2121331096</v>
      </c>
      <c r="AQ182" s="350">
        <v>2639681.8765598242</v>
      </c>
      <c r="AR182" s="348">
        <v>19473603.750118017</v>
      </c>
      <c r="AS182" s="369"/>
      <c r="AT182" s="350">
        <f t="shared" si="99"/>
        <v>2493296.2453304846</v>
      </c>
      <c r="AU182" s="350">
        <f t="shared" si="82"/>
        <v>2524098.2914926503</v>
      </c>
      <c r="AV182" s="350">
        <f t="shared" si="83"/>
        <v>2552935.0859669563</v>
      </c>
      <c r="AW182" s="350">
        <f t="shared" si="84"/>
        <v>2579736.1196709191</v>
      </c>
      <c r="AX182" s="350">
        <f t="shared" si="85"/>
        <v>2604431.0553278117</v>
      </c>
      <c r="AY182" s="350">
        <f t="shared" si="86"/>
        <v>12754496.797788825</v>
      </c>
      <c r="AZ182" s="365"/>
      <c r="BA182" s="377">
        <f t="shared" si="87"/>
        <v>0</v>
      </c>
      <c r="BB182" s="377">
        <f t="shared" si="88"/>
        <v>0</v>
      </c>
      <c r="BC182" s="377">
        <f t="shared" si="89"/>
        <v>0</v>
      </c>
      <c r="BD182" s="377">
        <f t="shared" si="90"/>
        <v>0</v>
      </c>
      <c r="BE182" s="377">
        <f t="shared" si="91"/>
        <v>0</v>
      </c>
      <c r="BF182" s="377">
        <f t="shared" si="92"/>
        <v>0</v>
      </c>
      <c r="BG182" s="328"/>
    </row>
    <row r="183" spans="2:59">
      <c r="B183" s="332">
        <v>168</v>
      </c>
      <c r="C183" s="350">
        <v>4323416.6100560082</v>
      </c>
      <c r="D183" s="350">
        <v>26705.626788357007</v>
      </c>
      <c r="E183" s="350">
        <v>25569.700561359856</v>
      </c>
      <c r="F183" s="350">
        <v>24403.208357802643</v>
      </c>
      <c r="G183" s="350">
        <v>23206.209760487076</v>
      </c>
      <c r="H183" s="348">
        <v>4423301.3555240147</v>
      </c>
      <c r="I183" s="369"/>
      <c r="J183" s="350">
        <v>6551190.7758500967</v>
      </c>
      <c r="K183" s="350">
        <v>2282001.5934202652</v>
      </c>
      <c r="L183" s="350">
        <v>2306631.5046361629</v>
      </c>
      <c r="M183" s="350">
        <v>2329411.8862203034</v>
      </c>
      <c r="N183" s="350">
        <v>2350279.9510046113</v>
      </c>
      <c r="O183" s="348">
        <v>15819515.71113144</v>
      </c>
      <c r="P183" s="369"/>
      <c r="Q183" s="350">
        <f t="shared" si="93"/>
        <v>2227774.1657940885</v>
      </c>
      <c r="R183" s="350">
        <f t="shared" si="94"/>
        <v>2255295.9666319084</v>
      </c>
      <c r="S183" s="350">
        <f t="shared" si="95"/>
        <v>2281061.8040748029</v>
      </c>
      <c r="T183" s="350">
        <f t="shared" si="96"/>
        <v>2305008.6778625008</v>
      </c>
      <c r="U183" s="350">
        <f t="shared" si="97"/>
        <v>2327073.7412441242</v>
      </c>
      <c r="V183" s="350">
        <f t="shared" si="98"/>
        <v>11396214.355607426</v>
      </c>
      <c r="W183" s="365"/>
      <c r="X183" s="377">
        <f t="shared" si="76"/>
        <v>0</v>
      </c>
      <c r="Y183" s="377">
        <f t="shared" si="77"/>
        <v>0</v>
      </c>
      <c r="Z183" s="377">
        <f t="shared" si="78"/>
        <v>0</v>
      </c>
      <c r="AA183" s="377">
        <f t="shared" si="79"/>
        <v>0</v>
      </c>
      <c r="AB183" s="377">
        <f t="shared" si="80"/>
        <v>0</v>
      </c>
      <c r="AC183" s="377">
        <f t="shared" si="81"/>
        <v>0</v>
      </c>
      <c r="AD183" s="376"/>
      <c r="AE183" s="332">
        <v>168</v>
      </c>
      <c r="AF183" s="350">
        <v>4717455.9701219695</v>
      </c>
      <c r="AG183" s="350">
        <v>29139.597196243696</v>
      </c>
      <c r="AH183" s="350">
        <v>27900.141819980196</v>
      </c>
      <c r="AI183" s="350">
        <v>26627.334661638979</v>
      </c>
      <c r="AJ183" s="350">
        <v>25321.240734441919</v>
      </c>
      <c r="AK183" s="348">
        <v>4826444.2845342746</v>
      </c>
      <c r="AL183" s="369"/>
      <c r="AM183" s="350">
        <v>6892756.8201936446</v>
      </c>
      <c r="AN183" s="350">
        <v>2231313.9956182148</v>
      </c>
      <c r="AO183" s="350">
        <v>2255233.4854137427</v>
      </c>
      <c r="AP183" s="350">
        <v>2277343.5039056698</v>
      </c>
      <c r="AQ183" s="350">
        <v>2297582.7496578284</v>
      </c>
      <c r="AR183" s="348">
        <v>15954230.5547891</v>
      </c>
      <c r="AS183" s="369"/>
      <c r="AT183" s="350">
        <f t="shared" si="99"/>
        <v>2175300.8500716751</v>
      </c>
      <c r="AU183" s="350">
        <f t="shared" si="82"/>
        <v>2202174.3984219711</v>
      </c>
      <c r="AV183" s="350">
        <f t="shared" si="83"/>
        <v>2227333.3435937627</v>
      </c>
      <c r="AW183" s="350">
        <f t="shared" si="84"/>
        <v>2250716.169244031</v>
      </c>
      <c r="AX183" s="350">
        <f t="shared" si="85"/>
        <v>2272261.5089233862</v>
      </c>
      <c r="AY183" s="350">
        <f t="shared" si="86"/>
        <v>11127786.270254824</v>
      </c>
      <c r="AZ183" s="365"/>
      <c r="BA183" s="377">
        <f t="shared" si="87"/>
        <v>0</v>
      </c>
      <c r="BB183" s="377">
        <f t="shared" si="88"/>
        <v>0</v>
      </c>
      <c r="BC183" s="377">
        <f t="shared" si="89"/>
        <v>0</v>
      </c>
      <c r="BD183" s="377">
        <f t="shared" si="90"/>
        <v>0</v>
      </c>
      <c r="BE183" s="377">
        <f t="shared" si="91"/>
        <v>0</v>
      </c>
      <c r="BF183" s="377">
        <f t="shared" si="92"/>
        <v>0</v>
      </c>
      <c r="BG183" s="328"/>
    </row>
    <row r="184" spans="2:59">
      <c r="B184" s="332">
        <v>169</v>
      </c>
      <c r="C184" s="350">
        <v>7278374.8243855424</v>
      </c>
      <c r="D184" s="350">
        <v>44958.323293133959</v>
      </c>
      <c r="E184" s="350">
        <v>43046.016985735783</v>
      </c>
      <c r="F184" s="350">
        <v>41082.253542843937</v>
      </c>
      <c r="G184" s="350">
        <v>39067.133270775033</v>
      </c>
      <c r="H184" s="348">
        <v>7446528.5514780311</v>
      </c>
      <c r="I184" s="369"/>
      <c r="J184" s="350">
        <v>9720215.7670343537</v>
      </c>
      <c r="K184" s="350">
        <v>2516965.6360943057</v>
      </c>
      <c r="L184" s="350">
        <v>2543295.0060554151</v>
      </c>
      <c r="M184" s="350">
        <v>2567579.1710430942</v>
      </c>
      <c r="N184" s="350">
        <v>2589749.3456697045</v>
      </c>
      <c r="O184" s="348">
        <v>19937804.925896872</v>
      </c>
      <c r="P184" s="369"/>
      <c r="Q184" s="350">
        <f t="shared" si="93"/>
        <v>2441840.9426488113</v>
      </c>
      <c r="R184" s="350">
        <f t="shared" si="94"/>
        <v>2472007.3128011716</v>
      </c>
      <c r="S184" s="350">
        <f t="shared" si="95"/>
        <v>2500248.9890696793</v>
      </c>
      <c r="T184" s="350">
        <f t="shared" si="96"/>
        <v>2526496.9175002505</v>
      </c>
      <c r="U184" s="350">
        <f t="shared" si="97"/>
        <v>2550682.2123989295</v>
      </c>
      <c r="V184" s="350">
        <f t="shared" si="98"/>
        <v>12491276.37441884</v>
      </c>
      <c r="W184" s="365"/>
      <c r="X184" s="377">
        <f t="shared" si="76"/>
        <v>0</v>
      </c>
      <c r="Y184" s="377">
        <f t="shared" si="77"/>
        <v>0</v>
      </c>
      <c r="Z184" s="377">
        <f t="shared" si="78"/>
        <v>0</v>
      </c>
      <c r="AA184" s="377">
        <f t="shared" si="79"/>
        <v>0</v>
      </c>
      <c r="AB184" s="377">
        <f t="shared" si="80"/>
        <v>0</v>
      </c>
      <c r="AC184" s="377">
        <f t="shared" si="81"/>
        <v>0</v>
      </c>
      <c r="AD184" s="376"/>
      <c r="AE184" s="332">
        <v>169</v>
      </c>
      <c r="AF184" s="350">
        <v>5921216.0687319012</v>
      </c>
      <c r="AG184" s="350">
        <v>36575.190578898437</v>
      </c>
      <c r="AH184" s="350">
        <v>35019.461572227556</v>
      </c>
      <c r="AI184" s="350">
        <v>33421.870360757093</v>
      </c>
      <c r="AJ184" s="350">
        <v>31782.498547225903</v>
      </c>
      <c r="AK184" s="348">
        <v>6058015.0897910111</v>
      </c>
      <c r="AL184" s="369"/>
      <c r="AM184" s="350">
        <v>8188331.0559709202</v>
      </c>
      <c r="AN184" s="350">
        <v>2331697.9930234514</v>
      </c>
      <c r="AO184" s="350">
        <v>2356363.106830413</v>
      </c>
      <c r="AP184" s="350">
        <v>2379135.273243031</v>
      </c>
      <c r="AQ184" s="350">
        <v>2399950.617286671</v>
      </c>
      <c r="AR184" s="348">
        <v>17655478.046354488</v>
      </c>
      <c r="AS184" s="369"/>
      <c r="AT184" s="350">
        <f t="shared" si="99"/>
        <v>2267114.987239019</v>
      </c>
      <c r="AU184" s="350">
        <f t="shared" si="82"/>
        <v>2295122.802444553</v>
      </c>
      <c r="AV184" s="350">
        <f t="shared" si="83"/>
        <v>2321343.6452581855</v>
      </c>
      <c r="AW184" s="350">
        <f t="shared" si="84"/>
        <v>2345713.4028822738</v>
      </c>
      <c r="AX184" s="350">
        <f t="shared" si="85"/>
        <v>2368168.1187394452</v>
      </c>
      <c r="AY184" s="350">
        <f t="shared" si="86"/>
        <v>11597462.956563476</v>
      </c>
      <c r="AZ184" s="365"/>
      <c r="BA184" s="377">
        <f t="shared" si="87"/>
        <v>0</v>
      </c>
      <c r="BB184" s="377">
        <f t="shared" si="88"/>
        <v>0</v>
      </c>
      <c r="BC184" s="377">
        <f t="shared" si="89"/>
        <v>0</v>
      </c>
      <c r="BD184" s="377">
        <f t="shared" si="90"/>
        <v>0</v>
      </c>
      <c r="BE184" s="377">
        <f t="shared" si="91"/>
        <v>0</v>
      </c>
      <c r="BF184" s="377">
        <f t="shared" si="92"/>
        <v>0</v>
      </c>
      <c r="BG184" s="328"/>
    </row>
    <row r="185" spans="2:59">
      <c r="B185" s="332">
        <v>170</v>
      </c>
      <c r="C185" s="350">
        <v>4548079.0773462094</v>
      </c>
      <c r="D185" s="350">
        <v>28093.360737208182</v>
      </c>
      <c r="E185" s="350">
        <v>26898.407122422206</v>
      </c>
      <c r="F185" s="350">
        <v>25671.299197512475</v>
      </c>
      <c r="G185" s="350">
        <v>24412.099641448629</v>
      </c>
      <c r="H185" s="348">
        <v>4653154.2440448012</v>
      </c>
      <c r="I185" s="369"/>
      <c r="J185" s="350">
        <v>6303687.1934999935</v>
      </c>
      <c r="K185" s="350">
        <v>1805390.1640406712</v>
      </c>
      <c r="L185" s="350">
        <v>1824500.1022002827</v>
      </c>
      <c r="M185" s="350">
        <v>1842144.4430172183</v>
      </c>
      <c r="N185" s="350">
        <v>1858273.7224869975</v>
      </c>
      <c r="O185" s="348">
        <v>13633995.625245163</v>
      </c>
      <c r="P185" s="369"/>
      <c r="Q185" s="350">
        <f t="shared" si="93"/>
        <v>1755608.1161537841</v>
      </c>
      <c r="R185" s="350">
        <f t="shared" si="94"/>
        <v>1777296.8033034629</v>
      </c>
      <c r="S185" s="350">
        <f t="shared" si="95"/>
        <v>1797601.6950778605</v>
      </c>
      <c r="T185" s="350">
        <f t="shared" si="96"/>
        <v>1816473.1438197058</v>
      </c>
      <c r="U185" s="350">
        <f t="shared" si="97"/>
        <v>1833861.6228455489</v>
      </c>
      <c r="V185" s="350">
        <f t="shared" si="98"/>
        <v>8980841.381200362</v>
      </c>
      <c r="W185" s="365"/>
      <c r="X185" s="377">
        <f t="shared" si="76"/>
        <v>0</v>
      </c>
      <c r="Y185" s="377">
        <f t="shared" si="77"/>
        <v>0</v>
      </c>
      <c r="Z185" s="377">
        <f t="shared" si="78"/>
        <v>0</v>
      </c>
      <c r="AA185" s="377">
        <f t="shared" si="79"/>
        <v>0</v>
      </c>
      <c r="AB185" s="377">
        <f t="shared" si="80"/>
        <v>0</v>
      </c>
      <c r="AC185" s="377">
        <f t="shared" si="81"/>
        <v>0</v>
      </c>
      <c r="AD185" s="376"/>
      <c r="AE185" s="332">
        <v>170</v>
      </c>
      <c r="AF185" s="350">
        <v>6547780.6841112729</v>
      </c>
      <c r="AG185" s="350">
        <v>40445.463163361666</v>
      </c>
      <c r="AH185" s="350">
        <v>38725.111765717716</v>
      </c>
      <c r="AI185" s="350">
        <v>36958.468435336559</v>
      </c>
      <c r="AJ185" s="350">
        <v>35145.623409904452</v>
      </c>
      <c r="AK185" s="348">
        <v>6699055.3508855943</v>
      </c>
      <c r="AL185" s="369"/>
      <c r="AM185" s="350">
        <v>8537098.4356371146</v>
      </c>
      <c r="AN185" s="350">
        <v>2054339.13795884</v>
      </c>
      <c r="AO185" s="350">
        <v>2075626.7011851689</v>
      </c>
      <c r="AP185" s="350">
        <v>2095243.7069925056</v>
      </c>
      <c r="AQ185" s="350">
        <v>2113134.1258560121</v>
      </c>
      <c r="AR185" s="348">
        <v>16875442.107629642</v>
      </c>
      <c r="AS185" s="369"/>
      <c r="AT185" s="350">
        <f t="shared" si="99"/>
        <v>1989317.7515258417</v>
      </c>
      <c r="AU185" s="350">
        <f t="shared" si="82"/>
        <v>2013893.6747954783</v>
      </c>
      <c r="AV185" s="350">
        <f t="shared" si="83"/>
        <v>2036901.5894194513</v>
      </c>
      <c r="AW185" s="350">
        <f t="shared" si="84"/>
        <v>2058285.238557169</v>
      </c>
      <c r="AX185" s="350">
        <f t="shared" si="85"/>
        <v>2077988.5024461076</v>
      </c>
      <c r="AY185" s="350">
        <f t="shared" si="86"/>
        <v>10176386.756744048</v>
      </c>
      <c r="AZ185" s="365"/>
      <c r="BA185" s="377">
        <f t="shared" si="87"/>
        <v>0</v>
      </c>
      <c r="BB185" s="377">
        <f t="shared" si="88"/>
        <v>0</v>
      </c>
      <c r="BC185" s="377">
        <f t="shared" si="89"/>
        <v>0</v>
      </c>
      <c r="BD185" s="377">
        <f t="shared" si="90"/>
        <v>0</v>
      </c>
      <c r="BE185" s="377">
        <f t="shared" si="91"/>
        <v>0</v>
      </c>
      <c r="BF185" s="377">
        <f t="shared" si="92"/>
        <v>0</v>
      </c>
      <c r="BG185" s="328"/>
    </row>
    <row r="186" spans="2:59">
      <c r="B186" s="332">
        <v>171</v>
      </c>
      <c r="C186" s="350">
        <v>4678437.5088793449</v>
      </c>
      <c r="D186" s="350">
        <v>28898.581222586483</v>
      </c>
      <c r="E186" s="350">
        <v>27669.377482343803</v>
      </c>
      <c r="F186" s="350">
        <v>26407.097815324167</v>
      </c>
      <c r="G186" s="350">
        <v>25111.806697013832</v>
      </c>
      <c r="H186" s="348">
        <v>4786524.372096613</v>
      </c>
      <c r="I186" s="369"/>
      <c r="J186" s="350">
        <v>6499822.5927123353</v>
      </c>
      <c r="K186" s="350">
        <v>1872784.9572852394</v>
      </c>
      <c r="L186" s="350">
        <v>1892621.4040546049</v>
      </c>
      <c r="M186" s="350">
        <v>1910937.6253824579</v>
      </c>
      <c r="N186" s="350">
        <v>1927682.3034559009</v>
      </c>
      <c r="O186" s="348">
        <v>14103848.882890537</v>
      </c>
      <c r="P186" s="369"/>
      <c r="Q186" s="350">
        <f t="shared" si="93"/>
        <v>1821385.0838329904</v>
      </c>
      <c r="R186" s="350">
        <f t="shared" si="94"/>
        <v>1843886.3760626528</v>
      </c>
      <c r="S186" s="350">
        <f t="shared" si="95"/>
        <v>1864952.0265722612</v>
      </c>
      <c r="T186" s="350">
        <f t="shared" si="96"/>
        <v>1884530.5275671338</v>
      </c>
      <c r="U186" s="350">
        <f t="shared" si="97"/>
        <v>1902570.4967588871</v>
      </c>
      <c r="V186" s="350">
        <f t="shared" si="98"/>
        <v>9317324.5107939243</v>
      </c>
      <c r="W186" s="365"/>
      <c r="X186" s="377">
        <f t="shared" si="76"/>
        <v>0</v>
      </c>
      <c r="Y186" s="377">
        <f t="shared" si="77"/>
        <v>0</v>
      </c>
      <c r="Z186" s="377">
        <f t="shared" si="78"/>
        <v>0</v>
      </c>
      <c r="AA186" s="377">
        <f t="shared" si="79"/>
        <v>0</v>
      </c>
      <c r="AB186" s="377">
        <f t="shared" si="80"/>
        <v>0</v>
      </c>
      <c r="AC186" s="377">
        <f t="shared" si="81"/>
        <v>0</v>
      </c>
      <c r="AD186" s="376"/>
      <c r="AE186" s="332">
        <v>171</v>
      </c>
      <c r="AF186" s="350">
        <v>5584654.573325458</v>
      </c>
      <c r="AG186" s="350">
        <v>34496.259377415729</v>
      </c>
      <c r="AH186" s="350">
        <v>33028.95789557325</v>
      </c>
      <c r="AI186" s="350">
        <v>31522.173653639715</v>
      </c>
      <c r="AJ186" s="350">
        <v>29975.983616064012</v>
      </c>
      <c r="AK186" s="348">
        <v>5713677.9478681507</v>
      </c>
      <c r="AL186" s="369"/>
      <c r="AM186" s="350">
        <v>7204387.7453642981</v>
      </c>
      <c r="AN186" s="350">
        <v>1674239.5268988779</v>
      </c>
      <c r="AO186" s="350">
        <v>1691505.6240947</v>
      </c>
      <c r="AP186" s="350">
        <v>1707409.7365388465</v>
      </c>
      <c r="AQ186" s="350">
        <v>1721906.2476202222</v>
      </c>
      <c r="AR186" s="348">
        <v>13999448.880516946</v>
      </c>
      <c r="AS186" s="369"/>
      <c r="AT186" s="350">
        <f t="shared" si="99"/>
        <v>1619733.1720388401</v>
      </c>
      <c r="AU186" s="350">
        <f t="shared" si="82"/>
        <v>1639743.2675214622</v>
      </c>
      <c r="AV186" s="350">
        <f t="shared" si="83"/>
        <v>1658476.6661991267</v>
      </c>
      <c r="AW186" s="350">
        <f t="shared" si="84"/>
        <v>1675887.5628852069</v>
      </c>
      <c r="AX186" s="350">
        <f t="shared" si="85"/>
        <v>1691930.2640041581</v>
      </c>
      <c r="AY186" s="350">
        <f t="shared" si="86"/>
        <v>8285770.9326487957</v>
      </c>
      <c r="AZ186" s="365"/>
      <c r="BA186" s="377">
        <f t="shared" si="87"/>
        <v>0</v>
      </c>
      <c r="BB186" s="377">
        <f t="shared" si="88"/>
        <v>0</v>
      </c>
      <c r="BC186" s="377">
        <f t="shared" si="89"/>
        <v>0</v>
      </c>
      <c r="BD186" s="377">
        <f t="shared" si="90"/>
        <v>0</v>
      </c>
      <c r="BE186" s="377">
        <f t="shared" si="91"/>
        <v>0</v>
      </c>
      <c r="BF186" s="377">
        <f t="shared" si="92"/>
        <v>0</v>
      </c>
      <c r="BG186" s="328"/>
    </row>
    <row r="187" spans="2:59">
      <c r="B187" s="332">
        <v>172</v>
      </c>
      <c r="C187" s="350">
        <v>5426569.6441629939</v>
      </c>
      <c r="D187" s="350">
        <v>33519.77307043886</v>
      </c>
      <c r="E187" s="350">
        <v>32094.006521109568</v>
      </c>
      <c r="F187" s="350">
        <v>30629.874850974258</v>
      </c>
      <c r="G187" s="350">
        <v>29127.452845842454</v>
      </c>
      <c r="H187" s="348">
        <v>5551940.7514513591</v>
      </c>
      <c r="I187" s="369"/>
      <c r="J187" s="350">
        <v>6551007.9380543707</v>
      </c>
      <c r="K187" s="350">
        <v>1171849.3164672903</v>
      </c>
      <c r="L187" s="350">
        <v>1183428.5011108681</v>
      </c>
      <c r="M187" s="350">
        <v>1194051.2238083403</v>
      </c>
      <c r="N187" s="350">
        <v>1203685.8383145337</v>
      </c>
      <c r="O187" s="348">
        <v>11304022.817755403</v>
      </c>
      <c r="P187" s="369"/>
      <c r="Q187" s="350">
        <f t="shared" si="93"/>
        <v>1124438.2938913768</v>
      </c>
      <c r="R187" s="350">
        <f t="shared" si="94"/>
        <v>1138329.5433968515</v>
      </c>
      <c r="S187" s="350">
        <f t="shared" si="95"/>
        <v>1151334.4945897586</v>
      </c>
      <c r="T187" s="350">
        <f t="shared" si="96"/>
        <v>1163421.3489573661</v>
      </c>
      <c r="U187" s="350">
        <f t="shared" si="97"/>
        <v>1174558.3854686914</v>
      </c>
      <c r="V187" s="350">
        <f t="shared" si="98"/>
        <v>5752082.0663040439</v>
      </c>
      <c r="W187" s="365"/>
      <c r="X187" s="377">
        <f t="shared" si="76"/>
        <v>0</v>
      </c>
      <c r="Y187" s="377">
        <f t="shared" si="77"/>
        <v>0</v>
      </c>
      <c r="Z187" s="377">
        <f t="shared" si="78"/>
        <v>0</v>
      </c>
      <c r="AA187" s="377">
        <f t="shared" si="79"/>
        <v>0</v>
      </c>
      <c r="AB187" s="377">
        <f t="shared" si="80"/>
        <v>0</v>
      </c>
      <c r="AC187" s="377">
        <f t="shared" si="81"/>
        <v>0</v>
      </c>
      <c r="AD187" s="376"/>
      <c r="AE187" s="332">
        <v>172</v>
      </c>
      <c r="AF187" s="350">
        <v>5321681.8062636098</v>
      </c>
      <c r="AG187" s="350">
        <v>32871.883749047331</v>
      </c>
      <c r="AH187" s="350">
        <v>31473.675230025383</v>
      </c>
      <c r="AI187" s="350">
        <v>30037.843133164552</v>
      </c>
      <c r="AJ187" s="350">
        <v>28564.460798776003</v>
      </c>
      <c r="AK187" s="348">
        <v>5444629.6691746227</v>
      </c>
      <c r="AL187" s="369"/>
      <c r="AM187" s="350">
        <v>6648451.7935388908</v>
      </c>
      <c r="AN187" s="350">
        <v>1376032.7152616158</v>
      </c>
      <c r="AO187" s="350">
        <v>1389979.5719386733</v>
      </c>
      <c r="AP187" s="350">
        <v>1402805.5056520191</v>
      </c>
      <c r="AQ187" s="350">
        <v>1414473.1608211461</v>
      </c>
      <c r="AR187" s="348">
        <v>12231742.747212345</v>
      </c>
      <c r="AS187" s="369"/>
      <c r="AT187" s="350">
        <f t="shared" si="99"/>
        <v>1326769.987275281</v>
      </c>
      <c r="AU187" s="350">
        <f t="shared" si="82"/>
        <v>1343160.8315125685</v>
      </c>
      <c r="AV187" s="350">
        <f t="shared" si="83"/>
        <v>1358505.896708648</v>
      </c>
      <c r="AW187" s="350">
        <f t="shared" si="84"/>
        <v>1372767.6625188545</v>
      </c>
      <c r="AX187" s="350">
        <f t="shared" si="85"/>
        <v>1385908.7000223701</v>
      </c>
      <c r="AY187" s="350">
        <f t="shared" si="86"/>
        <v>6787113.078037722</v>
      </c>
      <c r="AZ187" s="365"/>
      <c r="BA187" s="377">
        <f t="shared" si="87"/>
        <v>0</v>
      </c>
      <c r="BB187" s="377">
        <f t="shared" si="88"/>
        <v>0</v>
      </c>
      <c r="BC187" s="377">
        <f t="shared" si="89"/>
        <v>0</v>
      </c>
      <c r="BD187" s="377">
        <f t="shared" si="90"/>
        <v>0</v>
      </c>
      <c r="BE187" s="377">
        <f t="shared" si="91"/>
        <v>0</v>
      </c>
      <c r="BF187" s="377">
        <f t="shared" si="92"/>
        <v>0</v>
      </c>
      <c r="BG187" s="328"/>
    </row>
    <row r="188" spans="2:59">
      <c r="B188" s="332">
        <v>173</v>
      </c>
      <c r="C188" s="350">
        <v>6478699.3323837239</v>
      </c>
      <c r="D188" s="350">
        <v>40018.749532994188</v>
      </c>
      <c r="E188" s="350">
        <v>38316.548437828911</v>
      </c>
      <c r="F188" s="350">
        <v>36568.543805839232</v>
      </c>
      <c r="G188" s="350">
        <v>34774.824922661115</v>
      </c>
      <c r="H188" s="348">
        <v>6628377.9990830477</v>
      </c>
      <c r="I188" s="369"/>
      <c r="J188" s="350">
        <v>9147285.1055597384</v>
      </c>
      <c r="K188" s="350">
        <v>2741572.0861612074</v>
      </c>
      <c r="L188" s="350">
        <v>2770734.0311225918</v>
      </c>
      <c r="M188" s="350">
        <v>2797671.2889750577</v>
      </c>
      <c r="N188" s="350">
        <v>2822308.6667122301</v>
      </c>
      <c r="O188" s="348">
        <v>20279571.178530827</v>
      </c>
      <c r="P188" s="369"/>
      <c r="Q188" s="350">
        <f t="shared" si="93"/>
        <v>2668585.7731760144</v>
      </c>
      <c r="R188" s="350">
        <f t="shared" si="94"/>
        <v>2701553.3366282131</v>
      </c>
      <c r="S188" s="350">
        <f t="shared" si="95"/>
        <v>2732417.4826847627</v>
      </c>
      <c r="T188" s="350">
        <f t="shared" si="96"/>
        <v>2761102.7451692186</v>
      </c>
      <c r="U188" s="350">
        <f t="shared" si="97"/>
        <v>2787533.8417895688</v>
      </c>
      <c r="V188" s="350">
        <f t="shared" si="98"/>
        <v>13651193.179447779</v>
      </c>
      <c r="W188" s="365"/>
      <c r="X188" s="377">
        <f t="shared" si="76"/>
        <v>0</v>
      </c>
      <c r="Y188" s="377">
        <f t="shared" si="77"/>
        <v>0</v>
      </c>
      <c r="Z188" s="377">
        <f t="shared" si="78"/>
        <v>0</v>
      </c>
      <c r="AA188" s="377">
        <f t="shared" si="79"/>
        <v>0</v>
      </c>
      <c r="AB188" s="377">
        <f t="shared" si="80"/>
        <v>0</v>
      </c>
      <c r="AC188" s="377">
        <f t="shared" si="81"/>
        <v>0</v>
      </c>
      <c r="AD188" s="376"/>
      <c r="AE188" s="332">
        <v>173</v>
      </c>
      <c r="AF188" s="350">
        <v>6552465.8952444699</v>
      </c>
      <c r="AG188" s="350">
        <v>40474.4035850781</v>
      </c>
      <c r="AH188" s="350">
        <v>38752.821204003405</v>
      </c>
      <c r="AI188" s="350">
        <v>36984.913766379243</v>
      </c>
      <c r="AJ188" s="350">
        <v>35170.771574453975</v>
      </c>
      <c r="AK188" s="348">
        <v>6703848.8053743849</v>
      </c>
      <c r="AL188" s="369"/>
      <c r="AM188" s="350">
        <v>9493557.3341922015</v>
      </c>
      <c r="AN188" s="350">
        <v>3017899.9261537492</v>
      </c>
      <c r="AO188" s="350">
        <v>3050194.2171426793</v>
      </c>
      <c r="AP188" s="350">
        <v>3080040.8003333975</v>
      </c>
      <c r="AQ188" s="350">
        <v>3107356.7961994279</v>
      </c>
      <c r="AR188" s="348">
        <v>21749049.074021451</v>
      </c>
      <c r="AS188" s="369"/>
      <c r="AT188" s="350">
        <f t="shared" si="99"/>
        <v>2941091.4389477316</v>
      </c>
      <c r="AU188" s="350">
        <f t="shared" si="82"/>
        <v>2977425.522568671</v>
      </c>
      <c r="AV188" s="350">
        <f t="shared" si="83"/>
        <v>3011441.3959386759</v>
      </c>
      <c r="AW188" s="350">
        <f t="shared" si="84"/>
        <v>3043055.886567018</v>
      </c>
      <c r="AX188" s="350">
        <f t="shared" si="85"/>
        <v>3072186.024624974</v>
      </c>
      <c r="AY188" s="350">
        <f t="shared" si="86"/>
        <v>15045200.268647067</v>
      </c>
      <c r="AZ188" s="365"/>
      <c r="BA188" s="377">
        <f t="shared" si="87"/>
        <v>0</v>
      </c>
      <c r="BB188" s="377">
        <f t="shared" si="88"/>
        <v>0</v>
      </c>
      <c r="BC188" s="377">
        <f t="shared" si="89"/>
        <v>0</v>
      </c>
      <c r="BD188" s="377">
        <f t="shared" si="90"/>
        <v>0</v>
      </c>
      <c r="BE188" s="377">
        <f t="shared" si="91"/>
        <v>0</v>
      </c>
      <c r="BF188" s="377">
        <f t="shared" si="92"/>
        <v>0</v>
      </c>
      <c r="BG188" s="328"/>
    </row>
    <row r="189" spans="2:59">
      <c r="B189" s="332">
        <v>174</v>
      </c>
      <c r="C189" s="350">
        <v>8765318.3089664597</v>
      </c>
      <c r="D189" s="350">
        <v>54143.13274736247</v>
      </c>
      <c r="E189" s="350">
        <v>51840.14974730125</v>
      </c>
      <c r="F189" s="350">
        <v>49475.197120409859</v>
      </c>
      <c r="G189" s="350">
        <v>47048.395665175944</v>
      </c>
      <c r="H189" s="348">
        <v>8967825.1842467096</v>
      </c>
      <c r="I189" s="369"/>
      <c r="J189" s="350">
        <v>11973398.244223023</v>
      </c>
      <c r="K189" s="350">
        <v>3301855.5129822367</v>
      </c>
      <c r="L189" s="350">
        <v>3336656.320565979</v>
      </c>
      <c r="M189" s="350">
        <v>3368775.7813459802</v>
      </c>
      <c r="N189" s="350">
        <v>3398123.5143977064</v>
      </c>
      <c r="O189" s="348">
        <v>25378809.373514924</v>
      </c>
      <c r="P189" s="369"/>
      <c r="Q189" s="350">
        <f t="shared" si="93"/>
        <v>3208079.9352565631</v>
      </c>
      <c r="R189" s="350">
        <f t="shared" si="94"/>
        <v>3247712.3802348743</v>
      </c>
      <c r="S189" s="350">
        <f t="shared" si="95"/>
        <v>3284816.1708186776</v>
      </c>
      <c r="T189" s="350">
        <f t="shared" si="96"/>
        <v>3319300.5842255703</v>
      </c>
      <c r="U189" s="350">
        <f t="shared" si="97"/>
        <v>3351075.1187325306</v>
      </c>
      <c r="V189" s="350">
        <f t="shared" si="98"/>
        <v>16410984.189268215</v>
      </c>
      <c r="W189" s="365"/>
      <c r="X189" s="377">
        <f t="shared" si="76"/>
        <v>0</v>
      </c>
      <c r="Y189" s="377">
        <f t="shared" si="77"/>
        <v>0</v>
      </c>
      <c r="Z189" s="377">
        <f t="shared" si="78"/>
        <v>0</v>
      </c>
      <c r="AA189" s="377">
        <f t="shared" si="79"/>
        <v>0</v>
      </c>
      <c r="AB189" s="377">
        <f t="shared" si="80"/>
        <v>0</v>
      </c>
      <c r="AC189" s="377">
        <f t="shared" si="81"/>
        <v>0</v>
      </c>
      <c r="AD189" s="376"/>
      <c r="AE189" s="332">
        <v>174</v>
      </c>
      <c r="AF189" s="350">
        <v>5903003.6354884943</v>
      </c>
      <c r="AG189" s="350">
        <v>36462.692874195622</v>
      </c>
      <c r="AH189" s="350">
        <v>34911.748967468389</v>
      </c>
      <c r="AI189" s="350">
        <v>33319.071615406981</v>
      </c>
      <c r="AJ189" s="350">
        <v>31684.742169755675</v>
      </c>
      <c r="AK189" s="348">
        <v>6039381.8911153218</v>
      </c>
      <c r="AL189" s="369"/>
      <c r="AM189" s="350">
        <v>8607964.1592733096</v>
      </c>
      <c r="AN189" s="350">
        <v>2774840.1518011903</v>
      </c>
      <c r="AO189" s="350">
        <v>2804574.0545433844</v>
      </c>
      <c r="AP189" s="350">
        <v>2832057.6405120655</v>
      </c>
      <c r="AQ189" s="350">
        <v>2857214.6826149859</v>
      </c>
      <c r="AR189" s="348">
        <v>19876650.688744932</v>
      </c>
      <c r="AS189" s="369"/>
      <c r="AT189" s="350">
        <f t="shared" si="99"/>
        <v>2704960.5237848153</v>
      </c>
      <c r="AU189" s="350">
        <f t="shared" si="82"/>
        <v>2738377.4589269948</v>
      </c>
      <c r="AV189" s="350">
        <f t="shared" si="83"/>
        <v>2769662.3055759161</v>
      </c>
      <c r="AW189" s="350">
        <f t="shared" si="84"/>
        <v>2798738.5688966587</v>
      </c>
      <c r="AX189" s="350">
        <f t="shared" si="85"/>
        <v>2825529.9404452303</v>
      </c>
      <c r="AY189" s="350">
        <f t="shared" si="86"/>
        <v>13837268.79762961</v>
      </c>
      <c r="AZ189" s="365"/>
      <c r="BA189" s="377">
        <f t="shared" si="87"/>
        <v>0</v>
      </c>
      <c r="BB189" s="377">
        <f t="shared" si="88"/>
        <v>0</v>
      </c>
      <c r="BC189" s="377">
        <f t="shared" si="89"/>
        <v>0</v>
      </c>
      <c r="BD189" s="377">
        <f t="shared" si="90"/>
        <v>0</v>
      </c>
      <c r="BE189" s="377">
        <f t="shared" si="91"/>
        <v>0</v>
      </c>
      <c r="BF189" s="377">
        <f t="shared" si="92"/>
        <v>0</v>
      </c>
      <c r="BG189" s="328"/>
    </row>
    <row r="190" spans="2:59">
      <c r="B190" s="332">
        <v>175</v>
      </c>
      <c r="C190" s="350">
        <v>4948473.8800812727</v>
      </c>
      <c r="D190" s="350">
        <v>30566.588541572779</v>
      </c>
      <c r="E190" s="350">
        <v>29266.435960644194</v>
      </c>
      <c r="F190" s="350">
        <v>27931.298331946738</v>
      </c>
      <c r="G190" s="350">
        <v>26561.243852455897</v>
      </c>
      <c r="H190" s="348">
        <v>5062799.4467678927</v>
      </c>
      <c r="I190" s="369"/>
      <c r="J190" s="350">
        <v>6517113.18978687</v>
      </c>
      <c r="K190" s="350">
        <v>1618584.78293439</v>
      </c>
      <c r="L190" s="350">
        <v>1635427.091147285</v>
      </c>
      <c r="M190" s="350">
        <v>1650953.6301394536</v>
      </c>
      <c r="N190" s="350">
        <v>1665120.2159186576</v>
      </c>
      <c r="O190" s="348">
        <v>13087198.909926657</v>
      </c>
      <c r="P190" s="369"/>
      <c r="Q190" s="350">
        <f t="shared" si="93"/>
        <v>1568639.3097055973</v>
      </c>
      <c r="R190" s="350">
        <f t="shared" si="94"/>
        <v>1588018.1943928173</v>
      </c>
      <c r="S190" s="350">
        <f t="shared" si="95"/>
        <v>1606160.6551866408</v>
      </c>
      <c r="T190" s="350">
        <f t="shared" si="96"/>
        <v>1623022.3318075067</v>
      </c>
      <c r="U190" s="350">
        <f t="shared" si="97"/>
        <v>1638558.9720662017</v>
      </c>
      <c r="V190" s="350">
        <f t="shared" si="98"/>
        <v>8024399.4631587639</v>
      </c>
      <c r="W190" s="365"/>
      <c r="X190" s="377">
        <f t="shared" si="76"/>
        <v>0</v>
      </c>
      <c r="Y190" s="377">
        <f t="shared" si="77"/>
        <v>0</v>
      </c>
      <c r="Z190" s="377">
        <f t="shared" si="78"/>
        <v>0</v>
      </c>
      <c r="AA190" s="377">
        <f t="shared" si="79"/>
        <v>0</v>
      </c>
      <c r="AB190" s="377">
        <f t="shared" si="80"/>
        <v>0</v>
      </c>
      <c r="AC190" s="377">
        <f t="shared" si="81"/>
        <v>0</v>
      </c>
      <c r="AD190" s="376"/>
      <c r="AE190" s="332">
        <v>175</v>
      </c>
      <c r="AF190" s="350">
        <v>4458225.5583729614</v>
      </c>
      <c r="AG190" s="350">
        <v>27538.337994839199</v>
      </c>
      <c r="AH190" s="350">
        <v>26366.992322101742</v>
      </c>
      <c r="AI190" s="350">
        <v>25164.127591592278</v>
      </c>
      <c r="AJ190" s="350">
        <v>23929.805243965598</v>
      </c>
      <c r="AK190" s="348">
        <v>4561224.8215254601</v>
      </c>
      <c r="AL190" s="369"/>
      <c r="AM190" s="350">
        <v>6205342.1938210279</v>
      </c>
      <c r="AN190" s="350">
        <v>1796238.7573019401</v>
      </c>
      <c r="AO190" s="350">
        <v>1815274.0932192495</v>
      </c>
      <c r="AP190" s="350">
        <v>1832851.4002870563</v>
      </c>
      <c r="AQ190" s="350">
        <v>1848921.4528119625</v>
      </c>
      <c r="AR190" s="348">
        <v>13498627.897441234</v>
      </c>
      <c r="AS190" s="369"/>
      <c r="AT190" s="350">
        <f t="shared" si="99"/>
        <v>1747116.6354480665</v>
      </c>
      <c r="AU190" s="350">
        <f t="shared" si="82"/>
        <v>1768700.4193071008</v>
      </c>
      <c r="AV190" s="350">
        <f t="shared" si="83"/>
        <v>1788907.1008971478</v>
      </c>
      <c r="AW190" s="350">
        <f t="shared" si="84"/>
        <v>1807687.2726954641</v>
      </c>
      <c r="AX190" s="350">
        <f t="shared" si="85"/>
        <v>1824991.6475679968</v>
      </c>
      <c r="AY190" s="350">
        <f t="shared" si="86"/>
        <v>8937403.0759157743</v>
      </c>
      <c r="AZ190" s="365"/>
      <c r="BA190" s="377">
        <f t="shared" si="87"/>
        <v>0</v>
      </c>
      <c r="BB190" s="377">
        <f t="shared" si="88"/>
        <v>0</v>
      </c>
      <c r="BC190" s="377">
        <f t="shared" si="89"/>
        <v>0</v>
      </c>
      <c r="BD190" s="377">
        <f t="shared" si="90"/>
        <v>0</v>
      </c>
      <c r="BE190" s="377">
        <f t="shared" si="91"/>
        <v>0</v>
      </c>
      <c r="BF190" s="377">
        <f t="shared" si="92"/>
        <v>0</v>
      </c>
      <c r="BG190" s="328"/>
    </row>
    <row r="191" spans="2:59">
      <c r="B191" s="332">
        <v>176</v>
      </c>
      <c r="C191" s="350">
        <v>5415631.0376033029</v>
      </c>
      <c r="D191" s="350">
        <v>33452.205595287742</v>
      </c>
      <c r="E191" s="350">
        <v>32029.313034565348</v>
      </c>
      <c r="F191" s="350">
        <v>30568.132687519686</v>
      </c>
      <c r="G191" s="350">
        <v>29068.739189211461</v>
      </c>
      <c r="H191" s="348">
        <v>5540749.4281098861</v>
      </c>
      <c r="I191" s="369"/>
      <c r="J191" s="350">
        <v>8260088.072910049</v>
      </c>
      <c r="K191" s="350">
        <v>2913049.5083579766</v>
      </c>
      <c r="L191" s="350">
        <v>2944524.8416184932</v>
      </c>
      <c r="M191" s="350">
        <v>2973639.4057364329</v>
      </c>
      <c r="N191" s="350">
        <v>3000313.0316285216</v>
      </c>
      <c r="O191" s="348">
        <v>20091614.860251475</v>
      </c>
      <c r="P191" s="369"/>
      <c r="Q191" s="350">
        <f t="shared" si="93"/>
        <v>2844457.0353067461</v>
      </c>
      <c r="R191" s="350">
        <f t="shared" si="94"/>
        <v>2879597.3027626886</v>
      </c>
      <c r="S191" s="350">
        <f t="shared" si="95"/>
        <v>2912495.528583928</v>
      </c>
      <c r="T191" s="350">
        <f t="shared" si="96"/>
        <v>2943071.2730489131</v>
      </c>
      <c r="U191" s="350">
        <f t="shared" si="97"/>
        <v>2971244.2924393103</v>
      </c>
      <c r="V191" s="350">
        <f t="shared" si="98"/>
        <v>14550865.432141589</v>
      </c>
      <c r="W191" s="365"/>
      <c r="X191" s="377">
        <f t="shared" si="76"/>
        <v>0</v>
      </c>
      <c r="Y191" s="377">
        <f t="shared" si="77"/>
        <v>0</v>
      </c>
      <c r="Z191" s="377">
        <f t="shared" si="78"/>
        <v>0</v>
      </c>
      <c r="AA191" s="377">
        <f t="shared" si="79"/>
        <v>0</v>
      </c>
      <c r="AB191" s="377">
        <f t="shared" si="80"/>
        <v>0</v>
      </c>
      <c r="AC191" s="377">
        <f t="shared" si="81"/>
        <v>0</v>
      </c>
      <c r="AD191" s="376"/>
      <c r="AE191" s="332">
        <v>176</v>
      </c>
      <c r="AF191" s="350">
        <v>6171615.0405501174</v>
      </c>
      <c r="AG191" s="350">
        <v>38121.898216096197</v>
      </c>
      <c r="AH191" s="350">
        <v>36500.379861566929</v>
      </c>
      <c r="AI191" s="350">
        <v>34835.22901503303</v>
      </c>
      <c r="AJ191" s="350">
        <v>33126.530730085105</v>
      </c>
      <c r="AK191" s="348">
        <v>6314199.0783728985</v>
      </c>
      <c r="AL191" s="369"/>
      <c r="AM191" s="350">
        <v>8376054.1852300968</v>
      </c>
      <c r="AN191" s="350">
        <v>2269794.564152638</v>
      </c>
      <c r="AO191" s="350">
        <v>2293668.996656457</v>
      </c>
      <c r="AP191" s="350">
        <v>2315699.8859116789</v>
      </c>
      <c r="AQ191" s="350">
        <v>2335825.1285149669</v>
      </c>
      <c r="AR191" s="348">
        <v>17591042.760465838</v>
      </c>
      <c r="AS191" s="369"/>
      <c r="AT191" s="350">
        <f t="shared" si="99"/>
        <v>2204439.1446799794</v>
      </c>
      <c r="AU191" s="350">
        <f t="shared" si="82"/>
        <v>2231672.6659365417</v>
      </c>
      <c r="AV191" s="350">
        <f t="shared" si="83"/>
        <v>2257168.6167948903</v>
      </c>
      <c r="AW191" s="350">
        <f t="shared" si="84"/>
        <v>2280864.6568966457</v>
      </c>
      <c r="AX191" s="350">
        <f t="shared" si="85"/>
        <v>2302698.5977848819</v>
      </c>
      <c r="AY191" s="350">
        <f t="shared" si="86"/>
        <v>11276843.682092939</v>
      </c>
      <c r="AZ191" s="365"/>
      <c r="BA191" s="377">
        <f t="shared" si="87"/>
        <v>0</v>
      </c>
      <c r="BB191" s="377">
        <f t="shared" si="88"/>
        <v>0</v>
      </c>
      <c r="BC191" s="377">
        <f t="shared" si="89"/>
        <v>0</v>
      </c>
      <c r="BD191" s="377">
        <f t="shared" si="90"/>
        <v>0</v>
      </c>
      <c r="BE191" s="377">
        <f t="shared" si="91"/>
        <v>0</v>
      </c>
      <c r="BF191" s="377">
        <f t="shared" si="92"/>
        <v>0</v>
      </c>
      <c r="BG191" s="328"/>
    </row>
    <row r="192" spans="2:59">
      <c r="B192" s="332">
        <v>177</v>
      </c>
      <c r="C192" s="350">
        <v>7159076.5448653204</v>
      </c>
      <c r="D192" s="350">
        <v>44221.42106586742</v>
      </c>
      <c r="E192" s="350">
        <v>42340.458960694028</v>
      </c>
      <c r="F192" s="350">
        <v>40408.883142896455</v>
      </c>
      <c r="G192" s="350">
        <v>38426.792274679698</v>
      </c>
      <c r="H192" s="348">
        <v>7324474.1003094586</v>
      </c>
      <c r="I192" s="369"/>
      <c r="J192" s="350">
        <v>9306986.8258519862</v>
      </c>
      <c r="K192" s="350">
        <v>2218666.8688025894</v>
      </c>
      <c r="L192" s="350">
        <v>2241628.0599064706</v>
      </c>
      <c r="M192" s="350">
        <v>2262784.8820043369</v>
      </c>
      <c r="N192" s="350">
        <v>2282076.8400122104</v>
      </c>
      <c r="O192" s="348">
        <v>18312143.476577595</v>
      </c>
      <c r="P192" s="369"/>
      <c r="Q192" s="350">
        <f t="shared" si="93"/>
        <v>2147910.2809866657</v>
      </c>
      <c r="R192" s="350">
        <f t="shared" si="94"/>
        <v>2174445.447736722</v>
      </c>
      <c r="S192" s="350">
        <f t="shared" si="95"/>
        <v>2199287.6009457763</v>
      </c>
      <c r="T192" s="350">
        <f t="shared" si="96"/>
        <v>2222375.9988614405</v>
      </c>
      <c r="U192" s="350">
        <f t="shared" si="97"/>
        <v>2243650.0477375309</v>
      </c>
      <c r="V192" s="350">
        <f t="shared" si="98"/>
        <v>10987669.376268137</v>
      </c>
      <c r="W192" s="365"/>
      <c r="X192" s="377">
        <f t="shared" si="76"/>
        <v>0</v>
      </c>
      <c r="Y192" s="377">
        <f t="shared" si="77"/>
        <v>0</v>
      </c>
      <c r="Z192" s="377">
        <f t="shared" si="78"/>
        <v>0</v>
      </c>
      <c r="AA192" s="377">
        <f t="shared" si="79"/>
        <v>0</v>
      </c>
      <c r="AB192" s="377">
        <f t="shared" si="80"/>
        <v>0</v>
      </c>
      <c r="AC192" s="377">
        <f t="shared" si="81"/>
        <v>0</v>
      </c>
      <c r="AD192" s="376"/>
      <c r="AE192" s="332">
        <v>177</v>
      </c>
      <c r="AF192" s="350">
        <v>5955880.7620987063</v>
      </c>
      <c r="AG192" s="350">
        <v>36789.313446825741</v>
      </c>
      <c r="AH192" s="350">
        <v>35224.476704791785</v>
      </c>
      <c r="AI192" s="350">
        <v>33617.532683218356</v>
      </c>
      <c r="AJ192" s="350">
        <v>31968.563462571503</v>
      </c>
      <c r="AK192" s="348">
        <v>6093480.648396113</v>
      </c>
      <c r="AL192" s="369"/>
      <c r="AM192" s="350">
        <v>8171829.8247923963</v>
      </c>
      <c r="AN192" s="350">
        <v>2280114.0902979998</v>
      </c>
      <c r="AO192" s="350">
        <v>2304178.3250335734</v>
      </c>
      <c r="AP192" s="350">
        <v>2326391.1439570375</v>
      </c>
      <c r="AQ192" s="350">
        <v>2346690.1159907281</v>
      </c>
      <c r="AR192" s="348">
        <v>17429203.500071734</v>
      </c>
      <c r="AS192" s="369"/>
      <c r="AT192" s="350">
        <f t="shared" si="99"/>
        <v>2215949.0626936899</v>
      </c>
      <c r="AU192" s="350">
        <f t="shared" si="82"/>
        <v>2243324.776851174</v>
      </c>
      <c r="AV192" s="350">
        <f t="shared" si="83"/>
        <v>2268953.8483287818</v>
      </c>
      <c r="AW192" s="350">
        <f t="shared" si="84"/>
        <v>2292773.6112738191</v>
      </c>
      <c r="AX192" s="350">
        <f t="shared" si="85"/>
        <v>2314721.5525281564</v>
      </c>
      <c r="AY192" s="350">
        <f t="shared" si="86"/>
        <v>11335722.851675622</v>
      </c>
      <c r="AZ192" s="365"/>
      <c r="BA192" s="377">
        <f t="shared" si="87"/>
        <v>0</v>
      </c>
      <c r="BB192" s="377">
        <f t="shared" si="88"/>
        <v>0</v>
      </c>
      <c r="BC192" s="377">
        <f t="shared" si="89"/>
        <v>0</v>
      </c>
      <c r="BD192" s="377">
        <f t="shared" si="90"/>
        <v>0</v>
      </c>
      <c r="BE192" s="377">
        <f t="shared" si="91"/>
        <v>0</v>
      </c>
      <c r="BF192" s="377">
        <f t="shared" si="92"/>
        <v>0</v>
      </c>
      <c r="BG192" s="328"/>
    </row>
    <row r="193" spans="2:59">
      <c r="B193" s="332">
        <v>178</v>
      </c>
      <c r="C193" s="350">
        <v>5303107.0073159933</v>
      </c>
      <c r="D193" s="350">
        <v>32757.147721247584</v>
      </c>
      <c r="E193" s="350">
        <v>31363.819509441528</v>
      </c>
      <c r="F193" s="350">
        <v>29932.999041140589</v>
      </c>
      <c r="G193" s="350">
        <v>28464.759400665374</v>
      </c>
      <c r="H193" s="348">
        <v>5425625.7329884898</v>
      </c>
      <c r="I193" s="369"/>
      <c r="J193" s="350">
        <v>7322424.8239613399</v>
      </c>
      <c r="K193" s="350">
        <v>2077021.5068085042</v>
      </c>
      <c r="L193" s="350">
        <v>2098983.065913422</v>
      </c>
      <c r="M193" s="350">
        <v>2119258.3724102923</v>
      </c>
      <c r="N193" s="350">
        <v>2137790.5333023523</v>
      </c>
      <c r="O193" s="348">
        <v>15755478.30239591</v>
      </c>
      <c r="P193" s="369"/>
      <c r="Q193" s="350">
        <f t="shared" si="93"/>
        <v>2019317.8166453466</v>
      </c>
      <c r="R193" s="350">
        <f t="shared" si="94"/>
        <v>2044264.3590872567</v>
      </c>
      <c r="S193" s="350">
        <f t="shared" si="95"/>
        <v>2067619.2464039805</v>
      </c>
      <c r="T193" s="350">
        <f t="shared" si="96"/>
        <v>2089325.3733691517</v>
      </c>
      <c r="U193" s="350">
        <f t="shared" si="97"/>
        <v>2109325.773901687</v>
      </c>
      <c r="V193" s="350">
        <f t="shared" si="98"/>
        <v>10329852.56940742</v>
      </c>
      <c r="W193" s="365"/>
      <c r="X193" s="377">
        <f t="shared" si="76"/>
        <v>0</v>
      </c>
      <c r="Y193" s="377">
        <f t="shared" si="77"/>
        <v>0</v>
      </c>
      <c r="Z193" s="377">
        <f t="shared" si="78"/>
        <v>0</v>
      </c>
      <c r="AA193" s="377">
        <f t="shared" si="79"/>
        <v>0</v>
      </c>
      <c r="AB193" s="377">
        <f t="shared" si="80"/>
        <v>0</v>
      </c>
      <c r="AC193" s="377">
        <f t="shared" si="81"/>
        <v>0</v>
      </c>
      <c r="AD193" s="376"/>
      <c r="AE193" s="332">
        <v>178</v>
      </c>
      <c r="AF193" s="350">
        <v>4557571.1280443957</v>
      </c>
      <c r="AG193" s="350">
        <v>28151.992876154178</v>
      </c>
      <c r="AH193" s="350">
        <v>26954.545338087602</v>
      </c>
      <c r="AI193" s="350">
        <v>25724.876382369788</v>
      </c>
      <c r="AJ193" s="350">
        <v>24463.048818783511</v>
      </c>
      <c r="AK193" s="348">
        <v>4662865.5914597912</v>
      </c>
      <c r="AL193" s="369"/>
      <c r="AM193" s="350">
        <v>5890315.6946493573</v>
      </c>
      <c r="AN193" s="350">
        <v>1377361.213346384</v>
      </c>
      <c r="AO193" s="350">
        <v>1391577.9313836729</v>
      </c>
      <c r="AP193" s="350">
        <v>1404674.2504108299</v>
      </c>
      <c r="AQ193" s="350">
        <v>1416612.6357706082</v>
      </c>
      <c r="AR193" s="348">
        <v>11480541.725560853</v>
      </c>
      <c r="AS193" s="369"/>
      <c r="AT193" s="350">
        <f t="shared" si="99"/>
        <v>1332744.5666049616</v>
      </c>
      <c r="AU193" s="350">
        <f t="shared" si="82"/>
        <v>1349209.2204702299</v>
      </c>
      <c r="AV193" s="350">
        <f t="shared" si="83"/>
        <v>1364623.3860455852</v>
      </c>
      <c r="AW193" s="350">
        <f t="shared" si="84"/>
        <v>1378949.3740284601</v>
      </c>
      <c r="AX193" s="350">
        <f t="shared" si="85"/>
        <v>1392149.5869518246</v>
      </c>
      <c r="AY193" s="350">
        <f t="shared" si="86"/>
        <v>6817676.1341010621</v>
      </c>
      <c r="AZ193" s="365"/>
      <c r="BA193" s="377">
        <f t="shared" si="87"/>
        <v>0</v>
      </c>
      <c r="BB193" s="377">
        <f t="shared" si="88"/>
        <v>0</v>
      </c>
      <c r="BC193" s="377">
        <f t="shared" si="89"/>
        <v>0</v>
      </c>
      <c r="BD193" s="377">
        <f t="shared" si="90"/>
        <v>0</v>
      </c>
      <c r="BE193" s="377">
        <f t="shared" si="91"/>
        <v>0</v>
      </c>
      <c r="BF193" s="377">
        <f t="shared" si="92"/>
        <v>0</v>
      </c>
      <c r="BG193" s="328"/>
    </row>
    <row r="194" spans="2:59">
      <c r="B194" s="332">
        <v>179</v>
      </c>
      <c r="C194" s="350">
        <v>5692088.7312973738</v>
      </c>
      <c r="D194" s="350">
        <v>35159.877248625147</v>
      </c>
      <c r="E194" s="350">
        <v>33664.348721202179</v>
      </c>
      <c r="F194" s="350">
        <v>32128.577888578155</v>
      </c>
      <c r="G194" s="350">
        <v>30552.643195789446</v>
      </c>
      <c r="H194" s="348">
        <v>5823594.178351569</v>
      </c>
      <c r="I194" s="369"/>
      <c r="J194" s="350">
        <v>7257929.6787001733</v>
      </c>
      <c r="K194" s="350">
        <v>1620345.1385230045</v>
      </c>
      <c r="L194" s="350">
        <v>1636959.7056828749</v>
      </c>
      <c r="M194" s="350">
        <v>1652255.5312098821</v>
      </c>
      <c r="N194" s="350">
        <v>1666188.520303214</v>
      </c>
      <c r="O194" s="348">
        <v>13833678.57441915</v>
      </c>
      <c r="P194" s="369"/>
      <c r="Q194" s="350">
        <f t="shared" si="93"/>
        <v>1565840.9474027995</v>
      </c>
      <c r="R194" s="350">
        <f t="shared" si="94"/>
        <v>1585185.2612743794</v>
      </c>
      <c r="S194" s="350">
        <f t="shared" si="95"/>
        <v>1603295.3569616727</v>
      </c>
      <c r="T194" s="350">
        <f t="shared" si="96"/>
        <v>1620126.9533213039</v>
      </c>
      <c r="U194" s="350">
        <f t="shared" si="97"/>
        <v>1635635.8771074244</v>
      </c>
      <c r="V194" s="350">
        <f t="shared" si="98"/>
        <v>8010084.3960675811</v>
      </c>
      <c r="W194" s="365"/>
      <c r="X194" s="377">
        <f t="shared" si="76"/>
        <v>0</v>
      </c>
      <c r="Y194" s="377">
        <f t="shared" si="77"/>
        <v>0</v>
      </c>
      <c r="Z194" s="377">
        <f t="shared" si="78"/>
        <v>0</v>
      </c>
      <c r="AA194" s="377">
        <f t="shared" si="79"/>
        <v>0</v>
      </c>
      <c r="AB194" s="377">
        <f t="shared" si="80"/>
        <v>0</v>
      </c>
      <c r="AC194" s="377">
        <f t="shared" si="81"/>
        <v>0</v>
      </c>
      <c r="AD194" s="376"/>
      <c r="AE194" s="332">
        <v>179</v>
      </c>
      <c r="AF194" s="350">
        <v>6125639.7034928231</v>
      </c>
      <c r="AG194" s="350">
        <v>37837.909809784229</v>
      </c>
      <c r="AH194" s="350">
        <v>36228.470927547634</v>
      </c>
      <c r="AI194" s="350">
        <v>34575.724592783736</v>
      </c>
      <c r="AJ194" s="350">
        <v>32879.755225481909</v>
      </c>
      <c r="AK194" s="348">
        <v>6267161.5640484197</v>
      </c>
      <c r="AL194" s="369"/>
      <c r="AM194" s="350">
        <v>8192292.5389051298</v>
      </c>
      <c r="AN194" s="350">
        <v>2130022.0619104938</v>
      </c>
      <c r="AO194" s="350">
        <v>2152314.9744540621</v>
      </c>
      <c r="AP194" s="350">
        <v>2172877.1704471502</v>
      </c>
      <c r="AQ194" s="350">
        <v>2191650.4328814191</v>
      </c>
      <c r="AR194" s="348">
        <v>16839157.178598255</v>
      </c>
      <c r="AS194" s="369"/>
      <c r="AT194" s="350">
        <f t="shared" si="99"/>
        <v>2066652.8354123067</v>
      </c>
      <c r="AU194" s="350">
        <f t="shared" si="82"/>
        <v>2092184.1521007095</v>
      </c>
      <c r="AV194" s="350">
        <f t="shared" si="83"/>
        <v>2116086.5035265144</v>
      </c>
      <c r="AW194" s="350">
        <f t="shared" si="84"/>
        <v>2138301.4458543663</v>
      </c>
      <c r="AX194" s="350">
        <f t="shared" si="85"/>
        <v>2158770.6776559372</v>
      </c>
      <c r="AY194" s="350">
        <f t="shared" si="86"/>
        <v>10571995.614549834</v>
      </c>
      <c r="AZ194" s="365"/>
      <c r="BA194" s="377">
        <f t="shared" si="87"/>
        <v>0</v>
      </c>
      <c r="BB194" s="377">
        <f t="shared" si="88"/>
        <v>0</v>
      </c>
      <c r="BC194" s="377">
        <f t="shared" si="89"/>
        <v>0</v>
      </c>
      <c r="BD194" s="377">
        <f t="shared" si="90"/>
        <v>0</v>
      </c>
      <c r="BE194" s="377">
        <f t="shared" si="91"/>
        <v>0</v>
      </c>
      <c r="BF194" s="377">
        <f t="shared" si="92"/>
        <v>0</v>
      </c>
      <c r="BG194" s="328"/>
    </row>
    <row r="195" spans="2:59">
      <c r="B195" s="332">
        <v>180</v>
      </c>
      <c r="C195" s="350">
        <v>4857655.7349389149</v>
      </c>
      <c r="D195" s="350">
        <v>30005.607329597598</v>
      </c>
      <c r="E195" s="350">
        <v>28729.316134757151</v>
      </c>
      <c r="F195" s="350">
        <v>27418.681964274823</v>
      </c>
      <c r="G195" s="350">
        <v>26073.771763523953</v>
      </c>
      <c r="H195" s="348">
        <v>4969883.1121310685</v>
      </c>
      <c r="I195" s="369"/>
      <c r="J195" s="350">
        <v>6508507.1291207839</v>
      </c>
      <c r="K195" s="350">
        <v>1701251.5298173968</v>
      </c>
      <c r="L195" s="350">
        <v>1719068.5422966788</v>
      </c>
      <c r="M195" s="350">
        <v>1735503.3019752284</v>
      </c>
      <c r="N195" s="350">
        <v>1750509.3043604852</v>
      </c>
      <c r="O195" s="348">
        <v>13414839.807570571</v>
      </c>
      <c r="P195" s="369"/>
      <c r="Q195" s="350">
        <f t="shared" si="93"/>
        <v>1650851.394181869</v>
      </c>
      <c r="R195" s="350">
        <f t="shared" si="94"/>
        <v>1671245.9224877991</v>
      </c>
      <c r="S195" s="350">
        <f t="shared" si="95"/>
        <v>1690339.2261619216</v>
      </c>
      <c r="T195" s="350">
        <f t="shared" si="96"/>
        <v>1708084.6200109536</v>
      </c>
      <c r="U195" s="350">
        <f t="shared" si="97"/>
        <v>1724435.5325969611</v>
      </c>
      <c r="V195" s="350">
        <f t="shared" si="98"/>
        <v>8444956.6954395026</v>
      </c>
      <c r="W195" s="365"/>
      <c r="X195" s="377">
        <f t="shared" si="76"/>
        <v>0</v>
      </c>
      <c r="Y195" s="377">
        <f t="shared" si="77"/>
        <v>0</v>
      </c>
      <c r="Z195" s="377">
        <f t="shared" si="78"/>
        <v>0</v>
      </c>
      <c r="AA195" s="377">
        <f t="shared" si="79"/>
        <v>0</v>
      </c>
      <c r="AB195" s="377">
        <f t="shared" si="80"/>
        <v>0</v>
      </c>
      <c r="AC195" s="377">
        <f t="shared" si="81"/>
        <v>0</v>
      </c>
      <c r="AD195" s="376"/>
      <c r="AE195" s="332">
        <v>180</v>
      </c>
      <c r="AF195" s="350">
        <v>5134464.5243399348</v>
      </c>
      <c r="AG195" s="350">
        <v>31715.447691566987</v>
      </c>
      <c r="AH195" s="350">
        <v>30366.428283808749</v>
      </c>
      <c r="AI195" s="350">
        <v>28981.108899332648</v>
      </c>
      <c r="AJ195" s="350">
        <v>27559.560298323428</v>
      </c>
      <c r="AK195" s="348">
        <v>5253087.069512967</v>
      </c>
      <c r="AL195" s="369"/>
      <c r="AM195" s="350">
        <v>6849994.4006265309</v>
      </c>
      <c r="AN195" s="350">
        <v>1768438.8867330556</v>
      </c>
      <c r="AO195" s="350">
        <v>1786931.2249456176</v>
      </c>
      <c r="AP195" s="350">
        <v>1803986.5437807776</v>
      </c>
      <c r="AQ195" s="350">
        <v>1819556.5179447504</v>
      </c>
      <c r="AR195" s="348">
        <v>14028907.574030731</v>
      </c>
      <c r="AS195" s="369"/>
      <c r="AT195" s="350">
        <f t="shared" si="99"/>
        <v>1715529.8762865961</v>
      </c>
      <c r="AU195" s="350">
        <f t="shared" si="82"/>
        <v>1736723.4390414886</v>
      </c>
      <c r="AV195" s="350">
        <f t="shared" si="83"/>
        <v>1756564.7966618089</v>
      </c>
      <c r="AW195" s="350">
        <f t="shared" si="84"/>
        <v>1775005.434881445</v>
      </c>
      <c r="AX195" s="350">
        <f t="shared" si="85"/>
        <v>1791996.957646427</v>
      </c>
      <c r="AY195" s="350">
        <f t="shared" si="86"/>
        <v>8775820.5045177639</v>
      </c>
      <c r="AZ195" s="365"/>
      <c r="BA195" s="377">
        <f t="shared" si="87"/>
        <v>0</v>
      </c>
      <c r="BB195" s="377">
        <f t="shared" si="88"/>
        <v>0</v>
      </c>
      <c r="BC195" s="377">
        <f t="shared" si="89"/>
        <v>0</v>
      </c>
      <c r="BD195" s="377">
        <f t="shared" si="90"/>
        <v>0</v>
      </c>
      <c r="BE195" s="377">
        <f t="shared" si="91"/>
        <v>0</v>
      </c>
      <c r="BF195" s="377">
        <f t="shared" si="92"/>
        <v>0</v>
      </c>
      <c r="BG195" s="328"/>
    </row>
    <row r="196" spans="2:59">
      <c r="B196" s="332">
        <v>181</v>
      </c>
      <c r="C196" s="350">
        <v>4839502.8414338492</v>
      </c>
      <c r="D196" s="350">
        <v>29893.477400238007</v>
      </c>
      <c r="E196" s="350">
        <v>28621.955661984888</v>
      </c>
      <c r="F196" s="350">
        <v>27316.219286616168</v>
      </c>
      <c r="G196" s="350">
        <v>25976.334969332536</v>
      </c>
      <c r="H196" s="348">
        <v>4951310.8287520204</v>
      </c>
      <c r="I196" s="369"/>
      <c r="J196" s="350">
        <v>6394670.9289188944</v>
      </c>
      <c r="K196" s="350">
        <v>1604274.0268261191</v>
      </c>
      <c r="L196" s="350">
        <v>1620989.1613449366</v>
      </c>
      <c r="M196" s="350">
        <v>1636400.2962222612</v>
      </c>
      <c r="N196" s="350">
        <v>1650463.625994771</v>
      </c>
      <c r="O196" s="348">
        <v>12906798.039306983</v>
      </c>
      <c r="P196" s="369"/>
      <c r="Q196" s="350">
        <f t="shared" si="93"/>
        <v>1555168.0874850452</v>
      </c>
      <c r="R196" s="350">
        <f t="shared" si="94"/>
        <v>1574380.5494258811</v>
      </c>
      <c r="S196" s="350">
        <f t="shared" si="95"/>
        <v>1592367.2056829517</v>
      </c>
      <c r="T196" s="350">
        <f t="shared" si="96"/>
        <v>1609084.076935645</v>
      </c>
      <c r="U196" s="350">
        <f t="shared" si="97"/>
        <v>1624487.2910254386</v>
      </c>
      <c r="V196" s="350">
        <f t="shared" si="98"/>
        <v>7955487.210554963</v>
      </c>
      <c r="W196" s="365"/>
      <c r="X196" s="377">
        <f t="shared" si="76"/>
        <v>0</v>
      </c>
      <c r="Y196" s="377">
        <f t="shared" si="77"/>
        <v>0</v>
      </c>
      <c r="Z196" s="377">
        <f t="shared" si="78"/>
        <v>0</v>
      </c>
      <c r="AA196" s="377">
        <f t="shared" si="79"/>
        <v>0</v>
      </c>
      <c r="AB196" s="377">
        <f t="shared" si="80"/>
        <v>0</v>
      </c>
      <c r="AC196" s="377">
        <f t="shared" si="81"/>
        <v>0</v>
      </c>
      <c r="AD196" s="376"/>
      <c r="AE196" s="332">
        <v>181</v>
      </c>
      <c r="AF196" s="350">
        <v>6392479.0567084327</v>
      </c>
      <c r="AG196" s="350">
        <v>39486.16923563899</v>
      </c>
      <c r="AH196" s="350">
        <v>37806.621491117075</v>
      </c>
      <c r="AI196" s="350">
        <v>36081.879775570575</v>
      </c>
      <c r="AJ196" s="350">
        <v>34312.032186410011</v>
      </c>
      <c r="AK196" s="348">
        <v>6540165.7593971705</v>
      </c>
      <c r="AL196" s="369"/>
      <c r="AM196" s="350">
        <v>8543261.2153663225</v>
      </c>
      <c r="AN196" s="350">
        <v>2216838.9736640854</v>
      </c>
      <c r="AO196" s="350">
        <v>2240034.7944941479</v>
      </c>
      <c r="AP196" s="350">
        <v>2261429.3211896573</v>
      </c>
      <c r="AQ196" s="350">
        <v>2280961.9670845857</v>
      </c>
      <c r="AR196" s="348">
        <v>17542526.271798801</v>
      </c>
      <c r="AS196" s="369"/>
      <c r="AT196" s="350">
        <f t="shared" si="99"/>
        <v>2150782.1586578898</v>
      </c>
      <c r="AU196" s="350">
        <f t="shared" si="82"/>
        <v>2177352.8044284466</v>
      </c>
      <c r="AV196" s="350">
        <f t="shared" si="83"/>
        <v>2202228.1730030309</v>
      </c>
      <c r="AW196" s="350">
        <f t="shared" si="84"/>
        <v>2225347.4414140866</v>
      </c>
      <c r="AX196" s="350">
        <f t="shared" si="85"/>
        <v>2246649.9348981758</v>
      </c>
      <c r="AY196" s="350">
        <f t="shared" si="86"/>
        <v>11002360.512401629</v>
      </c>
      <c r="AZ196" s="365"/>
      <c r="BA196" s="377">
        <f t="shared" si="87"/>
        <v>0</v>
      </c>
      <c r="BB196" s="377">
        <f t="shared" si="88"/>
        <v>0</v>
      </c>
      <c r="BC196" s="377">
        <f t="shared" si="89"/>
        <v>0</v>
      </c>
      <c r="BD196" s="377">
        <f t="shared" si="90"/>
        <v>0</v>
      </c>
      <c r="BE196" s="377">
        <f t="shared" si="91"/>
        <v>0</v>
      </c>
      <c r="BF196" s="377">
        <f t="shared" si="92"/>
        <v>0</v>
      </c>
      <c r="BG196" s="328"/>
    </row>
    <row r="197" spans="2:59">
      <c r="B197" s="332">
        <v>182</v>
      </c>
      <c r="C197" s="350">
        <v>6311711.5487254048</v>
      </c>
      <c r="D197" s="350">
        <v>38987.270535984491</v>
      </c>
      <c r="E197" s="350">
        <v>37328.943492330858</v>
      </c>
      <c r="F197" s="350">
        <v>35625.993493119102</v>
      </c>
      <c r="G197" s="350">
        <v>33878.507522667314</v>
      </c>
      <c r="H197" s="348">
        <v>6457532.2637695065</v>
      </c>
      <c r="I197" s="369"/>
      <c r="J197" s="350">
        <v>7757929.3824222907</v>
      </c>
      <c r="K197" s="350">
        <v>1503071.6006660578</v>
      </c>
      <c r="L197" s="350">
        <v>1518139.8405169311</v>
      </c>
      <c r="M197" s="350">
        <v>1531982.6296077997</v>
      </c>
      <c r="N197" s="350">
        <v>1544559.2563118369</v>
      </c>
      <c r="O197" s="348">
        <v>13855682.709524916</v>
      </c>
      <c r="P197" s="369"/>
      <c r="Q197" s="350">
        <f t="shared" si="93"/>
        <v>1446217.833696886</v>
      </c>
      <c r="R197" s="350">
        <f t="shared" si="94"/>
        <v>1464084.3301300732</v>
      </c>
      <c r="S197" s="350">
        <f t="shared" si="95"/>
        <v>1480810.8970246003</v>
      </c>
      <c r="T197" s="350">
        <f t="shared" si="96"/>
        <v>1496356.6361146807</v>
      </c>
      <c r="U197" s="350">
        <f t="shared" si="97"/>
        <v>1510680.7487891696</v>
      </c>
      <c r="V197" s="350">
        <f t="shared" si="98"/>
        <v>7398150.44575541</v>
      </c>
      <c r="W197" s="365"/>
      <c r="X197" s="377">
        <f t="shared" si="76"/>
        <v>0</v>
      </c>
      <c r="Y197" s="377">
        <f t="shared" si="77"/>
        <v>0</v>
      </c>
      <c r="Z197" s="377">
        <f t="shared" si="78"/>
        <v>0</v>
      </c>
      <c r="AA197" s="377">
        <f t="shared" si="79"/>
        <v>0</v>
      </c>
      <c r="AB197" s="377">
        <f t="shared" si="80"/>
        <v>0</v>
      </c>
      <c r="AC197" s="377">
        <f t="shared" si="81"/>
        <v>0</v>
      </c>
      <c r="AD197" s="376"/>
      <c r="AE197" s="332">
        <v>182</v>
      </c>
      <c r="AF197" s="350">
        <v>6033986.3105679005</v>
      </c>
      <c r="AG197" s="350">
        <v>37271.769294976504</v>
      </c>
      <c r="AH197" s="350">
        <v>35686.411250238081</v>
      </c>
      <c r="AI197" s="350">
        <v>34058.393730187207</v>
      </c>
      <c r="AJ197" s="350">
        <v>32387.799891700175</v>
      </c>
      <c r="AK197" s="348">
        <v>6173390.684735002</v>
      </c>
      <c r="AL197" s="369"/>
      <c r="AM197" s="350">
        <v>7895627.5999739533</v>
      </c>
      <c r="AN197" s="350">
        <v>1921911.6739041223</v>
      </c>
      <c r="AO197" s="350">
        <v>1941857.5588266109</v>
      </c>
      <c r="AP197" s="350">
        <v>1960240.765819292</v>
      </c>
      <c r="AQ197" s="350">
        <v>1977008.8601006784</v>
      </c>
      <c r="AR197" s="348">
        <v>15696646.458624657</v>
      </c>
      <c r="AS197" s="369"/>
      <c r="AT197" s="350">
        <f t="shared" si="99"/>
        <v>1861641.2894060528</v>
      </c>
      <c r="AU197" s="350">
        <f t="shared" si="82"/>
        <v>1884639.9046091458</v>
      </c>
      <c r="AV197" s="350">
        <f t="shared" si="83"/>
        <v>1906171.1475763728</v>
      </c>
      <c r="AW197" s="350">
        <f t="shared" si="84"/>
        <v>1926182.3720891047</v>
      </c>
      <c r="AX197" s="350">
        <f t="shared" si="85"/>
        <v>1944621.0602089781</v>
      </c>
      <c r="AY197" s="350">
        <f t="shared" si="86"/>
        <v>9523255.7738896552</v>
      </c>
      <c r="AZ197" s="365"/>
      <c r="BA197" s="377">
        <f t="shared" si="87"/>
        <v>0</v>
      </c>
      <c r="BB197" s="377">
        <f t="shared" si="88"/>
        <v>0</v>
      </c>
      <c r="BC197" s="377">
        <f t="shared" si="89"/>
        <v>0</v>
      </c>
      <c r="BD197" s="377">
        <f t="shared" si="90"/>
        <v>0</v>
      </c>
      <c r="BE197" s="377">
        <f t="shared" si="91"/>
        <v>0</v>
      </c>
      <c r="BF197" s="377">
        <f t="shared" si="92"/>
        <v>0</v>
      </c>
      <c r="BG197" s="328"/>
    </row>
    <row r="198" spans="2:59">
      <c r="B198" s="332">
        <v>183</v>
      </c>
      <c r="C198" s="350">
        <v>5994607.2222324964</v>
      </c>
      <c r="D198" s="350">
        <v>37028.525737578319</v>
      </c>
      <c r="E198" s="350">
        <v>35453.514079334709</v>
      </c>
      <c r="F198" s="350">
        <v>33836.121350663998</v>
      </c>
      <c r="G198" s="350">
        <v>32176.430165737343</v>
      </c>
      <c r="H198" s="348">
        <v>6133101.8135658102</v>
      </c>
      <c r="I198" s="369"/>
      <c r="J198" s="350">
        <v>7881359.6836971696</v>
      </c>
      <c r="K198" s="350">
        <v>1947089.8244587355</v>
      </c>
      <c r="L198" s="350">
        <v>1967336.4848368752</v>
      </c>
      <c r="M198" s="350">
        <v>1986000.2425753647</v>
      </c>
      <c r="N198" s="350">
        <v>2003027.9539498466</v>
      </c>
      <c r="O198" s="348">
        <v>15784814.18951799</v>
      </c>
      <c r="P198" s="369"/>
      <c r="Q198" s="350">
        <f t="shared" si="93"/>
        <v>1886752.4614646733</v>
      </c>
      <c r="R198" s="350">
        <f t="shared" si="94"/>
        <v>1910061.2987211572</v>
      </c>
      <c r="S198" s="350">
        <f t="shared" si="95"/>
        <v>1931882.9707575405</v>
      </c>
      <c r="T198" s="350">
        <f t="shared" si="96"/>
        <v>1952164.1212247007</v>
      </c>
      <c r="U198" s="350">
        <f t="shared" si="97"/>
        <v>1970851.5237841092</v>
      </c>
      <c r="V198" s="350">
        <f t="shared" si="98"/>
        <v>9651712.3759521805</v>
      </c>
      <c r="W198" s="365"/>
      <c r="X198" s="377">
        <f t="shared" si="76"/>
        <v>0</v>
      </c>
      <c r="Y198" s="377">
        <f t="shared" si="77"/>
        <v>0</v>
      </c>
      <c r="Z198" s="377">
        <f t="shared" si="78"/>
        <v>0</v>
      </c>
      <c r="AA198" s="377">
        <f t="shared" si="79"/>
        <v>0</v>
      </c>
      <c r="AB198" s="377">
        <f t="shared" si="80"/>
        <v>0</v>
      </c>
      <c r="AC198" s="377">
        <f t="shared" si="81"/>
        <v>0</v>
      </c>
      <c r="AD198" s="376"/>
      <c r="AE198" s="332">
        <v>183</v>
      </c>
      <c r="AF198" s="350">
        <v>5463501.8467270294</v>
      </c>
      <c r="AG198" s="350">
        <v>33747.902280992515</v>
      </c>
      <c r="AH198" s="350">
        <v>32312.43223526411</v>
      </c>
      <c r="AI198" s="350">
        <v>30838.335963000271</v>
      </c>
      <c r="AJ198" s="350">
        <v>29325.688758989651</v>
      </c>
      <c r="AK198" s="348">
        <v>5589726.2059652768</v>
      </c>
      <c r="AL198" s="369"/>
      <c r="AM198" s="350">
        <v>7610028.8740743846</v>
      </c>
      <c r="AN198" s="350">
        <v>2206793.0077382051</v>
      </c>
      <c r="AO198" s="350">
        <v>2230183.692561591</v>
      </c>
      <c r="AP198" s="350">
        <v>2251783.1252829833</v>
      </c>
      <c r="AQ198" s="350">
        <v>2271530.8264733492</v>
      </c>
      <c r="AR198" s="348">
        <v>16570319.526130514</v>
      </c>
      <c r="AS198" s="369"/>
      <c r="AT198" s="350">
        <f t="shared" si="99"/>
        <v>2146527.0273473551</v>
      </c>
      <c r="AU198" s="350">
        <f t="shared" si="82"/>
        <v>2173045.1054572128</v>
      </c>
      <c r="AV198" s="350">
        <f t="shared" si="83"/>
        <v>2197871.2603263268</v>
      </c>
      <c r="AW198" s="350">
        <f t="shared" si="84"/>
        <v>2220944.7893199832</v>
      </c>
      <c r="AX198" s="350">
        <f t="shared" si="85"/>
        <v>2242205.1377143594</v>
      </c>
      <c r="AY198" s="350">
        <f t="shared" si="86"/>
        <v>10980593.320165237</v>
      </c>
      <c r="AZ198" s="365"/>
      <c r="BA198" s="377">
        <f t="shared" si="87"/>
        <v>0</v>
      </c>
      <c r="BB198" s="377">
        <f t="shared" si="88"/>
        <v>0</v>
      </c>
      <c r="BC198" s="377">
        <f t="shared" si="89"/>
        <v>0</v>
      </c>
      <c r="BD198" s="377">
        <f t="shared" si="90"/>
        <v>0</v>
      </c>
      <c r="BE198" s="377">
        <f t="shared" si="91"/>
        <v>0</v>
      </c>
      <c r="BF198" s="377">
        <f t="shared" si="92"/>
        <v>0</v>
      </c>
      <c r="BG198" s="328"/>
    </row>
    <row r="199" spans="2:59">
      <c r="B199" s="332">
        <v>184</v>
      </c>
      <c r="C199" s="350">
        <v>5876426.8050907925</v>
      </c>
      <c r="D199" s="350">
        <v>36298.528515810161</v>
      </c>
      <c r="E199" s="350">
        <v>34754.567354769766</v>
      </c>
      <c r="F199" s="350">
        <v>33169.060643025259</v>
      </c>
      <c r="G199" s="350">
        <v>31542.089366057935</v>
      </c>
      <c r="H199" s="348">
        <v>6012191.0509704556</v>
      </c>
      <c r="I199" s="369"/>
      <c r="J199" s="350">
        <v>7783238.7647358645</v>
      </c>
      <c r="K199" s="350">
        <v>1966667.1393665108</v>
      </c>
      <c r="L199" s="350">
        <v>1987176.853008219</v>
      </c>
      <c r="M199" s="350">
        <v>2006088.1210753561</v>
      </c>
      <c r="N199" s="350">
        <v>2023347.2323252526</v>
      </c>
      <c r="O199" s="348">
        <v>15766518.110511204</v>
      </c>
      <c r="P199" s="369"/>
      <c r="Q199" s="350">
        <f t="shared" si="93"/>
        <v>1906811.959645072</v>
      </c>
      <c r="R199" s="350">
        <f t="shared" si="94"/>
        <v>1930368.6108507006</v>
      </c>
      <c r="S199" s="350">
        <f t="shared" si="95"/>
        <v>1952422.2856534494</v>
      </c>
      <c r="T199" s="350">
        <f t="shared" si="96"/>
        <v>1972919.0604323309</v>
      </c>
      <c r="U199" s="350">
        <f t="shared" si="97"/>
        <v>1991805.1429591947</v>
      </c>
      <c r="V199" s="350">
        <f t="shared" si="98"/>
        <v>9754327.0595407486</v>
      </c>
      <c r="W199" s="365"/>
      <c r="X199" s="377">
        <f t="shared" si="76"/>
        <v>0</v>
      </c>
      <c r="Y199" s="377">
        <f t="shared" si="77"/>
        <v>0</v>
      </c>
      <c r="Z199" s="377">
        <f t="shared" si="78"/>
        <v>0</v>
      </c>
      <c r="AA199" s="377">
        <f t="shared" si="79"/>
        <v>0</v>
      </c>
      <c r="AB199" s="377">
        <f t="shared" si="80"/>
        <v>0</v>
      </c>
      <c r="AC199" s="377">
        <f t="shared" si="81"/>
        <v>0</v>
      </c>
      <c r="AD199" s="376"/>
      <c r="AE199" s="332">
        <v>184</v>
      </c>
      <c r="AF199" s="350">
        <v>4792606.8752029752</v>
      </c>
      <c r="AG199" s="350">
        <v>29603.802292562563</v>
      </c>
      <c r="AH199" s="350">
        <v>28344.601910957019</v>
      </c>
      <c r="AI199" s="350">
        <v>27051.518440436004</v>
      </c>
      <c r="AJ199" s="350">
        <v>25724.617929909309</v>
      </c>
      <c r="AK199" s="348">
        <v>4903331.4157768404</v>
      </c>
      <c r="AL199" s="369"/>
      <c r="AM199" s="350">
        <v>7210452.0702674314</v>
      </c>
      <c r="AN199" s="350">
        <v>2477318.925349256</v>
      </c>
      <c r="AO199" s="350">
        <v>2504023.8728667786</v>
      </c>
      <c r="AP199" s="350">
        <v>2528720.7818350806</v>
      </c>
      <c r="AQ199" s="350">
        <v>2551341.5095425313</v>
      </c>
      <c r="AR199" s="348">
        <v>17271857.159861077</v>
      </c>
      <c r="AS199" s="369"/>
      <c r="AT199" s="350">
        <f t="shared" si="99"/>
        <v>2417845.1950644562</v>
      </c>
      <c r="AU199" s="350">
        <f t="shared" si="82"/>
        <v>2447715.1230566935</v>
      </c>
      <c r="AV199" s="350">
        <f t="shared" si="83"/>
        <v>2475679.2709558215</v>
      </c>
      <c r="AW199" s="350">
        <f t="shared" si="84"/>
        <v>2501669.2633946445</v>
      </c>
      <c r="AX199" s="350">
        <f t="shared" si="85"/>
        <v>2525616.891612622</v>
      </c>
      <c r="AY199" s="350">
        <f t="shared" si="86"/>
        <v>12368525.744084235</v>
      </c>
      <c r="AZ199" s="365"/>
      <c r="BA199" s="377">
        <f t="shared" si="87"/>
        <v>0</v>
      </c>
      <c r="BB199" s="377">
        <f t="shared" si="88"/>
        <v>0</v>
      </c>
      <c r="BC199" s="377">
        <f t="shared" si="89"/>
        <v>0</v>
      </c>
      <c r="BD199" s="377">
        <f t="shared" si="90"/>
        <v>0</v>
      </c>
      <c r="BE199" s="377">
        <f t="shared" si="91"/>
        <v>0</v>
      </c>
      <c r="BF199" s="377">
        <f t="shared" si="92"/>
        <v>0</v>
      </c>
      <c r="BG199" s="328"/>
    </row>
    <row r="200" spans="2:59">
      <c r="B200" s="332">
        <v>185</v>
      </c>
      <c r="C200" s="350">
        <v>4251869.9499832559</v>
      </c>
      <c r="D200" s="350">
        <v>26263.68501540503</v>
      </c>
      <c r="E200" s="350">
        <v>25146.556821297858</v>
      </c>
      <c r="F200" s="350">
        <v>23999.368475937179</v>
      </c>
      <c r="G200" s="350">
        <v>22822.178576110953</v>
      </c>
      <c r="H200" s="348">
        <v>4350101.7388720065</v>
      </c>
      <c r="I200" s="369"/>
      <c r="J200" s="350">
        <v>5943669.1940063816</v>
      </c>
      <c r="K200" s="350">
        <v>1738963.324853553</v>
      </c>
      <c r="L200" s="350">
        <v>1757413.0921629563</v>
      </c>
      <c r="M200" s="350">
        <v>1774451.4558330548</v>
      </c>
      <c r="N200" s="350">
        <v>1790030.7478610291</v>
      </c>
      <c r="O200" s="348">
        <v>13004527.814716974</v>
      </c>
      <c r="P200" s="369"/>
      <c r="Q200" s="350">
        <f t="shared" si="93"/>
        <v>1691799.2440231256</v>
      </c>
      <c r="R200" s="350">
        <f t="shared" si="94"/>
        <v>1712699.6398381479</v>
      </c>
      <c r="S200" s="350">
        <f t="shared" si="95"/>
        <v>1732266.5353416584</v>
      </c>
      <c r="T200" s="350">
        <f t="shared" si="96"/>
        <v>1750452.0873571176</v>
      </c>
      <c r="U200" s="350">
        <f t="shared" si="97"/>
        <v>1767208.5692849183</v>
      </c>
      <c r="V200" s="350">
        <f t="shared" si="98"/>
        <v>8654426.0758449677</v>
      </c>
      <c r="W200" s="365"/>
      <c r="X200" s="377">
        <f t="shared" si="76"/>
        <v>0</v>
      </c>
      <c r="Y200" s="377">
        <f t="shared" si="77"/>
        <v>0</v>
      </c>
      <c r="Z200" s="377">
        <f t="shared" si="78"/>
        <v>0</v>
      </c>
      <c r="AA200" s="377">
        <f t="shared" si="79"/>
        <v>0</v>
      </c>
      <c r="AB200" s="377">
        <f t="shared" si="80"/>
        <v>0</v>
      </c>
      <c r="AC200" s="377">
        <f t="shared" si="81"/>
        <v>0</v>
      </c>
      <c r="AD200" s="376"/>
      <c r="AE200" s="332">
        <v>185</v>
      </c>
      <c r="AF200" s="350">
        <v>6438574.3370847525</v>
      </c>
      <c r="AG200" s="350">
        <v>39770.898528570746</v>
      </c>
      <c r="AH200" s="350">
        <v>38079.239798077251</v>
      </c>
      <c r="AI200" s="350">
        <v>36342.061209096893</v>
      </c>
      <c r="AJ200" s="350">
        <v>34559.451494299596</v>
      </c>
      <c r="AK200" s="348">
        <v>6587325.9881147966</v>
      </c>
      <c r="AL200" s="369"/>
      <c r="AM200" s="350">
        <v>8592847.1820905022</v>
      </c>
      <c r="AN200" s="350">
        <v>2220657.5130541027</v>
      </c>
      <c r="AO200" s="350">
        <v>2243881.595238613</v>
      </c>
      <c r="AP200" s="350">
        <v>2265301.2072775667</v>
      </c>
      <c r="AQ200" s="350">
        <v>2284855.6646659872</v>
      </c>
      <c r="AR200" s="348">
        <v>17607543.162326772</v>
      </c>
      <c r="AS200" s="369"/>
      <c r="AT200" s="350">
        <f t="shared" si="99"/>
        <v>2154272.8450057497</v>
      </c>
      <c r="AU200" s="350">
        <f t="shared" si="82"/>
        <v>2180886.6145255319</v>
      </c>
      <c r="AV200" s="350">
        <f t="shared" si="83"/>
        <v>2205802.3554405356</v>
      </c>
      <c r="AW200" s="350">
        <f t="shared" si="84"/>
        <v>2228959.1460684696</v>
      </c>
      <c r="AX200" s="350">
        <f t="shared" si="85"/>
        <v>2250296.2131716874</v>
      </c>
      <c r="AY200" s="350">
        <f t="shared" si="86"/>
        <v>11020217.174211975</v>
      </c>
      <c r="AZ200" s="365"/>
      <c r="BA200" s="377">
        <f t="shared" si="87"/>
        <v>0</v>
      </c>
      <c r="BB200" s="377">
        <f t="shared" si="88"/>
        <v>0</v>
      </c>
      <c r="BC200" s="377">
        <f t="shared" si="89"/>
        <v>0</v>
      </c>
      <c r="BD200" s="377">
        <f t="shared" si="90"/>
        <v>0</v>
      </c>
      <c r="BE200" s="377">
        <f t="shared" si="91"/>
        <v>0</v>
      </c>
      <c r="BF200" s="377">
        <f t="shared" si="92"/>
        <v>0</v>
      </c>
      <c r="BG200" s="328"/>
    </row>
    <row r="201" spans="2:59">
      <c r="B201" s="332">
        <v>186</v>
      </c>
      <c r="C201" s="350">
        <v>6052058.3045089673</v>
      </c>
      <c r="D201" s="350">
        <v>37383.399509929441</v>
      </c>
      <c r="E201" s="350">
        <v>35793.293264000407</v>
      </c>
      <c r="F201" s="350">
        <v>34160.399776183884</v>
      </c>
      <c r="G201" s="350">
        <v>32484.802452408163</v>
      </c>
      <c r="H201" s="348">
        <v>6191880.1995114889</v>
      </c>
      <c r="I201" s="369"/>
      <c r="J201" s="350">
        <v>8002607.7983761057</v>
      </c>
      <c r="K201" s="350">
        <v>2012029.8757008482</v>
      </c>
      <c r="L201" s="350">
        <v>2032999.3008270739</v>
      </c>
      <c r="M201" s="350">
        <v>2052333.3272647541</v>
      </c>
      <c r="N201" s="350">
        <v>2069977.0123314457</v>
      </c>
      <c r="O201" s="348">
        <v>16169947.314500228</v>
      </c>
      <c r="P201" s="369"/>
      <c r="Q201" s="350">
        <f t="shared" si="93"/>
        <v>1950549.4938671384</v>
      </c>
      <c r="R201" s="350">
        <f t="shared" si="94"/>
        <v>1974646.4761909188</v>
      </c>
      <c r="S201" s="350">
        <f t="shared" si="95"/>
        <v>1997206.0075630734</v>
      </c>
      <c r="T201" s="350">
        <f t="shared" si="96"/>
        <v>2018172.9274885701</v>
      </c>
      <c r="U201" s="350">
        <f t="shared" si="97"/>
        <v>2037492.2098790375</v>
      </c>
      <c r="V201" s="350">
        <f t="shared" si="98"/>
        <v>9978067.1149887387</v>
      </c>
      <c r="W201" s="365"/>
      <c r="X201" s="377">
        <f t="shared" si="76"/>
        <v>0</v>
      </c>
      <c r="Y201" s="377">
        <f t="shared" si="77"/>
        <v>0</v>
      </c>
      <c r="Z201" s="377">
        <f t="shared" si="78"/>
        <v>0</v>
      </c>
      <c r="AA201" s="377">
        <f t="shared" si="79"/>
        <v>0</v>
      </c>
      <c r="AB201" s="377">
        <f t="shared" si="80"/>
        <v>0</v>
      </c>
      <c r="AC201" s="377">
        <f t="shared" si="81"/>
        <v>0</v>
      </c>
      <c r="AD201" s="376"/>
      <c r="AE201" s="332">
        <v>186</v>
      </c>
      <c r="AF201" s="350">
        <v>4037253.7788309152</v>
      </c>
      <c r="AG201" s="350">
        <v>24938.00676450301</v>
      </c>
      <c r="AH201" s="350">
        <v>23877.266413515303</v>
      </c>
      <c r="AI201" s="350">
        <v>22787.983218869369</v>
      </c>
      <c r="AJ201" s="350">
        <v>21670.212819637629</v>
      </c>
      <c r="AK201" s="348">
        <v>4130527.2480474408</v>
      </c>
      <c r="AL201" s="369"/>
      <c r="AM201" s="350">
        <v>5228714.9427978005</v>
      </c>
      <c r="AN201" s="350">
        <v>1231118.4171272649</v>
      </c>
      <c r="AO201" s="350">
        <v>1243837.7964767655</v>
      </c>
      <c r="AP201" s="350">
        <v>1255555.8124036097</v>
      </c>
      <c r="AQ201" s="350">
        <v>1266238.9087633751</v>
      </c>
      <c r="AR201" s="348">
        <v>10225465.877568815</v>
      </c>
      <c r="AS201" s="369"/>
      <c r="AT201" s="350">
        <f t="shared" si="99"/>
        <v>1191461.1639668853</v>
      </c>
      <c r="AU201" s="350">
        <f t="shared" si="82"/>
        <v>1206180.4103627619</v>
      </c>
      <c r="AV201" s="350">
        <f t="shared" si="83"/>
        <v>1219960.5300632503</v>
      </c>
      <c r="AW201" s="350">
        <f t="shared" si="84"/>
        <v>1232767.8291847403</v>
      </c>
      <c r="AX201" s="350">
        <f t="shared" si="85"/>
        <v>1244568.6959437374</v>
      </c>
      <c r="AY201" s="350">
        <f t="shared" si="86"/>
        <v>6094938.6295213737</v>
      </c>
      <c r="AZ201" s="365"/>
      <c r="BA201" s="377">
        <f t="shared" si="87"/>
        <v>0</v>
      </c>
      <c r="BB201" s="377">
        <f t="shared" si="88"/>
        <v>0</v>
      </c>
      <c r="BC201" s="377">
        <f t="shared" si="89"/>
        <v>0</v>
      </c>
      <c r="BD201" s="377">
        <f t="shared" si="90"/>
        <v>0</v>
      </c>
      <c r="BE201" s="377">
        <f t="shared" si="91"/>
        <v>0</v>
      </c>
      <c r="BF201" s="377">
        <f t="shared" si="92"/>
        <v>0</v>
      </c>
      <c r="BG201" s="328"/>
    </row>
    <row r="202" spans="2:59">
      <c r="B202" s="332">
        <v>187</v>
      </c>
      <c r="C202" s="350">
        <v>5941609.5315595567</v>
      </c>
      <c r="D202" s="350">
        <v>36701.160444012974</v>
      </c>
      <c r="E202" s="350">
        <v>35140.073297845614</v>
      </c>
      <c r="F202" s="350">
        <v>33536.979767832934</v>
      </c>
      <c r="G202" s="350">
        <v>31891.961737755195</v>
      </c>
      <c r="H202" s="348">
        <v>6078879.7068070024</v>
      </c>
      <c r="I202" s="369"/>
      <c r="J202" s="350">
        <v>7563805.8484537322</v>
      </c>
      <c r="K202" s="350">
        <v>1678938.002378342</v>
      </c>
      <c r="L202" s="350">
        <v>1696138.8019814354</v>
      </c>
      <c r="M202" s="350">
        <v>1711973.0820667555</v>
      </c>
      <c r="N202" s="350">
        <v>1726395.1614558373</v>
      </c>
      <c r="O202" s="348">
        <v>14377250.896336105</v>
      </c>
      <c r="P202" s="369"/>
      <c r="Q202" s="350">
        <f t="shared" si="93"/>
        <v>1622196.3168941755</v>
      </c>
      <c r="R202" s="350">
        <f t="shared" si="94"/>
        <v>1642236.8419343289</v>
      </c>
      <c r="S202" s="350">
        <f t="shared" si="95"/>
        <v>1660998.7286835897</v>
      </c>
      <c r="T202" s="350">
        <f t="shared" si="96"/>
        <v>1678436.1022989226</v>
      </c>
      <c r="U202" s="350">
        <f t="shared" si="97"/>
        <v>1694503.1997180821</v>
      </c>
      <c r="V202" s="350">
        <f t="shared" si="98"/>
        <v>8298371.1895291023</v>
      </c>
      <c r="W202" s="365"/>
      <c r="X202" s="377">
        <f t="shared" si="76"/>
        <v>0</v>
      </c>
      <c r="Y202" s="377">
        <f t="shared" si="77"/>
        <v>0</v>
      </c>
      <c r="Z202" s="377">
        <f t="shared" si="78"/>
        <v>0</v>
      </c>
      <c r="AA202" s="377">
        <f t="shared" si="79"/>
        <v>0</v>
      </c>
      <c r="AB202" s="377">
        <f t="shared" si="80"/>
        <v>0</v>
      </c>
      <c r="AC202" s="377">
        <f t="shared" si="81"/>
        <v>0</v>
      </c>
      <c r="AD202" s="376"/>
      <c r="AE202" s="332">
        <v>187</v>
      </c>
      <c r="AF202" s="350">
        <v>6620026.3500600187</v>
      </c>
      <c r="AG202" s="350">
        <v>40891.722676593759</v>
      </c>
      <c r="AH202" s="350">
        <v>39152.38959059152</v>
      </c>
      <c r="AI202" s="350">
        <v>37366.253804666434</v>
      </c>
      <c r="AJ202" s="350">
        <v>35533.406552150846</v>
      </c>
      <c r="AK202" s="348">
        <v>6772970.1226840205</v>
      </c>
      <c r="AL202" s="369"/>
      <c r="AM202" s="350">
        <v>8935994.6708753072</v>
      </c>
      <c r="AN202" s="350">
        <v>2385471.3901224583</v>
      </c>
      <c r="AO202" s="350">
        <v>2410517.9243803103</v>
      </c>
      <c r="AP202" s="350">
        <v>2433626.6823077686</v>
      </c>
      <c r="AQ202" s="350">
        <v>2454732.4203810263</v>
      </c>
      <c r="AR202" s="348">
        <v>18620343.088066868</v>
      </c>
      <c r="AS202" s="369"/>
      <c r="AT202" s="350">
        <f t="shared" si="99"/>
        <v>2315968.3208152885</v>
      </c>
      <c r="AU202" s="350">
        <f t="shared" si="82"/>
        <v>2344579.6674458645</v>
      </c>
      <c r="AV202" s="350">
        <f t="shared" si="83"/>
        <v>2371365.5347897187</v>
      </c>
      <c r="AW202" s="350">
        <f t="shared" si="84"/>
        <v>2396260.4285031022</v>
      </c>
      <c r="AX202" s="350">
        <f t="shared" si="85"/>
        <v>2419199.0138288755</v>
      </c>
      <c r="AY202" s="350">
        <f t="shared" si="86"/>
        <v>11847372.965382848</v>
      </c>
      <c r="AZ202" s="365"/>
      <c r="BA202" s="377">
        <f t="shared" si="87"/>
        <v>0</v>
      </c>
      <c r="BB202" s="377">
        <f t="shared" si="88"/>
        <v>0</v>
      </c>
      <c r="BC202" s="377">
        <f t="shared" si="89"/>
        <v>0</v>
      </c>
      <c r="BD202" s="377">
        <f t="shared" si="90"/>
        <v>0</v>
      </c>
      <c r="BE202" s="377">
        <f t="shared" si="91"/>
        <v>0</v>
      </c>
      <c r="BF202" s="377">
        <f t="shared" si="92"/>
        <v>0</v>
      </c>
      <c r="BG202" s="328"/>
    </row>
    <row r="203" spans="2:59">
      <c r="B203" s="332">
        <v>188</v>
      </c>
      <c r="C203" s="350">
        <v>6774061.5219545085</v>
      </c>
      <c r="D203" s="350">
        <v>41843.193743094147</v>
      </c>
      <c r="E203" s="350">
        <v>40063.389750069808</v>
      </c>
      <c r="F203" s="350">
        <v>38235.694049085287</v>
      </c>
      <c r="G203" s="350">
        <v>36360.199996290852</v>
      </c>
      <c r="H203" s="348">
        <v>6930563.9994930485</v>
      </c>
      <c r="I203" s="369"/>
      <c r="J203" s="350">
        <v>9103497.6989722159</v>
      </c>
      <c r="K203" s="350">
        <v>2400057.0985541549</v>
      </c>
      <c r="L203" s="350">
        <v>2425218.9275112753</v>
      </c>
      <c r="M203" s="350">
        <v>2448430.8947097217</v>
      </c>
      <c r="N203" s="350">
        <v>2469627.3788127624</v>
      </c>
      <c r="O203" s="348">
        <v>18846831.998560131</v>
      </c>
      <c r="P203" s="369"/>
      <c r="Q203" s="350">
        <f t="shared" si="93"/>
        <v>2329436.1770177074</v>
      </c>
      <c r="R203" s="350">
        <f t="shared" si="94"/>
        <v>2358213.9048110605</v>
      </c>
      <c r="S203" s="350">
        <f t="shared" si="95"/>
        <v>2385155.5377612053</v>
      </c>
      <c r="T203" s="350">
        <f t="shared" si="96"/>
        <v>2410195.2006606362</v>
      </c>
      <c r="U203" s="350">
        <f t="shared" si="97"/>
        <v>2433267.1788164717</v>
      </c>
      <c r="V203" s="350">
        <f t="shared" si="98"/>
        <v>11916267.999067083</v>
      </c>
      <c r="W203" s="365"/>
      <c r="X203" s="377">
        <f t="shared" si="76"/>
        <v>0</v>
      </c>
      <c r="Y203" s="377">
        <f t="shared" si="77"/>
        <v>0</v>
      </c>
      <c r="Z203" s="377">
        <f t="shared" si="78"/>
        <v>0</v>
      </c>
      <c r="AA203" s="377">
        <f t="shared" si="79"/>
        <v>0</v>
      </c>
      <c r="AB203" s="377">
        <f t="shared" si="80"/>
        <v>0</v>
      </c>
      <c r="AC203" s="377">
        <f t="shared" si="81"/>
        <v>0</v>
      </c>
      <c r="AD203" s="376"/>
      <c r="AE203" s="332">
        <v>188</v>
      </c>
      <c r="AF203" s="350">
        <v>5947818.5061195716</v>
      </c>
      <c r="AG203" s="350">
        <v>36739.51311096306</v>
      </c>
      <c r="AH203" s="350">
        <v>35176.794630675387</v>
      </c>
      <c r="AI203" s="350">
        <v>33572.025869917481</v>
      </c>
      <c r="AJ203" s="350">
        <v>31925.288798049005</v>
      </c>
      <c r="AK203" s="348">
        <v>6085232.1285291761</v>
      </c>
      <c r="AL203" s="369"/>
      <c r="AM203" s="350">
        <v>8419085.0561519898</v>
      </c>
      <c r="AN203" s="350">
        <v>2538535.9556483999</v>
      </c>
      <c r="AO203" s="350">
        <v>2565555.2421055418</v>
      </c>
      <c r="AP203" s="350">
        <v>2590514.7046201243</v>
      </c>
      <c r="AQ203" s="350">
        <v>2613344.7093547615</v>
      </c>
      <c r="AR203" s="348">
        <v>18727035.667880818</v>
      </c>
      <c r="AS203" s="369"/>
      <c r="AT203" s="350">
        <f t="shared" si="99"/>
        <v>2471266.5500324182</v>
      </c>
      <c r="AU203" s="350">
        <f t="shared" si="82"/>
        <v>2501796.4425374367</v>
      </c>
      <c r="AV203" s="350">
        <f t="shared" si="83"/>
        <v>2530378.4474748662</v>
      </c>
      <c r="AW203" s="350">
        <f t="shared" si="84"/>
        <v>2556942.6787502067</v>
      </c>
      <c r="AX203" s="350">
        <f t="shared" si="85"/>
        <v>2581419.4205567124</v>
      </c>
      <c r="AY203" s="350">
        <f t="shared" si="86"/>
        <v>12641803.539351642</v>
      </c>
      <c r="AZ203" s="365"/>
      <c r="BA203" s="377">
        <f t="shared" si="87"/>
        <v>0</v>
      </c>
      <c r="BB203" s="377">
        <f t="shared" si="88"/>
        <v>0</v>
      </c>
      <c r="BC203" s="377">
        <f t="shared" si="89"/>
        <v>0</v>
      </c>
      <c r="BD203" s="377">
        <f t="shared" si="90"/>
        <v>0</v>
      </c>
      <c r="BE203" s="377">
        <f t="shared" si="91"/>
        <v>0</v>
      </c>
      <c r="BF203" s="377">
        <f t="shared" si="92"/>
        <v>0</v>
      </c>
      <c r="BG203" s="328"/>
    </row>
    <row r="204" spans="2:59">
      <c r="B204" s="332">
        <v>189</v>
      </c>
      <c r="C204" s="350">
        <v>4450820.6005003667</v>
      </c>
      <c r="D204" s="350">
        <v>27492.59777150015</v>
      </c>
      <c r="E204" s="350">
        <v>26323.197663260027</v>
      </c>
      <c r="F204" s="350">
        <v>25122.330849306367</v>
      </c>
      <c r="G204" s="350">
        <v>23890.0586682463</v>
      </c>
      <c r="H204" s="348">
        <v>4553648.7854526797</v>
      </c>
      <c r="I204" s="369"/>
      <c r="J204" s="350">
        <v>6236730.0116918366</v>
      </c>
      <c r="K204" s="350">
        <v>1835465.0366629437</v>
      </c>
      <c r="L204" s="350">
        <v>1854950.9849661507</v>
      </c>
      <c r="M204" s="350">
        <v>1872947.2827134528</v>
      </c>
      <c r="N204" s="350">
        <v>1889403.6097435816</v>
      </c>
      <c r="O204" s="348">
        <v>13689496.925777966</v>
      </c>
      <c r="P204" s="369"/>
      <c r="Q204" s="350">
        <f t="shared" si="93"/>
        <v>1785909.41119147</v>
      </c>
      <c r="R204" s="350">
        <f t="shared" si="94"/>
        <v>1807972.4388914434</v>
      </c>
      <c r="S204" s="350">
        <f t="shared" si="95"/>
        <v>1828627.7873028908</v>
      </c>
      <c r="T204" s="350">
        <f t="shared" si="96"/>
        <v>1847824.9518641464</v>
      </c>
      <c r="U204" s="350">
        <f t="shared" si="97"/>
        <v>1865513.5510753354</v>
      </c>
      <c r="V204" s="350">
        <f t="shared" si="98"/>
        <v>9135848.1403252855</v>
      </c>
      <c r="W204" s="365"/>
      <c r="X204" s="377">
        <f t="shared" si="76"/>
        <v>0</v>
      </c>
      <c r="Y204" s="377">
        <f t="shared" si="77"/>
        <v>0</v>
      </c>
      <c r="Z204" s="377">
        <f t="shared" si="78"/>
        <v>0</v>
      </c>
      <c r="AA204" s="377">
        <f t="shared" si="79"/>
        <v>0</v>
      </c>
      <c r="AB204" s="377">
        <f t="shared" si="80"/>
        <v>0</v>
      </c>
      <c r="AC204" s="377">
        <f t="shared" si="81"/>
        <v>0</v>
      </c>
      <c r="AD204" s="376"/>
      <c r="AE204" s="332">
        <v>189</v>
      </c>
      <c r="AF204" s="350">
        <v>6773654.8185295118</v>
      </c>
      <c r="AG204" s="350">
        <v>41840.681547101463</v>
      </c>
      <c r="AH204" s="350">
        <v>40060.98441055962</v>
      </c>
      <c r="AI204" s="350">
        <v>38233.398441394704</v>
      </c>
      <c r="AJ204" s="350">
        <v>36358.016990153483</v>
      </c>
      <c r="AK204" s="348">
        <v>6930147.8999187211</v>
      </c>
      <c r="AL204" s="369"/>
      <c r="AM204" s="350">
        <v>8298493.2522764895</v>
      </c>
      <c r="AN204" s="350">
        <v>1585516.8863427786</v>
      </c>
      <c r="AO204" s="350">
        <v>1601373.0608371471</v>
      </c>
      <c r="AP204" s="350">
        <v>1615936.3254668608</v>
      </c>
      <c r="AQ204" s="350">
        <v>1629163.7570403696</v>
      </c>
      <c r="AR204" s="348">
        <v>14730483.281963646</v>
      </c>
      <c r="AS204" s="369"/>
      <c r="AT204" s="350">
        <f t="shared" si="99"/>
        <v>1524838.4337469777</v>
      </c>
      <c r="AU204" s="350">
        <f t="shared" si="82"/>
        <v>1543676.2047956772</v>
      </c>
      <c r="AV204" s="350">
        <f t="shared" si="83"/>
        <v>1561312.0764265875</v>
      </c>
      <c r="AW204" s="350">
        <f t="shared" si="84"/>
        <v>1577702.927025466</v>
      </c>
      <c r="AX204" s="350">
        <f t="shared" si="85"/>
        <v>1592805.740050216</v>
      </c>
      <c r="AY204" s="350">
        <f t="shared" si="86"/>
        <v>7800335.3820449254</v>
      </c>
      <c r="AZ204" s="365"/>
      <c r="BA204" s="377">
        <f t="shared" si="87"/>
        <v>0</v>
      </c>
      <c r="BB204" s="377">
        <f t="shared" si="88"/>
        <v>0</v>
      </c>
      <c r="BC204" s="377">
        <f t="shared" si="89"/>
        <v>0</v>
      </c>
      <c r="BD204" s="377">
        <f t="shared" si="90"/>
        <v>0</v>
      </c>
      <c r="BE204" s="377">
        <f t="shared" si="91"/>
        <v>0</v>
      </c>
      <c r="BF204" s="377">
        <f t="shared" si="92"/>
        <v>0</v>
      </c>
      <c r="BG204" s="328"/>
    </row>
    <row r="205" spans="2:59">
      <c r="B205" s="332">
        <v>190</v>
      </c>
      <c r="C205" s="350">
        <v>6760068.446599056</v>
      </c>
      <c r="D205" s="350">
        <v>41756.75889728398</v>
      </c>
      <c r="E205" s="350">
        <v>39980.631418167497</v>
      </c>
      <c r="F205" s="350">
        <v>38156.711160257284</v>
      </c>
      <c r="G205" s="350">
        <v>36285.091286864248</v>
      </c>
      <c r="H205" s="348">
        <v>6916247.6393616293</v>
      </c>
      <c r="I205" s="369"/>
      <c r="J205" s="350">
        <v>8484617.3989764508</v>
      </c>
      <c r="K205" s="350">
        <v>1787610.6952048943</v>
      </c>
      <c r="L205" s="350">
        <v>1805780.237556919</v>
      </c>
      <c r="M205" s="350">
        <v>1822493.9037103176</v>
      </c>
      <c r="N205" s="350">
        <v>1837703.1363412663</v>
      </c>
      <c r="O205" s="348">
        <v>15738205.371789848</v>
      </c>
      <c r="P205" s="369"/>
      <c r="Q205" s="350">
        <f t="shared" si="93"/>
        <v>1724548.9523773948</v>
      </c>
      <c r="R205" s="350">
        <f t="shared" si="94"/>
        <v>1745853.9363076102</v>
      </c>
      <c r="S205" s="350">
        <f t="shared" si="95"/>
        <v>1765799.6061387514</v>
      </c>
      <c r="T205" s="350">
        <f t="shared" si="96"/>
        <v>1784337.1925500603</v>
      </c>
      <c r="U205" s="350">
        <f t="shared" si="97"/>
        <v>1801418.0450544022</v>
      </c>
      <c r="V205" s="350">
        <f t="shared" si="98"/>
        <v>8821957.7324282192</v>
      </c>
      <c r="W205" s="365"/>
      <c r="X205" s="377">
        <f t="shared" si="76"/>
        <v>0</v>
      </c>
      <c r="Y205" s="377">
        <f t="shared" si="77"/>
        <v>0</v>
      </c>
      <c r="Z205" s="377">
        <f t="shared" si="78"/>
        <v>0</v>
      </c>
      <c r="AA205" s="377">
        <f t="shared" si="79"/>
        <v>0</v>
      </c>
      <c r="AB205" s="377">
        <f t="shared" si="80"/>
        <v>0</v>
      </c>
      <c r="AC205" s="377">
        <f t="shared" si="81"/>
        <v>0</v>
      </c>
      <c r="AD205" s="376"/>
      <c r="AE205" s="332">
        <v>190</v>
      </c>
      <c r="AF205" s="350">
        <v>4997799.2643310037</v>
      </c>
      <c r="AG205" s="350">
        <v>30871.270098261146</v>
      </c>
      <c r="AH205" s="350">
        <v>29558.157860033971</v>
      </c>
      <c r="AI205" s="350">
        <v>28209.711850175856</v>
      </c>
      <c r="AJ205" s="350">
        <v>26826.000945435189</v>
      </c>
      <c r="AK205" s="348">
        <v>5113264.4050849099</v>
      </c>
      <c r="AL205" s="369"/>
      <c r="AM205" s="350">
        <v>7277578.1505187191</v>
      </c>
      <c r="AN205" s="350">
        <v>2338814.4206101196</v>
      </c>
      <c r="AO205" s="350">
        <v>2363868.6184382262</v>
      </c>
      <c r="AP205" s="350">
        <v>2387026.0573109724</v>
      </c>
      <c r="AQ205" s="350">
        <v>2408222.4922720897</v>
      </c>
      <c r="AR205" s="348">
        <v>16775509.739150126</v>
      </c>
      <c r="AS205" s="369"/>
      <c r="AT205" s="350">
        <f t="shared" si="99"/>
        <v>2279778.8861877155</v>
      </c>
      <c r="AU205" s="350">
        <f t="shared" si="82"/>
        <v>2307943.1505118585</v>
      </c>
      <c r="AV205" s="350">
        <f t="shared" si="83"/>
        <v>2334310.460578192</v>
      </c>
      <c r="AW205" s="350">
        <f t="shared" si="84"/>
        <v>2358816.3454607967</v>
      </c>
      <c r="AX205" s="350">
        <f t="shared" si="85"/>
        <v>2381396.4913266543</v>
      </c>
      <c r="AY205" s="350">
        <f t="shared" si="86"/>
        <v>11662245.334065216</v>
      </c>
      <c r="AZ205" s="365"/>
      <c r="BA205" s="377">
        <f t="shared" si="87"/>
        <v>0</v>
      </c>
      <c r="BB205" s="377">
        <f t="shared" si="88"/>
        <v>0</v>
      </c>
      <c r="BC205" s="377">
        <f t="shared" si="89"/>
        <v>0</v>
      </c>
      <c r="BD205" s="377">
        <f t="shared" si="90"/>
        <v>0</v>
      </c>
      <c r="BE205" s="377">
        <f t="shared" si="91"/>
        <v>0</v>
      </c>
      <c r="BF205" s="377">
        <f t="shared" si="92"/>
        <v>0</v>
      </c>
      <c r="BG205" s="328"/>
    </row>
    <row r="206" spans="2:59">
      <c r="B206" s="332">
        <v>191</v>
      </c>
      <c r="C206" s="350">
        <v>7428089.1988942148</v>
      </c>
      <c r="D206" s="350">
        <v>45883.1049117234</v>
      </c>
      <c r="E206" s="350">
        <v>43931.462935360847</v>
      </c>
      <c r="F206" s="350">
        <v>41927.30536292561</v>
      </c>
      <c r="G206" s="350">
        <v>39870.734564002785</v>
      </c>
      <c r="H206" s="348">
        <v>7599701.8066682275</v>
      </c>
      <c r="I206" s="369"/>
      <c r="J206" s="350">
        <v>9718282.9363836888</v>
      </c>
      <c r="K206" s="350">
        <v>2364369.7712316825</v>
      </c>
      <c r="L206" s="350">
        <v>2388905.8946935469</v>
      </c>
      <c r="M206" s="350">
        <v>2411519.5737147424</v>
      </c>
      <c r="N206" s="350">
        <v>2432146.3030230766</v>
      </c>
      <c r="O206" s="348">
        <v>19315224.47904674</v>
      </c>
      <c r="P206" s="369"/>
      <c r="Q206" s="350">
        <f t="shared" si="93"/>
        <v>2290193.737489474</v>
      </c>
      <c r="R206" s="350">
        <f t="shared" si="94"/>
        <v>2318486.6663199593</v>
      </c>
      <c r="S206" s="350">
        <f t="shared" si="95"/>
        <v>2344974.4317581858</v>
      </c>
      <c r="T206" s="350">
        <f t="shared" si="96"/>
        <v>2369592.268351817</v>
      </c>
      <c r="U206" s="350">
        <f t="shared" si="97"/>
        <v>2392275.568459074</v>
      </c>
      <c r="V206" s="350">
        <f t="shared" si="98"/>
        <v>11715522.672378512</v>
      </c>
      <c r="W206" s="365"/>
      <c r="X206" s="377">
        <f t="shared" si="76"/>
        <v>0</v>
      </c>
      <c r="Y206" s="377">
        <f t="shared" si="77"/>
        <v>0</v>
      </c>
      <c r="Z206" s="377">
        <f t="shared" si="78"/>
        <v>0</v>
      </c>
      <c r="AA206" s="377">
        <f t="shared" si="79"/>
        <v>0</v>
      </c>
      <c r="AB206" s="377">
        <f t="shared" si="80"/>
        <v>0</v>
      </c>
      <c r="AC206" s="377">
        <f t="shared" si="81"/>
        <v>0</v>
      </c>
      <c r="AD206" s="376"/>
      <c r="AE206" s="332">
        <v>191</v>
      </c>
      <c r="AF206" s="350">
        <v>4730215.468311728</v>
      </c>
      <c r="AG206" s="350">
        <v>29218.412269459142</v>
      </c>
      <c r="AH206" s="350">
        <v>27975.604486996966</v>
      </c>
      <c r="AI206" s="350">
        <v>26699.354714515823</v>
      </c>
      <c r="AJ206" s="350">
        <v>25389.728141077125</v>
      </c>
      <c r="AK206" s="348">
        <v>4839498.5679237768</v>
      </c>
      <c r="AL206" s="369"/>
      <c r="AM206" s="350">
        <v>6280732.9717123024</v>
      </c>
      <c r="AN206" s="350">
        <v>1598890.9245481128</v>
      </c>
      <c r="AO206" s="350">
        <v>1615580.985616721</v>
      </c>
      <c r="AP206" s="350">
        <v>1630971.6168637141</v>
      </c>
      <c r="AQ206" s="350">
        <v>1645019.1425151969</v>
      </c>
      <c r="AR206" s="348">
        <v>12771195.641256047</v>
      </c>
      <c r="AS206" s="369"/>
      <c r="AT206" s="350">
        <f t="shared" si="99"/>
        <v>1550517.5034005744</v>
      </c>
      <c r="AU206" s="350">
        <f t="shared" si="82"/>
        <v>1569672.5122786537</v>
      </c>
      <c r="AV206" s="350">
        <f t="shared" si="83"/>
        <v>1587605.381129724</v>
      </c>
      <c r="AW206" s="350">
        <f t="shared" si="84"/>
        <v>1604272.2621491982</v>
      </c>
      <c r="AX206" s="350">
        <f t="shared" si="85"/>
        <v>1619629.4143741198</v>
      </c>
      <c r="AY206" s="350">
        <f t="shared" si="86"/>
        <v>7931697.0733322706</v>
      </c>
      <c r="AZ206" s="365"/>
      <c r="BA206" s="377">
        <f t="shared" si="87"/>
        <v>0</v>
      </c>
      <c r="BB206" s="377">
        <f t="shared" si="88"/>
        <v>0</v>
      </c>
      <c r="BC206" s="377">
        <f t="shared" si="89"/>
        <v>0</v>
      </c>
      <c r="BD206" s="377">
        <f t="shared" si="90"/>
        <v>0</v>
      </c>
      <c r="BE206" s="377">
        <f t="shared" si="91"/>
        <v>0</v>
      </c>
      <c r="BF206" s="377">
        <f t="shared" si="92"/>
        <v>0</v>
      </c>
      <c r="BG206" s="328"/>
    </row>
    <row r="207" spans="2:59">
      <c r="B207" s="332">
        <v>192</v>
      </c>
      <c r="C207" s="350">
        <v>6335915.8136472907</v>
      </c>
      <c r="D207" s="350">
        <v>39136.779621966161</v>
      </c>
      <c r="E207" s="350">
        <v>37472.093195952162</v>
      </c>
      <c r="F207" s="350">
        <v>35762.612693466406</v>
      </c>
      <c r="G207" s="350">
        <v>34008.42543239941</v>
      </c>
      <c r="H207" s="348">
        <v>6482295.7245910754</v>
      </c>
      <c r="I207" s="369"/>
      <c r="J207" s="350">
        <v>9035322.1421141401</v>
      </c>
      <c r="K207" s="350">
        <v>2771891.4270042237</v>
      </c>
      <c r="L207" s="350">
        <v>2801447.3488963852</v>
      </c>
      <c r="M207" s="350">
        <v>2828754.4283495885</v>
      </c>
      <c r="N207" s="350">
        <v>2853736.6009246856</v>
      </c>
      <c r="O207" s="348">
        <v>20291151.947289024</v>
      </c>
      <c r="P207" s="369"/>
      <c r="Q207" s="350">
        <f t="shared" si="93"/>
        <v>2699406.3284668494</v>
      </c>
      <c r="R207" s="350">
        <f t="shared" si="94"/>
        <v>2732754.6473822575</v>
      </c>
      <c r="S207" s="350">
        <f t="shared" si="95"/>
        <v>2763975.2557004332</v>
      </c>
      <c r="T207" s="350">
        <f t="shared" si="96"/>
        <v>2792991.8156561223</v>
      </c>
      <c r="U207" s="350">
        <f t="shared" si="97"/>
        <v>2819728.1754922862</v>
      </c>
      <c r="V207" s="350">
        <f t="shared" si="98"/>
        <v>13808856.222697947</v>
      </c>
      <c r="W207" s="365"/>
      <c r="X207" s="377">
        <f t="shared" si="76"/>
        <v>0</v>
      </c>
      <c r="Y207" s="377">
        <f t="shared" si="77"/>
        <v>0</v>
      </c>
      <c r="Z207" s="377">
        <f t="shared" si="78"/>
        <v>0</v>
      </c>
      <c r="AA207" s="377">
        <f t="shared" si="79"/>
        <v>0</v>
      </c>
      <c r="AB207" s="377">
        <f t="shared" si="80"/>
        <v>0</v>
      </c>
      <c r="AC207" s="377">
        <f t="shared" si="81"/>
        <v>0</v>
      </c>
      <c r="AD207" s="376"/>
      <c r="AE207" s="332">
        <v>192</v>
      </c>
      <c r="AF207" s="350">
        <v>6299754.6205406664</v>
      </c>
      <c r="AG207" s="350">
        <v>38913.412915857007</v>
      </c>
      <c r="AH207" s="350">
        <v>37258.227412690212</v>
      </c>
      <c r="AI207" s="350">
        <v>35558.50348784549</v>
      </c>
      <c r="AJ207" s="350">
        <v>33814.327960860159</v>
      </c>
      <c r="AK207" s="348">
        <v>6445299.0923179192</v>
      </c>
      <c r="AL207" s="369"/>
      <c r="AM207" s="350">
        <v>8148416.793670984</v>
      </c>
      <c r="AN207" s="350">
        <v>1910413.8579529526</v>
      </c>
      <c r="AO207" s="350">
        <v>1930139.8024453979</v>
      </c>
      <c r="AP207" s="350">
        <v>1948311.7874288305</v>
      </c>
      <c r="AQ207" s="350">
        <v>1964877.7479325261</v>
      </c>
      <c r="AR207" s="348">
        <v>15902159.98943069</v>
      </c>
      <c r="AS207" s="369"/>
      <c r="AT207" s="350">
        <f t="shared" si="99"/>
        <v>1848662.1731303176</v>
      </c>
      <c r="AU207" s="350">
        <f t="shared" si="82"/>
        <v>1871500.4450370956</v>
      </c>
      <c r="AV207" s="350">
        <f t="shared" si="83"/>
        <v>1892881.5750327078</v>
      </c>
      <c r="AW207" s="350">
        <f t="shared" si="84"/>
        <v>1912753.2839409851</v>
      </c>
      <c r="AX207" s="350">
        <f t="shared" si="85"/>
        <v>1931063.4199716658</v>
      </c>
      <c r="AY207" s="350">
        <f t="shared" si="86"/>
        <v>9456860.8971127719</v>
      </c>
      <c r="AZ207" s="365"/>
      <c r="BA207" s="377">
        <f t="shared" si="87"/>
        <v>0</v>
      </c>
      <c r="BB207" s="377">
        <f t="shared" si="88"/>
        <v>0</v>
      </c>
      <c r="BC207" s="377">
        <f t="shared" si="89"/>
        <v>0</v>
      </c>
      <c r="BD207" s="377">
        <f t="shared" si="90"/>
        <v>0</v>
      </c>
      <c r="BE207" s="377">
        <f t="shared" si="91"/>
        <v>0</v>
      </c>
      <c r="BF207" s="377">
        <f t="shared" si="92"/>
        <v>0</v>
      </c>
      <c r="BG207" s="328"/>
    </row>
    <row r="208" spans="2:59">
      <c r="B208" s="332">
        <v>193</v>
      </c>
      <c r="C208" s="350">
        <v>5820455.8980847597</v>
      </c>
      <c r="D208" s="350">
        <v>35952.797745837197</v>
      </c>
      <c r="E208" s="350">
        <v>34423.542274057763</v>
      </c>
      <c r="F208" s="350">
        <v>32853.136958394636</v>
      </c>
      <c r="G208" s="350">
        <v>31241.662012967536</v>
      </c>
      <c r="H208" s="348">
        <v>5954927.037076016</v>
      </c>
      <c r="I208" s="369"/>
      <c r="J208" s="350">
        <v>7430983.6584300641</v>
      </c>
      <c r="K208" s="350">
        <v>1666376.9304185393</v>
      </c>
      <c r="L208" s="350">
        <v>1683474.6063060879</v>
      </c>
      <c r="M208" s="350">
        <v>1699216.1465191687</v>
      </c>
      <c r="N208" s="350">
        <v>1713556.1973861512</v>
      </c>
      <c r="O208" s="348">
        <v>14193607.539060012</v>
      </c>
      <c r="P208" s="369"/>
      <c r="Q208" s="350">
        <f t="shared" si="93"/>
        <v>1610527.7603453044</v>
      </c>
      <c r="R208" s="350">
        <f t="shared" si="94"/>
        <v>1630424.1326727022</v>
      </c>
      <c r="S208" s="350">
        <f t="shared" si="95"/>
        <v>1649051.0640320301</v>
      </c>
      <c r="T208" s="350">
        <f t="shared" si="96"/>
        <v>1666363.0095607741</v>
      </c>
      <c r="U208" s="350">
        <f t="shared" si="97"/>
        <v>1682314.5353731837</v>
      </c>
      <c r="V208" s="350">
        <f t="shared" si="98"/>
        <v>8238680.5019839955</v>
      </c>
      <c r="W208" s="365"/>
      <c r="X208" s="377">
        <f t="shared" ref="X208:X271" si="100">IF(Q208&lt;Q$8,1,0)</f>
        <v>0</v>
      </c>
      <c r="Y208" s="377">
        <f t="shared" ref="Y208:Y271" si="101">IF(R208&lt;R$8,1,0)</f>
        <v>0</v>
      </c>
      <c r="Z208" s="377">
        <f t="shared" ref="Z208:Z271" si="102">IF(S208&lt;S$8,1,0)</f>
        <v>0</v>
      </c>
      <c r="AA208" s="377">
        <f t="shared" ref="AA208:AA271" si="103">IF(T208&lt;T$8,1,0)</f>
        <v>0</v>
      </c>
      <c r="AB208" s="377">
        <f t="shared" ref="AB208:AB271" si="104">IF(U208&lt;U$8,1,0)</f>
        <v>0</v>
      </c>
      <c r="AC208" s="377">
        <f t="shared" ref="AC208:AC271" si="105">IF(V208&lt;V$8,1,0)</f>
        <v>0</v>
      </c>
      <c r="AD208" s="376"/>
      <c r="AE208" s="332">
        <v>193</v>
      </c>
      <c r="AF208" s="350">
        <v>3689718.7630586689</v>
      </c>
      <c r="AG208" s="350">
        <v>22791.292426238011</v>
      </c>
      <c r="AH208" s="350">
        <v>21821.862761872202</v>
      </c>
      <c r="AI208" s="350">
        <v>20826.347279877744</v>
      </c>
      <c r="AJ208" s="350">
        <v>19804.796829800358</v>
      </c>
      <c r="AK208" s="348">
        <v>3774963.0623564576</v>
      </c>
      <c r="AL208" s="369"/>
      <c r="AM208" s="350">
        <v>5634824.2352397954</v>
      </c>
      <c r="AN208" s="350">
        <v>1991926.4917834303</v>
      </c>
      <c r="AO208" s="350">
        <v>2013453.6293990971</v>
      </c>
      <c r="AP208" s="350">
        <v>2033366.5147600938</v>
      </c>
      <c r="AQ208" s="350">
        <v>2051610.3262064783</v>
      </c>
      <c r="AR208" s="348">
        <v>13725181.197388895</v>
      </c>
      <c r="AS208" s="369"/>
      <c r="AT208" s="350">
        <f t="shared" si="99"/>
        <v>1945105.4721811265</v>
      </c>
      <c r="AU208" s="350">
        <f t="shared" ref="AU208:AU271" si="106">AN208-AG208</f>
        <v>1969135.1993571923</v>
      </c>
      <c r="AV208" s="350">
        <f t="shared" ref="AV208:AV271" si="107">AO208-AH208</f>
        <v>1991631.7666372249</v>
      </c>
      <c r="AW208" s="350">
        <f t="shared" ref="AW208:AW271" si="108">AP208-AI208</f>
        <v>2012540.1674802161</v>
      </c>
      <c r="AX208" s="350">
        <f t="shared" ref="AX208:AX271" si="109">AQ208-AJ208</f>
        <v>2031805.5293766779</v>
      </c>
      <c r="AY208" s="350">
        <f t="shared" ref="AY208:AY271" si="110">AR208-AK208</f>
        <v>9950218.1350324377</v>
      </c>
      <c r="AZ208" s="365"/>
      <c r="BA208" s="377">
        <f t="shared" ref="BA208:BA271" si="111">IF(AT208&lt;AT$8,1,0)</f>
        <v>0</v>
      </c>
      <c r="BB208" s="377">
        <f t="shared" ref="BB208:BB271" si="112">IF(AU208&lt;AU$8,1,0)</f>
        <v>0</v>
      </c>
      <c r="BC208" s="377">
        <f t="shared" ref="BC208:BC271" si="113">IF(AV208&lt;AV$8,1,0)</f>
        <v>0</v>
      </c>
      <c r="BD208" s="377">
        <f t="shared" ref="BD208:BD271" si="114">IF(AW208&lt;AW$8,1,0)</f>
        <v>0</v>
      </c>
      <c r="BE208" s="377">
        <f t="shared" ref="BE208:BE271" si="115">IF(AX208&lt;AX$8,1,0)</f>
        <v>0</v>
      </c>
      <c r="BF208" s="377">
        <f t="shared" ref="BF208:BF271" si="116">IF(AY208&lt;AY$8,1,0)</f>
        <v>0</v>
      </c>
      <c r="BG208" s="328"/>
    </row>
    <row r="209" spans="2:59">
      <c r="B209" s="332">
        <v>194</v>
      </c>
      <c r="C209" s="350">
        <v>6886883.4801017307</v>
      </c>
      <c r="D209" s="350">
        <v>42540.091909419585</v>
      </c>
      <c r="E209" s="350">
        <v>40730.64529048463</v>
      </c>
      <c r="F209" s="350">
        <v>38872.509327445368</v>
      </c>
      <c r="G209" s="350">
        <v>36965.778931307505</v>
      </c>
      <c r="H209" s="348">
        <v>7045992.5055603879</v>
      </c>
      <c r="I209" s="369"/>
      <c r="J209" s="350">
        <v>9855596.5169674903</v>
      </c>
      <c r="K209" s="350">
        <v>3047928.4481139947</v>
      </c>
      <c r="L209" s="350">
        <v>3080454.338845212</v>
      </c>
      <c r="M209" s="350">
        <v>3110507.6046289327</v>
      </c>
      <c r="N209" s="350">
        <v>3138004.5913267797</v>
      </c>
      <c r="O209" s="348">
        <v>22232491.499882411</v>
      </c>
      <c r="P209" s="369"/>
      <c r="Q209" s="350">
        <f t="shared" ref="Q209:Q272" si="117">J209-C209</f>
        <v>2968713.0368657596</v>
      </c>
      <c r="R209" s="350">
        <f t="shared" ref="R209:R272" si="118">K209-D209</f>
        <v>3005388.3562045749</v>
      </c>
      <c r="S209" s="350">
        <f t="shared" ref="S209:S272" si="119">L209-E209</f>
        <v>3039723.6935547274</v>
      </c>
      <c r="T209" s="350">
        <f t="shared" ref="T209:T272" si="120">M209-F209</f>
        <v>3071635.0953014875</v>
      </c>
      <c r="U209" s="350">
        <f t="shared" ref="U209:U272" si="121">N209-G209</f>
        <v>3101038.8123954721</v>
      </c>
      <c r="V209" s="350">
        <f t="shared" ref="V209:V272" si="122">O209-H209</f>
        <v>15186498.994322024</v>
      </c>
      <c r="W209" s="365"/>
      <c r="X209" s="377">
        <f t="shared" si="100"/>
        <v>0</v>
      </c>
      <c r="Y209" s="377">
        <f t="shared" si="101"/>
        <v>0</v>
      </c>
      <c r="Z209" s="377">
        <f t="shared" si="102"/>
        <v>0</v>
      </c>
      <c r="AA209" s="377">
        <f t="shared" si="103"/>
        <v>0</v>
      </c>
      <c r="AB209" s="377">
        <f t="shared" si="104"/>
        <v>0</v>
      </c>
      <c r="AC209" s="377">
        <f t="shared" si="105"/>
        <v>0</v>
      </c>
      <c r="AD209" s="376"/>
      <c r="AE209" s="332">
        <v>194</v>
      </c>
      <c r="AF209" s="350">
        <v>7733042.789744419</v>
      </c>
      <c r="AG209" s="350">
        <v>47766.794946609698</v>
      </c>
      <c r="AH209" s="350">
        <v>45735.030045920037</v>
      </c>
      <c r="AI209" s="350">
        <v>43648.593568108379</v>
      </c>
      <c r="AJ209" s="350">
        <v>41507.592085441065</v>
      </c>
      <c r="AK209" s="348">
        <v>7911700.8003904978</v>
      </c>
      <c r="AL209" s="369"/>
      <c r="AM209" s="350">
        <v>9447096.9930415452</v>
      </c>
      <c r="AN209" s="350">
        <v>1782996.3306148022</v>
      </c>
      <c r="AO209" s="350">
        <v>1800788.8560971203</v>
      </c>
      <c r="AP209" s="350">
        <v>1817127.195479389</v>
      </c>
      <c r="AQ209" s="350">
        <v>1831963.1009094561</v>
      </c>
      <c r="AR209" s="348">
        <v>16679972.476142313</v>
      </c>
      <c r="AS209" s="369"/>
      <c r="AT209" s="350">
        <f t="shared" ref="AT209:AT272" si="123">AM209-AF209</f>
        <v>1714054.2032971261</v>
      </c>
      <c r="AU209" s="350">
        <f t="shared" si="106"/>
        <v>1735229.5356681924</v>
      </c>
      <c r="AV209" s="350">
        <f t="shared" si="107"/>
        <v>1755053.8260512003</v>
      </c>
      <c r="AW209" s="350">
        <f t="shared" si="108"/>
        <v>1773478.6019112808</v>
      </c>
      <c r="AX209" s="350">
        <f t="shared" si="109"/>
        <v>1790455.508824015</v>
      </c>
      <c r="AY209" s="350">
        <f t="shared" si="110"/>
        <v>8768271.6757518165</v>
      </c>
      <c r="AZ209" s="365"/>
      <c r="BA209" s="377">
        <f t="shared" si="111"/>
        <v>0</v>
      </c>
      <c r="BB209" s="377">
        <f t="shared" si="112"/>
        <v>0</v>
      </c>
      <c r="BC209" s="377">
        <f t="shared" si="113"/>
        <v>0</v>
      </c>
      <c r="BD209" s="377">
        <f t="shared" si="114"/>
        <v>0</v>
      </c>
      <c r="BE209" s="377">
        <f t="shared" si="115"/>
        <v>0</v>
      </c>
      <c r="BF209" s="377">
        <f t="shared" si="116"/>
        <v>0</v>
      </c>
      <c r="BG209" s="328"/>
    </row>
    <row r="210" spans="2:59">
      <c r="B210" s="332">
        <v>195</v>
      </c>
      <c r="C210" s="350">
        <v>6458402.1445935313</v>
      </c>
      <c r="D210" s="350">
        <v>39893.374356166772</v>
      </c>
      <c r="E210" s="350">
        <v>38196.506105379201</v>
      </c>
      <c r="F210" s="350">
        <v>36453.977816159102</v>
      </c>
      <c r="G210" s="350">
        <v>34665.878494433418</v>
      </c>
      <c r="H210" s="348">
        <v>6607611.881365669</v>
      </c>
      <c r="I210" s="369"/>
      <c r="J210" s="350">
        <v>8678969.9547017813</v>
      </c>
      <c r="K210" s="350">
        <v>2287893.9583761655</v>
      </c>
      <c r="L210" s="350">
        <v>2311879.5807946185</v>
      </c>
      <c r="M210" s="350">
        <v>2334006.4634637251</v>
      </c>
      <c r="N210" s="350">
        <v>2354212.051933852</v>
      </c>
      <c r="O210" s="348">
        <v>17966962.009270143</v>
      </c>
      <c r="P210" s="369"/>
      <c r="Q210" s="350">
        <f t="shared" si="117"/>
        <v>2220567.81010825</v>
      </c>
      <c r="R210" s="350">
        <f t="shared" si="118"/>
        <v>2248000.5840199986</v>
      </c>
      <c r="S210" s="350">
        <f t="shared" si="119"/>
        <v>2273683.0746892393</v>
      </c>
      <c r="T210" s="350">
        <f t="shared" si="120"/>
        <v>2297552.4856475662</v>
      </c>
      <c r="U210" s="350">
        <f t="shared" si="121"/>
        <v>2319546.1734394184</v>
      </c>
      <c r="V210" s="350">
        <f t="shared" si="122"/>
        <v>11359350.127904475</v>
      </c>
      <c r="W210" s="365"/>
      <c r="X210" s="377">
        <f t="shared" si="100"/>
        <v>0</v>
      </c>
      <c r="Y210" s="377">
        <f t="shared" si="101"/>
        <v>0</v>
      </c>
      <c r="Z210" s="377">
        <f t="shared" si="102"/>
        <v>0</v>
      </c>
      <c r="AA210" s="377">
        <f t="shared" si="103"/>
        <v>0</v>
      </c>
      <c r="AB210" s="377">
        <f t="shared" si="104"/>
        <v>0</v>
      </c>
      <c r="AC210" s="377">
        <f t="shared" si="105"/>
        <v>0</v>
      </c>
      <c r="AD210" s="376"/>
      <c r="AE210" s="332">
        <v>195</v>
      </c>
      <c r="AF210" s="350">
        <v>7184223.2101092795</v>
      </c>
      <c r="AG210" s="350">
        <v>44376.751333002736</v>
      </c>
      <c r="AH210" s="350">
        <v>42489.182241004979</v>
      </c>
      <c r="AI210" s="350">
        <v>40550.821652830135</v>
      </c>
      <c r="AJ210" s="350">
        <v>38561.768577235074</v>
      </c>
      <c r="AK210" s="348">
        <v>7350201.7339133527</v>
      </c>
      <c r="AL210" s="369"/>
      <c r="AM210" s="350">
        <v>9195974.9183442481</v>
      </c>
      <c r="AN210" s="350">
        <v>2080981.5307182302</v>
      </c>
      <c r="AO210" s="350">
        <v>2102361.3413659418</v>
      </c>
      <c r="AP210" s="350">
        <v>2122047.7778460653</v>
      </c>
      <c r="AQ210" s="350">
        <v>2139984.1865303987</v>
      </c>
      <c r="AR210" s="348">
        <v>17641349.754804883</v>
      </c>
      <c r="AS210" s="369"/>
      <c r="AT210" s="350">
        <f t="shared" si="123"/>
        <v>2011751.7082349686</v>
      </c>
      <c r="AU210" s="350">
        <f t="shared" si="106"/>
        <v>2036604.7793852275</v>
      </c>
      <c r="AV210" s="350">
        <f t="shared" si="107"/>
        <v>2059872.1591249369</v>
      </c>
      <c r="AW210" s="350">
        <f t="shared" si="108"/>
        <v>2081496.9561932352</v>
      </c>
      <c r="AX210" s="350">
        <f t="shared" si="109"/>
        <v>2101422.4179531634</v>
      </c>
      <c r="AY210" s="350">
        <f t="shared" si="110"/>
        <v>10291148.02089153</v>
      </c>
      <c r="AZ210" s="365"/>
      <c r="BA210" s="377">
        <f t="shared" si="111"/>
        <v>0</v>
      </c>
      <c r="BB210" s="377">
        <f t="shared" si="112"/>
        <v>0</v>
      </c>
      <c r="BC210" s="377">
        <f t="shared" si="113"/>
        <v>0</v>
      </c>
      <c r="BD210" s="377">
        <f t="shared" si="114"/>
        <v>0</v>
      </c>
      <c r="BE210" s="377">
        <f t="shared" si="115"/>
        <v>0</v>
      </c>
      <c r="BF210" s="377">
        <f t="shared" si="116"/>
        <v>0</v>
      </c>
      <c r="BG210" s="328"/>
    </row>
    <row r="211" spans="2:59">
      <c r="B211" s="332">
        <v>196</v>
      </c>
      <c r="C211" s="350">
        <v>3911002.4939417015</v>
      </c>
      <c r="D211" s="350">
        <v>24158.156012216197</v>
      </c>
      <c r="E211" s="350">
        <v>23130.586682814592</v>
      </c>
      <c r="F211" s="350">
        <v>22075.367089434749</v>
      </c>
      <c r="G211" s="350">
        <v>20992.551131227905</v>
      </c>
      <c r="H211" s="348">
        <v>4001359.1548573948</v>
      </c>
      <c r="I211" s="369"/>
      <c r="J211" s="350">
        <v>5451468.5708096586</v>
      </c>
      <c r="K211" s="350">
        <v>1583655.0669817366</v>
      </c>
      <c r="L211" s="350">
        <v>1600444.1144047468</v>
      </c>
      <c r="M211" s="350">
        <v>1615947.7306590015</v>
      </c>
      <c r="N211" s="350">
        <v>1630122.5122370399</v>
      </c>
      <c r="O211" s="348">
        <v>11881637.995092185</v>
      </c>
      <c r="P211" s="369"/>
      <c r="Q211" s="350">
        <f t="shared" si="117"/>
        <v>1540466.0768679571</v>
      </c>
      <c r="R211" s="350">
        <f t="shared" si="118"/>
        <v>1559496.9109695205</v>
      </c>
      <c r="S211" s="350">
        <f t="shared" si="119"/>
        <v>1577313.5277219322</v>
      </c>
      <c r="T211" s="350">
        <f t="shared" si="120"/>
        <v>1593872.3635695667</v>
      </c>
      <c r="U211" s="350">
        <f t="shared" si="121"/>
        <v>1609129.9611058119</v>
      </c>
      <c r="V211" s="350">
        <f t="shared" si="122"/>
        <v>7880278.84023479</v>
      </c>
      <c r="W211" s="365"/>
      <c r="X211" s="377">
        <f t="shared" si="100"/>
        <v>0</v>
      </c>
      <c r="Y211" s="377">
        <f t="shared" si="101"/>
        <v>0</v>
      </c>
      <c r="Z211" s="377">
        <f t="shared" si="102"/>
        <v>0</v>
      </c>
      <c r="AA211" s="377">
        <f t="shared" si="103"/>
        <v>0</v>
      </c>
      <c r="AB211" s="377">
        <f t="shared" si="104"/>
        <v>0</v>
      </c>
      <c r="AC211" s="377">
        <f t="shared" si="105"/>
        <v>0</v>
      </c>
      <c r="AD211" s="376"/>
      <c r="AE211" s="332">
        <v>196</v>
      </c>
      <c r="AF211" s="350">
        <v>6098920.8512560902</v>
      </c>
      <c r="AG211" s="350">
        <v>37672.868186360945</v>
      </c>
      <c r="AH211" s="350">
        <v>36070.449364359156</v>
      </c>
      <c r="AI211" s="350">
        <v>34424.91198853567</v>
      </c>
      <c r="AJ211" s="350">
        <v>32736.340110657784</v>
      </c>
      <c r="AK211" s="348">
        <v>6239825.4209060045</v>
      </c>
      <c r="AL211" s="369"/>
      <c r="AM211" s="350">
        <v>8140606.2100543566</v>
      </c>
      <c r="AN211" s="350">
        <v>2104581.0968253422</v>
      </c>
      <c r="AO211" s="350">
        <v>2126592.2623028923</v>
      </c>
      <c r="AP211" s="350">
        <v>2146893.285916971</v>
      </c>
      <c r="AQ211" s="350">
        <v>2165426.6546374392</v>
      </c>
      <c r="AR211" s="348">
        <v>16684099.509737002</v>
      </c>
      <c r="AS211" s="369"/>
      <c r="AT211" s="350">
        <f t="shared" si="123"/>
        <v>2041685.3587982664</v>
      </c>
      <c r="AU211" s="350">
        <f t="shared" si="106"/>
        <v>2066908.2286389812</v>
      </c>
      <c r="AV211" s="350">
        <f t="shared" si="107"/>
        <v>2090521.812938533</v>
      </c>
      <c r="AW211" s="350">
        <f t="shared" si="108"/>
        <v>2112468.3739284351</v>
      </c>
      <c r="AX211" s="350">
        <f t="shared" si="109"/>
        <v>2132690.3145267814</v>
      </c>
      <c r="AY211" s="350">
        <f t="shared" si="110"/>
        <v>10444274.088830996</v>
      </c>
      <c r="AZ211" s="365"/>
      <c r="BA211" s="377">
        <f t="shared" si="111"/>
        <v>0</v>
      </c>
      <c r="BB211" s="377">
        <f t="shared" si="112"/>
        <v>0</v>
      </c>
      <c r="BC211" s="377">
        <f t="shared" si="113"/>
        <v>0</v>
      </c>
      <c r="BD211" s="377">
        <f t="shared" si="114"/>
        <v>0</v>
      </c>
      <c r="BE211" s="377">
        <f t="shared" si="115"/>
        <v>0</v>
      </c>
      <c r="BF211" s="377">
        <f t="shared" si="116"/>
        <v>0</v>
      </c>
      <c r="BG211" s="328"/>
    </row>
    <row r="212" spans="2:59">
      <c r="B212" s="332">
        <v>197</v>
      </c>
      <c r="C212" s="350">
        <v>5471433.7775909305</v>
      </c>
      <c r="D212" s="350">
        <v>33796.897602161967</v>
      </c>
      <c r="E212" s="350">
        <v>32359.343536061089</v>
      </c>
      <c r="F212" s="350">
        <v>30883.107165732774</v>
      </c>
      <c r="G212" s="350">
        <v>29368.263895286731</v>
      </c>
      <c r="H212" s="348">
        <v>5597841.3897901736</v>
      </c>
      <c r="I212" s="369"/>
      <c r="J212" s="350">
        <v>7946394.0527335759</v>
      </c>
      <c r="K212" s="350">
        <v>2539332.6973288744</v>
      </c>
      <c r="L212" s="350">
        <v>2566519.8688323991</v>
      </c>
      <c r="M212" s="350">
        <v>2591647.5684661819</v>
      </c>
      <c r="N212" s="350">
        <v>2614646.0516255535</v>
      </c>
      <c r="O212" s="348">
        <v>18258540.238986585</v>
      </c>
      <c r="P212" s="369"/>
      <c r="Q212" s="350">
        <f t="shared" si="117"/>
        <v>2474960.2751426455</v>
      </c>
      <c r="R212" s="350">
        <f t="shared" si="118"/>
        <v>2505535.7997267125</v>
      </c>
      <c r="S212" s="350">
        <f t="shared" si="119"/>
        <v>2534160.5252963379</v>
      </c>
      <c r="T212" s="350">
        <f t="shared" si="120"/>
        <v>2560764.461300449</v>
      </c>
      <c r="U212" s="350">
        <f t="shared" si="121"/>
        <v>2585277.7877302668</v>
      </c>
      <c r="V212" s="350">
        <f t="shared" si="122"/>
        <v>12660698.849196412</v>
      </c>
      <c r="W212" s="365"/>
      <c r="X212" s="377">
        <f t="shared" si="100"/>
        <v>0</v>
      </c>
      <c r="Y212" s="377">
        <f t="shared" si="101"/>
        <v>0</v>
      </c>
      <c r="Z212" s="377">
        <f t="shared" si="102"/>
        <v>0</v>
      </c>
      <c r="AA212" s="377">
        <f t="shared" si="103"/>
        <v>0</v>
      </c>
      <c r="AB212" s="377">
        <f t="shared" si="104"/>
        <v>0</v>
      </c>
      <c r="AC212" s="377">
        <f t="shared" si="105"/>
        <v>0</v>
      </c>
      <c r="AD212" s="376"/>
      <c r="AE212" s="332">
        <v>197</v>
      </c>
      <c r="AF212" s="350">
        <v>4982248.7880895678</v>
      </c>
      <c r="AG212" s="350">
        <v>30775.215229544268</v>
      </c>
      <c r="AH212" s="350">
        <v>29466.188693760319</v>
      </c>
      <c r="AI212" s="350">
        <v>28121.938326130567</v>
      </c>
      <c r="AJ212" s="350">
        <v>26742.532789094279</v>
      </c>
      <c r="AK212" s="348">
        <v>5097354.6631280966</v>
      </c>
      <c r="AL212" s="369"/>
      <c r="AM212" s="350">
        <v>6900477.2555864118</v>
      </c>
      <c r="AN212" s="350">
        <v>1972701.3728488805</v>
      </c>
      <c r="AO212" s="350">
        <v>1993578.0613782685</v>
      </c>
      <c r="AP212" s="350">
        <v>2012853.3045447795</v>
      </c>
      <c r="AQ212" s="350">
        <v>2030473.0567166484</v>
      </c>
      <c r="AR212" s="348">
        <v>14910083.051074987</v>
      </c>
      <c r="AS212" s="369"/>
      <c r="AT212" s="350">
        <f t="shared" si="123"/>
        <v>1918228.467496844</v>
      </c>
      <c r="AU212" s="350">
        <f t="shared" si="106"/>
        <v>1941926.1576193362</v>
      </c>
      <c r="AV212" s="350">
        <f t="shared" si="107"/>
        <v>1964111.8726845081</v>
      </c>
      <c r="AW212" s="350">
        <f t="shared" si="108"/>
        <v>1984731.3662186489</v>
      </c>
      <c r="AX212" s="350">
        <f t="shared" si="109"/>
        <v>2003730.523927554</v>
      </c>
      <c r="AY212" s="350">
        <f t="shared" si="110"/>
        <v>9812728.3879468907</v>
      </c>
      <c r="AZ212" s="365"/>
      <c r="BA212" s="377">
        <f t="shared" si="111"/>
        <v>0</v>
      </c>
      <c r="BB212" s="377">
        <f t="shared" si="112"/>
        <v>0</v>
      </c>
      <c r="BC212" s="377">
        <f t="shared" si="113"/>
        <v>0</v>
      </c>
      <c r="BD212" s="377">
        <f t="shared" si="114"/>
        <v>0</v>
      </c>
      <c r="BE212" s="377">
        <f t="shared" si="115"/>
        <v>0</v>
      </c>
      <c r="BF212" s="377">
        <f t="shared" si="116"/>
        <v>0</v>
      </c>
      <c r="BG212" s="328"/>
    </row>
    <row r="213" spans="2:59">
      <c r="B213" s="332">
        <v>198</v>
      </c>
      <c r="C213" s="350">
        <v>6910813.5517633995</v>
      </c>
      <c r="D213" s="350">
        <v>42687.907311092109</v>
      </c>
      <c r="E213" s="350">
        <v>40872.173350810153</v>
      </c>
      <c r="F213" s="350">
        <v>39007.580864021525</v>
      </c>
      <c r="G213" s="350">
        <v>37094.225091520799</v>
      </c>
      <c r="H213" s="348">
        <v>7070475.438380844</v>
      </c>
      <c r="I213" s="369"/>
      <c r="J213" s="350">
        <v>9214866.7233432941</v>
      </c>
      <c r="K213" s="350">
        <v>2375205.2264161739</v>
      </c>
      <c r="L213" s="350">
        <v>2400037.5523850545</v>
      </c>
      <c r="M213" s="350">
        <v>2422939.7748416928</v>
      </c>
      <c r="N213" s="350">
        <v>2443846.9904027376</v>
      </c>
      <c r="O213" s="348">
        <v>18856896.267388955</v>
      </c>
      <c r="P213" s="369"/>
      <c r="Q213" s="350">
        <f t="shared" si="117"/>
        <v>2304053.1715798946</v>
      </c>
      <c r="R213" s="350">
        <f t="shared" si="118"/>
        <v>2332517.3191050817</v>
      </c>
      <c r="S213" s="350">
        <f t="shared" si="119"/>
        <v>2359165.3790342445</v>
      </c>
      <c r="T213" s="350">
        <f t="shared" si="120"/>
        <v>2383932.1939776712</v>
      </c>
      <c r="U213" s="350">
        <f t="shared" si="121"/>
        <v>2406752.7653112169</v>
      </c>
      <c r="V213" s="350">
        <f t="shared" si="122"/>
        <v>11786420.82900811</v>
      </c>
      <c r="W213" s="365"/>
      <c r="X213" s="377">
        <f t="shared" si="100"/>
        <v>0</v>
      </c>
      <c r="Y213" s="377">
        <f t="shared" si="101"/>
        <v>0</v>
      </c>
      <c r="Z213" s="377">
        <f t="shared" si="102"/>
        <v>0</v>
      </c>
      <c r="AA213" s="377">
        <f t="shared" si="103"/>
        <v>0</v>
      </c>
      <c r="AB213" s="377">
        <f t="shared" si="104"/>
        <v>0</v>
      </c>
      <c r="AC213" s="377">
        <f t="shared" si="105"/>
        <v>0</v>
      </c>
      <c r="AD213" s="376"/>
      <c r="AE213" s="332">
        <v>198</v>
      </c>
      <c r="AF213" s="350">
        <v>5753639.232840348</v>
      </c>
      <c r="AG213" s="350">
        <v>35540.073022270582</v>
      </c>
      <c r="AH213" s="350">
        <v>34028.372833565445</v>
      </c>
      <c r="AI213" s="350">
        <v>32475.995185856624</v>
      </c>
      <c r="AJ213" s="350">
        <v>30883.019372434308</v>
      </c>
      <c r="AK213" s="348">
        <v>5886566.6932544755</v>
      </c>
      <c r="AL213" s="369"/>
      <c r="AM213" s="350">
        <v>7393647.3934930013</v>
      </c>
      <c r="AN213" s="350">
        <v>1695808.8052637824</v>
      </c>
      <c r="AO213" s="350">
        <v>1713264.9988235601</v>
      </c>
      <c r="AP213" s="350">
        <v>1729341.4585315171</v>
      </c>
      <c r="AQ213" s="350">
        <v>1743991.998136671</v>
      </c>
      <c r="AR213" s="348">
        <v>14276054.654248534</v>
      </c>
      <c r="AS213" s="369"/>
      <c r="AT213" s="350">
        <f t="shared" si="123"/>
        <v>1640008.1606526533</v>
      </c>
      <c r="AU213" s="350">
        <f t="shared" si="106"/>
        <v>1660268.7322415118</v>
      </c>
      <c r="AV213" s="350">
        <f t="shared" si="107"/>
        <v>1679236.6259899947</v>
      </c>
      <c r="AW213" s="350">
        <f t="shared" si="108"/>
        <v>1696865.4633456604</v>
      </c>
      <c r="AX213" s="350">
        <f t="shared" si="109"/>
        <v>1713108.9787642367</v>
      </c>
      <c r="AY213" s="350">
        <f t="shared" si="110"/>
        <v>8389487.9609940574</v>
      </c>
      <c r="AZ213" s="365"/>
      <c r="BA213" s="377">
        <f t="shared" si="111"/>
        <v>0</v>
      </c>
      <c r="BB213" s="377">
        <f t="shared" si="112"/>
        <v>0</v>
      </c>
      <c r="BC213" s="377">
        <f t="shared" si="113"/>
        <v>0</v>
      </c>
      <c r="BD213" s="377">
        <f t="shared" si="114"/>
        <v>0</v>
      </c>
      <c r="BE213" s="377">
        <f t="shared" si="115"/>
        <v>0</v>
      </c>
      <c r="BF213" s="377">
        <f t="shared" si="116"/>
        <v>0</v>
      </c>
      <c r="BG213" s="328"/>
    </row>
    <row r="214" spans="2:59">
      <c r="B214" s="332">
        <v>199</v>
      </c>
      <c r="C214" s="350">
        <v>5514203.4121868927</v>
      </c>
      <c r="D214" s="350">
        <v>34061.084471578768</v>
      </c>
      <c r="E214" s="350">
        <v>32612.293193327303</v>
      </c>
      <c r="F214" s="350">
        <v>31124.517235262556</v>
      </c>
      <c r="G214" s="350">
        <v>29597.83259091018</v>
      </c>
      <c r="H214" s="348">
        <v>5641599.1396779716</v>
      </c>
      <c r="I214" s="369"/>
      <c r="J214" s="350">
        <v>7364087.7676708717</v>
      </c>
      <c r="K214" s="350">
        <v>1906798.8106366387</v>
      </c>
      <c r="L214" s="350">
        <v>1926745.2847867245</v>
      </c>
      <c r="M214" s="350">
        <v>1945142.3552654278</v>
      </c>
      <c r="N214" s="350">
        <v>1961937.9117975584</v>
      </c>
      <c r="O214" s="348">
        <v>15104712.130157219</v>
      </c>
      <c r="P214" s="369"/>
      <c r="Q214" s="350">
        <f t="shared" si="117"/>
        <v>1849884.355483979</v>
      </c>
      <c r="R214" s="350">
        <f t="shared" si="118"/>
        <v>1872737.72616506</v>
      </c>
      <c r="S214" s="350">
        <f t="shared" si="119"/>
        <v>1894132.9915933972</v>
      </c>
      <c r="T214" s="350">
        <f t="shared" si="120"/>
        <v>1914017.8380301653</v>
      </c>
      <c r="U214" s="350">
        <f t="shared" si="121"/>
        <v>1932340.0792066483</v>
      </c>
      <c r="V214" s="350">
        <f t="shared" si="122"/>
        <v>9463112.9904792476</v>
      </c>
      <c r="W214" s="365"/>
      <c r="X214" s="377">
        <f t="shared" si="100"/>
        <v>0</v>
      </c>
      <c r="Y214" s="377">
        <f t="shared" si="101"/>
        <v>0</v>
      </c>
      <c r="Z214" s="377">
        <f t="shared" si="102"/>
        <v>0</v>
      </c>
      <c r="AA214" s="377">
        <f t="shared" si="103"/>
        <v>0</v>
      </c>
      <c r="AB214" s="377">
        <f t="shared" si="104"/>
        <v>0</v>
      </c>
      <c r="AC214" s="377">
        <f t="shared" si="105"/>
        <v>0</v>
      </c>
      <c r="AD214" s="376"/>
      <c r="AE214" s="332">
        <v>199</v>
      </c>
      <c r="AF214" s="350">
        <v>6001034.03276846</v>
      </c>
      <c r="AG214" s="350">
        <v>37068.223971426669</v>
      </c>
      <c r="AH214" s="350">
        <v>35491.523745251994</v>
      </c>
      <c r="AI214" s="350">
        <v>33872.397011959045</v>
      </c>
      <c r="AJ214" s="350">
        <v>32210.926474292486</v>
      </c>
      <c r="AK214" s="348">
        <v>6139677.1039713901</v>
      </c>
      <c r="AL214" s="369"/>
      <c r="AM214" s="350">
        <v>8205025.3869283646</v>
      </c>
      <c r="AN214" s="350">
        <v>2268287.5674081715</v>
      </c>
      <c r="AO214" s="350">
        <v>2292201.6390155032</v>
      </c>
      <c r="AP214" s="350">
        <v>2314273.7389772763</v>
      </c>
      <c r="AQ214" s="350">
        <v>2334441.7741717361</v>
      </c>
      <c r="AR214" s="348">
        <v>17414230.10650105</v>
      </c>
      <c r="AS214" s="369"/>
      <c r="AT214" s="350">
        <f t="shared" si="123"/>
        <v>2203991.3541599046</v>
      </c>
      <c r="AU214" s="350">
        <f t="shared" si="106"/>
        <v>2231219.343436745</v>
      </c>
      <c r="AV214" s="350">
        <f t="shared" si="107"/>
        <v>2256710.1152702514</v>
      </c>
      <c r="AW214" s="350">
        <f t="shared" si="108"/>
        <v>2280401.3419653173</v>
      </c>
      <c r="AX214" s="350">
        <f t="shared" si="109"/>
        <v>2302230.8476974438</v>
      </c>
      <c r="AY214" s="350">
        <f t="shared" si="110"/>
        <v>11274553.00252966</v>
      </c>
      <c r="AZ214" s="365"/>
      <c r="BA214" s="377">
        <f t="shared" si="111"/>
        <v>0</v>
      </c>
      <c r="BB214" s="377">
        <f t="shared" si="112"/>
        <v>0</v>
      </c>
      <c r="BC214" s="377">
        <f t="shared" si="113"/>
        <v>0</v>
      </c>
      <c r="BD214" s="377">
        <f t="shared" si="114"/>
        <v>0</v>
      </c>
      <c r="BE214" s="377">
        <f t="shared" si="115"/>
        <v>0</v>
      </c>
      <c r="BF214" s="377">
        <f t="shared" si="116"/>
        <v>0</v>
      </c>
      <c r="BG214" s="328"/>
    </row>
    <row r="215" spans="2:59">
      <c r="B215" s="332">
        <v>200</v>
      </c>
      <c r="C215" s="350">
        <v>4694400.2205782467</v>
      </c>
      <c r="D215" s="350">
        <v>28997.182458508592</v>
      </c>
      <c r="E215" s="350">
        <v>27763.784705868151</v>
      </c>
      <c r="F215" s="350">
        <v>26497.198172212193</v>
      </c>
      <c r="G215" s="350">
        <v>25197.487553021459</v>
      </c>
      <c r="H215" s="348">
        <v>4802855.8734678579</v>
      </c>
      <c r="I215" s="369"/>
      <c r="J215" s="350">
        <v>6666314.3439810062</v>
      </c>
      <c r="K215" s="350">
        <v>2025272.2256559478</v>
      </c>
      <c r="L215" s="350">
        <v>2046845.4568404187</v>
      </c>
      <c r="M215" s="350">
        <v>2066775.443710994</v>
      </c>
      <c r="N215" s="350">
        <v>2085006.6221666767</v>
      </c>
      <c r="O215" s="348">
        <v>14890214.092355043</v>
      </c>
      <c r="P215" s="369"/>
      <c r="Q215" s="350">
        <f t="shared" si="117"/>
        <v>1971914.1234027594</v>
      </c>
      <c r="R215" s="350">
        <f t="shared" si="118"/>
        <v>1996275.0431974393</v>
      </c>
      <c r="S215" s="350">
        <f t="shared" si="119"/>
        <v>2019081.6721345505</v>
      </c>
      <c r="T215" s="350">
        <f t="shared" si="120"/>
        <v>2040278.2455387819</v>
      </c>
      <c r="U215" s="350">
        <f t="shared" si="121"/>
        <v>2059809.1346136553</v>
      </c>
      <c r="V215" s="350">
        <f t="shared" si="122"/>
        <v>10087358.218887184</v>
      </c>
      <c r="W215" s="365"/>
      <c r="X215" s="377">
        <f t="shared" si="100"/>
        <v>0</v>
      </c>
      <c r="Y215" s="377">
        <f t="shared" si="101"/>
        <v>0</v>
      </c>
      <c r="Z215" s="377">
        <f t="shared" si="102"/>
        <v>0</v>
      </c>
      <c r="AA215" s="377">
        <f t="shared" si="103"/>
        <v>0</v>
      </c>
      <c r="AB215" s="377">
        <f t="shared" si="104"/>
        <v>0</v>
      </c>
      <c r="AC215" s="377">
        <f t="shared" si="105"/>
        <v>0</v>
      </c>
      <c r="AD215" s="376"/>
      <c r="AE215" s="332">
        <v>200</v>
      </c>
      <c r="AF215" s="350">
        <v>4288672.6915529929</v>
      </c>
      <c r="AG215" s="350">
        <v>26491.014548919051</v>
      </c>
      <c r="AH215" s="350">
        <v>25364.216872745437</v>
      </c>
      <c r="AI215" s="350">
        <v>24207.098854863736</v>
      </c>
      <c r="AJ215" s="350">
        <v>23019.719599255215</v>
      </c>
      <c r="AK215" s="348">
        <v>4387754.7414287766</v>
      </c>
      <c r="AL215" s="369"/>
      <c r="AM215" s="350">
        <v>5919292.4775027279</v>
      </c>
      <c r="AN215" s="350">
        <v>1677255.3886172255</v>
      </c>
      <c r="AO215" s="350">
        <v>1694987.9012701917</v>
      </c>
      <c r="AP215" s="350">
        <v>1711358.7027377852</v>
      </c>
      <c r="AQ215" s="350">
        <v>1726321.8514309917</v>
      </c>
      <c r="AR215" s="348">
        <v>12729216.321558923</v>
      </c>
      <c r="AS215" s="369"/>
      <c r="AT215" s="350">
        <f t="shared" si="123"/>
        <v>1630619.785949735</v>
      </c>
      <c r="AU215" s="350">
        <f t="shared" si="106"/>
        <v>1650764.3740683063</v>
      </c>
      <c r="AV215" s="350">
        <f t="shared" si="107"/>
        <v>1669623.6843974462</v>
      </c>
      <c r="AW215" s="350">
        <f t="shared" si="108"/>
        <v>1687151.6038829214</v>
      </c>
      <c r="AX215" s="350">
        <f t="shared" si="109"/>
        <v>1703302.1318317365</v>
      </c>
      <c r="AY215" s="350">
        <f t="shared" si="110"/>
        <v>8341461.5801301459</v>
      </c>
      <c r="AZ215" s="365"/>
      <c r="BA215" s="377">
        <f t="shared" si="111"/>
        <v>0</v>
      </c>
      <c r="BB215" s="377">
        <f t="shared" si="112"/>
        <v>0</v>
      </c>
      <c r="BC215" s="377">
        <f t="shared" si="113"/>
        <v>0</v>
      </c>
      <c r="BD215" s="377">
        <f t="shared" si="114"/>
        <v>0</v>
      </c>
      <c r="BE215" s="377">
        <f t="shared" si="115"/>
        <v>0</v>
      </c>
      <c r="BF215" s="377">
        <f t="shared" si="116"/>
        <v>0</v>
      </c>
      <c r="BG215" s="328"/>
    </row>
    <row r="216" spans="2:59">
      <c r="B216" s="332">
        <v>201</v>
      </c>
      <c r="C216" s="350">
        <v>7047671.2777977185</v>
      </c>
      <c r="D216" s="350">
        <v>43533.273761800752</v>
      </c>
      <c r="E216" s="350">
        <v>41681.582063831345</v>
      </c>
      <c r="F216" s="350">
        <v>39780.064273559285</v>
      </c>
      <c r="G216" s="350">
        <v>37828.817517869647</v>
      </c>
      <c r="H216" s="348">
        <v>7210495.01541478</v>
      </c>
      <c r="I216" s="369"/>
      <c r="J216" s="350">
        <v>8830092.3874998763</v>
      </c>
      <c r="K216" s="350">
        <v>1847974.3168771183</v>
      </c>
      <c r="L216" s="350">
        <v>1866737.6288328078</v>
      </c>
      <c r="M216" s="350">
        <v>1883995.7790223244</v>
      </c>
      <c r="N216" s="350">
        <v>1899698.5814796088</v>
      </c>
      <c r="O216" s="348">
        <v>16328498.693711737</v>
      </c>
      <c r="P216" s="369"/>
      <c r="Q216" s="350">
        <f t="shared" si="117"/>
        <v>1782421.1097021578</v>
      </c>
      <c r="R216" s="350">
        <f t="shared" si="118"/>
        <v>1804441.0431153176</v>
      </c>
      <c r="S216" s="350">
        <f t="shared" si="119"/>
        <v>1825056.0467689764</v>
      </c>
      <c r="T216" s="350">
        <f t="shared" si="120"/>
        <v>1844215.7147487651</v>
      </c>
      <c r="U216" s="350">
        <f t="shared" si="121"/>
        <v>1861869.7639617391</v>
      </c>
      <c r="V216" s="350">
        <f t="shared" si="122"/>
        <v>9118003.6782969572</v>
      </c>
      <c r="W216" s="365"/>
      <c r="X216" s="377">
        <f t="shared" si="100"/>
        <v>0</v>
      </c>
      <c r="Y216" s="377">
        <f t="shared" si="101"/>
        <v>0</v>
      </c>
      <c r="Z216" s="377">
        <f t="shared" si="102"/>
        <v>0</v>
      </c>
      <c r="AA216" s="377">
        <f t="shared" si="103"/>
        <v>0</v>
      </c>
      <c r="AB216" s="377">
        <f t="shared" si="104"/>
        <v>0</v>
      </c>
      <c r="AC216" s="377">
        <f t="shared" si="105"/>
        <v>0</v>
      </c>
      <c r="AD216" s="376"/>
      <c r="AE216" s="332">
        <v>201</v>
      </c>
      <c r="AF216" s="350">
        <v>7087444.2352806302</v>
      </c>
      <c r="AG216" s="350">
        <v>43778.950238210309</v>
      </c>
      <c r="AH216" s="350">
        <v>41916.808669316575</v>
      </c>
      <c r="AI216" s="350">
        <v>40004.559818634392</v>
      </c>
      <c r="AJ216" s="350">
        <v>38042.301361179292</v>
      </c>
      <c r="AK216" s="348">
        <v>7251186.8553679707</v>
      </c>
      <c r="AL216" s="369"/>
      <c r="AM216" s="350">
        <v>10089459.85864063</v>
      </c>
      <c r="AN216" s="350">
        <v>3082881.3112786813</v>
      </c>
      <c r="AO216" s="350">
        <v>3115739.675827588</v>
      </c>
      <c r="AP216" s="350">
        <v>3146096.8061379995</v>
      </c>
      <c r="AQ216" s="350">
        <v>3173868.1113510085</v>
      </c>
      <c r="AR216" s="348">
        <v>22608045.763235908</v>
      </c>
      <c r="AS216" s="369"/>
      <c r="AT216" s="350">
        <f t="shared" si="123"/>
        <v>3002015.6233599996</v>
      </c>
      <c r="AU216" s="350">
        <f t="shared" si="106"/>
        <v>3039102.3610404711</v>
      </c>
      <c r="AV216" s="350">
        <f t="shared" si="107"/>
        <v>3073822.8671582714</v>
      </c>
      <c r="AW216" s="350">
        <f t="shared" si="108"/>
        <v>3106092.2463193652</v>
      </c>
      <c r="AX216" s="350">
        <f t="shared" si="109"/>
        <v>3135825.8099898291</v>
      </c>
      <c r="AY216" s="350">
        <f t="shared" si="110"/>
        <v>15356858.907867938</v>
      </c>
      <c r="AZ216" s="365"/>
      <c r="BA216" s="377">
        <f t="shared" si="111"/>
        <v>0</v>
      </c>
      <c r="BB216" s="377">
        <f t="shared" si="112"/>
        <v>0</v>
      </c>
      <c r="BC216" s="377">
        <f t="shared" si="113"/>
        <v>0</v>
      </c>
      <c r="BD216" s="377">
        <f t="shared" si="114"/>
        <v>0</v>
      </c>
      <c r="BE216" s="377">
        <f t="shared" si="115"/>
        <v>0</v>
      </c>
      <c r="BF216" s="377">
        <f t="shared" si="116"/>
        <v>0</v>
      </c>
      <c r="BG216" s="328"/>
    </row>
    <row r="217" spans="2:59">
      <c r="B217" s="332">
        <v>202</v>
      </c>
      <c r="C217" s="350">
        <v>6281920.1630345155</v>
      </c>
      <c r="D217" s="350">
        <v>38803.249957000742</v>
      </c>
      <c r="E217" s="350">
        <v>37152.75024515322</v>
      </c>
      <c r="F217" s="350">
        <v>35457.838198856538</v>
      </c>
      <c r="G217" s="350">
        <v>33718.600391861219</v>
      </c>
      <c r="H217" s="348">
        <v>6427052.6018273868</v>
      </c>
      <c r="I217" s="369"/>
      <c r="J217" s="350">
        <v>8730323.0133576468</v>
      </c>
      <c r="K217" s="350">
        <v>2517453.535882887</v>
      </c>
      <c r="L217" s="350">
        <v>2544120.6057006521</v>
      </c>
      <c r="M217" s="350">
        <v>2568744.1575895119</v>
      </c>
      <c r="N217" s="350">
        <v>2591255.2073141858</v>
      </c>
      <c r="O217" s="348">
        <v>18951896.519844882</v>
      </c>
      <c r="P217" s="369"/>
      <c r="Q217" s="350">
        <f t="shared" si="117"/>
        <v>2448402.8503231313</v>
      </c>
      <c r="R217" s="350">
        <f t="shared" si="118"/>
        <v>2478650.2859258861</v>
      </c>
      <c r="S217" s="350">
        <f t="shared" si="119"/>
        <v>2506967.8554554987</v>
      </c>
      <c r="T217" s="350">
        <f t="shared" si="120"/>
        <v>2533286.3193906555</v>
      </c>
      <c r="U217" s="350">
        <f t="shared" si="121"/>
        <v>2557536.6069223247</v>
      </c>
      <c r="V217" s="350">
        <f t="shared" si="122"/>
        <v>12524843.918017495</v>
      </c>
      <c r="W217" s="365"/>
      <c r="X217" s="377">
        <f t="shared" si="100"/>
        <v>0</v>
      </c>
      <c r="Y217" s="377">
        <f t="shared" si="101"/>
        <v>0</v>
      </c>
      <c r="Z217" s="377">
        <f t="shared" si="102"/>
        <v>0</v>
      </c>
      <c r="AA217" s="377">
        <f t="shared" si="103"/>
        <v>0</v>
      </c>
      <c r="AB217" s="377">
        <f t="shared" si="104"/>
        <v>0</v>
      </c>
      <c r="AC217" s="377">
        <f t="shared" si="105"/>
        <v>0</v>
      </c>
      <c r="AD217" s="376"/>
      <c r="AE217" s="332">
        <v>202</v>
      </c>
      <c r="AF217" s="350">
        <v>5313465.9993258528</v>
      </c>
      <c r="AG217" s="350">
        <v>32821.134933091394</v>
      </c>
      <c r="AH217" s="350">
        <v>31425.085019499456</v>
      </c>
      <c r="AI217" s="350">
        <v>29991.469612726993</v>
      </c>
      <c r="AJ217" s="350">
        <v>28520.361939853705</v>
      </c>
      <c r="AK217" s="348">
        <v>5436224.0508310245</v>
      </c>
      <c r="AL217" s="369"/>
      <c r="AM217" s="350">
        <v>7073884.4762442969</v>
      </c>
      <c r="AN217" s="350">
        <v>1814987.7259363816</v>
      </c>
      <c r="AO217" s="350">
        <v>1833952.2031373437</v>
      </c>
      <c r="AP217" s="350">
        <v>1851441.7441831334</v>
      </c>
      <c r="AQ217" s="350">
        <v>1867406.7599144187</v>
      </c>
      <c r="AR217" s="348">
        <v>14441672.909415575</v>
      </c>
      <c r="AS217" s="369"/>
      <c r="AT217" s="350">
        <f t="shared" si="123"/>
        <v>1760418.476918444</v>
      </c>
      <c r="AU217" s="350">
        <f t="shared" si="106"/>
        <v>1782166.5910032901</v>
      </c>
      <c r="AV217" s="350">
        <f t="shared" si="107"/>
        <v>1802527.1181178442</v>
      </c>
      <c r="AW217" s="350">
        <f t="shared" si="108"/>
        <v>1821450.2745704064</v>
      </c>
      <c r="AX217" s="350">
        <f t="shared" si="109"/>
        <v>1838886.3979745649</v>
      </c>
      <c r="AY217" s="350">
        <f t="shared" si="110"/>
        <v>9005448.8585845493</v>
      </c>
      <c r="AZ217" s="365"/>
      <c r="BA217" s="377">
        <f t="shared" si="111"/>
        <v>0</v>
      </c>
      <c r="BB217" s="377">
        <f t="shared" si="112"/>
        <v>0</v>
      </c>
      <c r="BC217" s="377">
        <f t="shared" si="113"/>
        <v>0</v>
      </c>
      <c r="BD217" s="377">
        <f t="shared" si="114"/>
        <v>0</v>
      </c>
      <c r="BE217" s="377">
        <f t="shared" si="115"/>
        <v>0</v>
      </c>
      <c r="BF217" s="377">
        <f t="shared" si="116"/>
        <v>0</v>
      </c>
      <c r="BG217" s="328"/>
    </row>
    <row r="218" spans="2:59">
      <c r="B218" s="332">
        <v>203</v>
      </c>
      <c r="C218" s="350">
        <v>5384824.1890708972</v>
      </c>
      <c r="D218" s="350">
        <v>33261.912529955684</v>
      </c>
      <c r="E218" s="350">
        <v>31847.114101809882</v>
      </c>
      <c r="F218" s="350">
        <v>30394.245687631694</v>
      </c>
      <c r="G218" s="350">
        <v>28903.381497928083</v>
      </c>
      <c r="H218" s="348">
        <v>5509230.8428882221</v>
      </c>
      <c r="I218" s="369"/>
      <c r="J218" s="350">
        <v>7450170.5713492297</v>
      </c>
      <c r="K218" s="350">
        <v>2124123.4716457534</v>
      </c>
      <c r="L218" s="350">
        <v>2146595.9145574821</v>
      </c>
      <c r="M218" s="350">
        <v>2167343.9450960299</v>
      </c>
      <c r="N218" s="350">
        <v>2186309.3728993442</v>
      </c>
      <c r="O218" s="348">
        <v>16074543.275547842</v>
      </c>
      <c r="P218" s="369"/>
      <c r="Q218" s="350">
        <f t="shared" si="117"/>
        <v>2065346.3822783325</v>
      </c>
      <c r="R218" s="350">
        <f t="shared" si="118"/>
        <v>2090861.5591157977</v>
      </c>
      <c r="S218" s="350">
        <f t="shared" si="119"/>
        <v>2114748.8004556722</v>
      </c>
      <c r="T218" s="350">
        <f t="shared" si="120"/>
        <v>2136949.699408398</v>
      </c>
      <c r="U218" s="350">
        <f t="shared" si="121"/>
        <v>2157405.9914014162</v>
      </c>
      <c r="V218" s="350">
        <f t="shared" si="122"/>
        <v>10565312.432659619</v>
      </c>
      <c r="W218" s="365"/>
      <c r="X218" s="377">
        <f t="shared" si="100"/>
        <v>0</v>
      </c>
      <c r="Y218" s="377">
        <f t="shared" si="101"/>
        <v>0</v>
      </c>
      <c r="Z218" s="377">
        <f t="shared" si="102"/>
        <v>0</v>
      </c>
      <c r="AA218" s="377">
        <f t="shared" si="103"/>
        <v>0</v>
      </c>
      <c r="AB218" s="377">
        <f t="shared" si="104"/>
        <v>0</v>
      </c>
      <c r="AC218" s="377">
        <f t="shared" si="105"/>
        <v>0</v>
      </c>
      <c r="AD218" s="376"/>
      <c r="AE218" s="332">
        <v>203</v>
      </c>
      <c r="AF218" s="350">
        <v>5233395.9470654456</v>
      </c>
      <c r="AG218" s="350">
        <v>32326.544398464383</v>
      </c>
      <c r="AH218" s="350">
        <v>30951.531937552347</v>
      </c>
      <c r="AI218" s="350">
        <v>29539.520068010239</v>
      </c>
      <c r="AJ218" s="350">
        <v>28090.580913440281</v>
      </c>
      <c r="AK218" s="348">
        <v>5354304.1243829131</v>
      </c>
      <c r="AL218" s="369"/>
      <c r="AM218" s="350">
        <v>7399013.0341352113</v>
      </c>
      <c r="AN218" s="350">
        <v>2224697.5471372665</v>
      </c>
      <c r="AO218" s="350">
        <v>2248369.4800470974</v>
      </c>
      <c r="AP218" s="350">
        <v>2270236.2007586272</v>
      </c>
      <c r="AQ218" s="350">
        <v>2290236.6881304164</v>
      </c>
      <c r="AR218" s="348">
        <v>16432552.950208617</v>
      </c>
      <c r="AS218" s="369"/>
      <c r="AT218" s="350">
        <f t="shared" si="123"/>
        <v>2165617.0870697657</v>
      </c>
      <c r="AU218" s="350">
        <f t="shared" si="106"/>
        <v>2192371.0027388022</v>
      </c>
      <c r="AV218" s="350">
        <f t="shared" si="107"/>
        <v>2217417.9481095453</v>
      </c>
      <c r="AW218" s="350">
        <f t="shared" si="108"/>
        <v>2240696.6806906168</v>
      </c>
      <c r="AX218" s="350">
        <f t="shared" si="109"/>
        <v>2262146.1072169761</v>
      </c>
      <c r="AY218" s="350">
        <f t="shared" si="110"/>
        <v>11078248.825825704</v>
      </c>
      <c r="AZ218" s="365"/>
      <c r="BA218" s="377">
        <f t="shared" si="111"/>
        <v>0</v>
      </c>
      <c r="BB218" s="377">
        <f t="shared" si="112"/>
        <v>0</v>
      </c>
      <c r="BC218" s="377">
        <f t="shared" si="113"/>
        <v>0</v>
      </c>
      <c r="BD218" s="377">
        <f t="shared" si="114"/>
        <v>0</v>
      </c>
      <c r="BE218" s="377">
        <f t="shared" si="115"/>
        <v>0</v>
      </c>
      <c r="BF218" s="377">
        <f t="shared" si="116"/>
        <v>0</v>
      </c>
      <c r="BG218" s="328"/>
    </row>
    <row r="219" spans="2:59">
      <c r="B219" s="332">
        <v>204</v>
      </c>
      <c r="C219" s="350">
        <v>6376960.1881038984</v>
      </c>
      <c r="D219" s="350">
        <v>39390.309606435912</v>
      </c>
      <c r="E219" s="350">
        <v>37714.839259826535</v>
      </c>
      <c r="F219" s="350">
        <v>35994.284658516808</v>
      </c>
      <c r="G219" s="350">
        <v>34228.733686041094</v>
      </c>
      <c r="H219" s="348">
        <v>6524288.3553147186</v>
      </c>
      <c r="I219" s="369"/>
      <c r="J219" s="350">
        <v>8078300.4580634497</v>
      </c>
      <c r="K219" s="350">
        <v>1761748.8446963297</v>
      </c>
      <c r="L219" s="350">
        <v>1779750.6187957285</v>
      </c>
      <c r="M219" s="350">
        <v>1796318.1749644466</v>
      </c>
      <c r="N219" s="350">
        <v>1811403.6053287534</v>
      </c>
      <c r="O219" s="348">
        <v>15227521.701848708</v>
      </c>
      <c r="P219" s="369"/>
      <c r="Q219" s="350">
        <f t="shared" si="117"/>
        <v>1701340.2699595513</v>
      </c>
      <c r="R219" s="350">
        <f t="shared" si="118"/>
        <v>1722358.5350898937</v>
      </c>
      <c r="S219" s="350">
        <f t="shared" si="119"/>
        <v>1742035.779535902</v>
      </c>
      <c r="T219" s="350">
        <f t="shared" si="120"/>
        <v>1760323.8903059298</v>
      </c>
      <c r="U219" s="350">
        <f t="shared" si="121"/>
        <v>1777174.8716427123</v>
      </c>
      <c r="V219" s="350">
        <f t="shared" si="122"/>
        <v>8703233.3465339895</v>
      </c>
      <c r="W219" s="365"/>
      <c r="X219" s="377">
        <f t="shared" si="100"/>
        <v>0</v>
      </c>
      <c r="Y219" s="377">
        <f t="shared" si="101"/>
        <v>0</v>
      </c>
      <c r="Z219" s="377">
        <f t="shared" si="102"/>
        <v>0</v>
      </c>
      <c r="AA219" s="377">
        <f t="shared" si="103"/>
        <v>0</v>
      </c>
      <c r="AB219" s="377">
        <f t="shared" si="104"/>
        <v>0</v>
      </c>
      <c r="AC219" s="377">
        <f t="shared" si="105"/>
        <v>0</v>
      </c>
      <c r="AD219" s="376"/>
      <c r="AE219" s="332">
        <v>204</v>
      </c>
      <c r="AF219" s="350">
        <v>5221116.3343091309</v>
      </c>
      <c r="AG219" s="350">
        <v>32250.693564514619</v>
      </c>
      <c r="AH219" s="350">
        <v>30878.907425620378</v>
      </c>
      <c r="AI219" s="350">
        <v>29470.208693310957</v>
      </c>
      <c r="AJ219" s="350">
        <v>28024.66932195783</v>
      </c>
      <c r="AK219" s="348">
        <v>5341740.8133145347</v>
      </c>
      <c r="AL219" s="369"/>
      <c r="AM219" s="350">
        <v>6736766.0337893041</v>
      </c>
      <c r="AN219" s="350">
        <v>1566624.6469701836</v>
      </c>
      <c r="AO219" s="350">
        <v>1582782.458030503</v>
      </c>
      <c r="AP219" s="350">
        <v>1597665.8380093579</v>
      </c>
      <c r="AQ219" s="350">
        <v>1611232.101538341</v>
      </c>
      <c r="AR219" s="348">
        <v>13095071.07833769</v>
      </c>
      <c r="AS219" s="369"/>
      <c r="AT219" s="350">
        <f t="shared" si="123"/>
        <v>1515649.6994801732</v>
      </c>
      <c r="AU219" s="350">
        <f t="shared" si="106"/>
        <v>1534373.953405669</v>
      </c>
      <c r="AV219" s="350">
        <f t="shared" si="107"/>
        <v>1551903.5506048827</v>
      </c>
      <c r="AW219" s="350">
        <f t="shared" si="108"/>
        <v>1568195.6293160471</v>
      </c>
      <c r="AX219" s="350">
        <f t="shared" si="109"/>
        <v>1583207.4322163833</v>
      </c>
      <c r="AY219" s="350">
        <f t="shared" si="110"/>
        <v>7753330.2650231551</v>
      </c>
      <c r="AZ219" s="365"/>
      <c r="BA219" s="377">
        <f t="shared" si="111"/>
        <v>0</v>
      </c>
      <c r="BB219" s="377">
        <f t="shared" si="112"/>
        <v>0</v>
      </c>
      <c r="BC219" s="377">
        <f t="shared" si="113"/>
        <v>0</v>
      </c>
      <c r="BD219" s="377">
        <f t="shared" si="114"/>
        <v>0</v>
      </c>
      <c r="BE219" s="377">
        <f t="shared" si="115"/>
        <v>0</v>
      </c>
      <c r="BF219" s="377">
        <f t="shared" si="116"/>
        <v>0</v>
      </c>
      <c r="BG219" s="328"/>
    </row>
    <row r="220" spans="2:59">
      <c r="B220" s="332">
        <v>205</v>
      </c>
      <c r="C220" s="350">
        <v>4798233.1628342532</v>
      </c>
      <c r="D220" s="350">
        <v>29638.555718207139</v>
      </c>
      <c r="E220" s="350">
        <v>28377.877096527431</v>
      </c>
      <c r="F220" s="350">
        <v>27083.275608836095</v>
      </c>
      <c r="G220" s="350">
        <v>25754.817381574299</v>
      </c>
      <c r="H220" s="348">
        <v>4909087.6886393968</v>
      </c>
      <c r="I220" s="369"/>
      <c r="J220" s="350">
        <v>6757645.5410623038</v>
      </c>
      <c r="K220" s="350">
        <v>2013257.4078612328</v>
      </c>
      <c r="L220" s="350">
        <v>2034658.7663509422</v>
      </c>
      <c r="M220" s="350">
        <v>2054426.3540384078</v>
      </c>
      <c r="N220" s="350">
        <v>2072504.9609347894</v>
      </c>
      <c r="O220" s="348">
        <v>14932493.030247675</v>
      </c>
      <c r="P220" s="369"/>
      <c r="Q220" s="350">
        <f t="shared" si="117"/>
        <v>1959412.3782280507</v>
      </c>
      <c r="R220" s="350">
        <f t="shared" si="118"/>
        <v>1983618.8521430257</v>
      </c>
      <c r="S220" s="350">
        <f t="shared" si="119"/>
        <v>2006280.8892544147</v>
      </c>
      <c r="T220" s="350">
        <f t="shared" si="120"/>
        <v>2027343.0784295716</v>
      </c>
      <c r="U220" s="350">
        <f t="shared" si="121"/>
        <v>2046750.1435532151</v>
      </c>
      <c r="V220" s="350">
        <f t="shared" si="122"/>
        <v>10023405.341608278</v>
      </c>
      <c r="W220" s="365"/>
      <c r="X220" s="377">
        <f t="shared" si="100"/>
        <v>0</v>
      </c>
      <c r="Y220" s="377">
        <f t="shared" si="101"/>
        <v>0</v>
      </c>
      <c r="Z220" s="377">
        <f t="shared" si="102"/>
        <v>0</v>
      </c>
      <c r="AA220" s="377">
        <f t="shared" si="103"/>
        <v>0</v>
      </c>
      <c r="AB220" s="377">
        <f t="shared" si="104"/>
        <v>0</v>
      </c>
      <c r="AC220" s="377">
        <f t="shared" si="105"/>
        <v>0</v>
      </c>
      <c r="AD220" s="376"/>
      <c r="AE220" s="332">
        <v>205</v>
      </c>
      <c r="AF220" s="350">
        <v>6565735.5152567392</v>
      </c>
      <c r="AG220" s="350">
        <v>40556.369666913582</v>
      </c>
      <c r="AH220" s="350">
        <v>38831.300851209373</v>
      </c>
      <c r="AI220" s="350">
        <v>37059.813164513813</v>
      </c>
      <c r="AJ220" s="350">
        <v>35241.997091961457</v>
      </c>
      <c r="AK220" s="348">
        <v>6717424.9960313365</v>
      </c>
      <c r="AL220" s="369"/>
      <c r="AM220" s="350">
        <v>8754112.468580272</v>
      </c>
      <c r="AN220" s="350">
        <v>2255968.4128088858</v>
      </c>
      <c r="AO220" s="350">
        <v>2279553.5238618925</v>
      </c>
      <c r="AP220" s="350">
        <v>2301305.4199659713</v>
      </c>
      <c r="AQ220" s="350">
        <v>2321162.4562727008</v>
      </c>
      <c r="AR220" s="348">
        <v>17912102.281489722</v>
      </c>
      <c r="AS220" s="369"/>
      <c r="AT220" s="350">
        <f t="shared" si="123"/>
        <v>2188376.9533235328</v>
      </c>
      <c r="AU220" s="350">
        <f t="shared" si="106"/>
        <v>2215412.0431419723</v>
      </c>
      <c r="AV220" s="350">
        <f t="shared" si="107"/>
        <v>2240722.223010683</v>
      </c>
      <c r="AW220" s="350">
        <f t="shared" si="108"/>
        <v>2264245.6068014572</v>
      </c>
      <c r="AX220" s="350">
        <f t="shared" si="109"/>
        <v>2285920.4591807392</v>
      </c>
      <c r="AY220" s="350">
        <f t="shared" si="110"/>
        <v>11194677.285458386</v>
      </c>
      <c r="AZ220" s="365"/>
      <c r="BA220" s="377">
        <f t="shared" si="111"/>
        <v>0</v>
      </c>
      <c r="BB220" s="377">
        <f t="shared" si="112"/>
        <v>0</v>
      </c>
      <c r="BC220" s="377">
        <f t="shared" si="113"/>
        <v>0</v>
      </c>
      <c r="BD220" s="377">
        <f t="shared" si="114"/>
        <v>0</v>
      </c>
      <c r="BE220" s="377">
        <f t="shared" si="115"/>
        <v>0</v>
      </c>
      <c r="BF220" s="377">
        <f t="shared" si="116"/>
        <v>0</v>
      </c>
      <c r="BG220" s="328"/>
    </row>
    <row r="221" spans="2:59">
      <c r="B221" s="332">
        <v>206</v>
      </c>
      <c r="C221" s="350">
        <v>5297986.2022265922</v>
      </c>
      <c r="D221" s="350">
        <v>32725.516647514141</v>
      </c>
      <c r="E221" s="350">
        <v>31333.533866261758</v>
      </c>
      <c r="F221" s="350">
        <v>29904.095031921701</v>
      </c>
      <c r="G221" s="350">
        <v>28437.273158239714</v>
      </c>
      <c r="H221" s="348">
        <v>5420386.6209305301</v>
      </c>
      <c r="I221" s="369"/>
      <c r="J221" s="350">
        <v>7753865.3437457997</v>
      </c>
      <c r="K221" s="350">
        <v>2518944.4554641526</v>
      </c>
      <c r="L221" s="350">
        <v>2545956.510987754</v>
      </c>
      <c r="M221" s="350">
        <v>2570925.9005188746</v>
      </c>
      <c r="N221" s="350">
        <v>2593783.4153518723</v>
      </c>
      <c r="O221" s="348">
        <v>17983475.626068454</v>
      </c>
      <c r="P221" s="369"/>
      <c r="Q221" s="350">
        <f t="shared" si="117"/>
        <v>2455879.1415192075</v>
      </c>
      <c r="R221" s="350">
        <f t="shared" si="118"/>
        <v>2486218.9388166387</v>
      </c>
      <c r="S221" s="350">
        <f t="shared" si="119"/>
        <v>2514622.9771214924</v>
      </c>
      <c r="T221" s="350">
        <f t="shared" si="120"/>
        <v>2541021.8054869529</v>
      </c>
      <c r="U221" s="350">
        <f t="shared" si="121"/>
        <v>2565346.1421936327</v>
      </c>
      <c r="V221" s="350">
        <f t="shared" si="122"/>
        <v>12563089.005137924</v>
      </c>
      <c r="W221" s="365"/>
      <c r="X221" s="377">
        <f t="shared" si="100"/>
        <v>0</v>
      </c>
      <c r="Y221" s="377">
        <f t="shared" si="101"/>
        <v>0</v>
      </c>
      <c r="Z221" s="377">
        <f t="shared" si="102"/>
        <v>0</v>
      </c>
      <c r="AA221" s="377">
        <f t="shared" si="103"/>
        <v>0</v>
      </c>
      <c r="AB221" s="377">
        <f t="shared" si="104"/>
        <v>0</v>
      </c>
      <c r="AC221" s="377">
        <f t="shared" si="105"/>
        <v>0</v>
      </c>
      <c r="AD221" s="376"/>
      <c r="AE221" s="332">
        <v>206</v>
      </c>
      <c r="AF221" s="350">
        <v>6833718.8436857462</v>
      </c>
      <c r="AG221" s="350">
        <v>42211.695396542251</v>
      </c>
      <c r="AH221" s="350">
        <v>40416.217152688703</v>
      </c>
      <c r="AI221" s="350">
        <v>38572.425431595679</v>
      </c>
      <c r="AJ221" s="350">
        <v>36680.414411580692</v>
      </c>
      <c r="AK221" s="348">
        <v>6991599.5960781546</v>
      </c>
      <c r="AL221" s="369"/>
      <c r="AM221" s="350">
        <v>9213339.82346173</v>
      </c>
      <c r="AN221" s="350">
        <v>2451230.3832887565</v>
      </c>
      <c r="AO221" s="350">
        <v>2476956.9619400883</v>
      </c>
      <c r="AP221" s="350">
        <v>2500692.2814862905</v>
      </c>
      <c r="AQ221" s="350">
        <v>2522369.3056715494</v>
      </c>
      <c r="AR221" s="348">
        <v>19164588.755848415</v>
      </c>
      <c r="AS221" s="369"/>
      <c r="AT221" s="350">
        <f t="shared" si="123"/>
        <v>2379620.9797759838</v>
      </c>
      <c r="AU221" s="350">
        <f t="shared" si="106"/>
        <v>2409018.6878922144</v>
      </c>
      <c r="AV221" s="350">
        <f t="shared" si="107"/>
        <v>2436540.7447873997</v>
      </c>
      <c r="AW221" s="350">
        <f t="shared" si="108"/>
        <v>2462119.8560546949</v>
      </c>
      <c r="AX221" s="350">
        <f t="shared" si="109"/>
        <v>2485688.8912599687</v>
      </c>
      <c r="AY221" s="350">
        <f t="shared" si="110"/>
        <v>12172989.159770261</v>
      </c>
      <c r="AZ221" s="365"/>
      <c r="BA221" s="377">
        <f t="shared" si="111"/>
        <v>0</v>
      </c>
      <c r="BB221" s="377">
        <f t="shared" si="112"/>
        <v>0</v>
      </c>
      <c r="BC221" s="377">
        <f t="shared" si="113"/>
        <v>0</v>
      </c>
      <c r="BD221" s="377">
        <f t="shared" si="114"/>
        <v>0</v>
      </c>
      <c r="BE221" s="377">
        <f t="shared" si="115"/>
        <v>0</v>
      </c>
      <c r="BF221" s="377">
        <f t="shared" si="116"/>
        <v>0</v>
      </c>
      <c r="BG221" s="328"/>
    </row>
    <row r="222" spans="2:59">
      <c r="B222" s="332">
        <v>207</v>
      </c>
      <c r="C222" s="350">
        <v>6066791.9552620305</v>
      </c>
      <c r="D222" s="350">
        <v>37474.408869825143</v>
      </c>
      <c r="E222" s="350">
        <v>35880.431532621624</v>
      </c>
      <c r="F222" s="350">
        <v>34243.562788595351</v>
      </c>
      <c r="G222" s="350">
        <v>32563.886246720165</v>
      </c>
      <c r="H222" s="348">
        <v>6206954.2446997929</v>
      </c>
      <c r="I222" s="369"/>
      <c r="J222" s="350">
        <v>8503946.3819287214</v>
      </c>
      <c r="K222" s="350">
        <v>2504737.3087254139</v>
      </c>
      <c r="L222" s="350">
        <v>2531330.804672041</v>
      </c>
      <c r="M222" s="350">
        <v>2555891.4878848665</v>
      </c>
      <c r="N222" s="350">
        <v>2578350.6884881184</v>
      </c>
      <c r="O222" s="348">
        <v>18674256.671699159</v>
      </c>
      <c r="P222" s="369"/>
      <c r="Q222" s="350">
        <f t="shared" si="117"/>
        <v>2437154.426666691</v>
      </c>
      <c r="R222" s="350">
        <f t="shared" si="118"/>
        <v>2467262.8998555886</v>
      </c>
      <c r="S222" s="350">
        <f t="shared" si="119"/>
        <v>2495450.3731394191</v>
      </c>
      <c r="T222" s="350">
        <f t="shared" si="120"/>
        <v>2521647.9250962711</v>
      </c>
      <c r="U222" s="350">
        <f t="shared" si="121"/>
        <v>2545786.802241398</v>
      </c>
      <c r="V222" s="350">
        <f t="shared" si="122"/>
        <v>12467302.426999366</v>
      </c>
      <c r="W222" s="365"/>
      <c r="X222" s="377">
        <f t="shared" si="100"/>
        <v>0</v>
      </c>
      <c r="Y222" s="377">
        <f t="shared" si="101"/>
        <v>0</v>
      </c>
      <c r="Z222" s="377">
        <f t="shared" si="102"/>
        <v>0</v>
      </c>
      <c r="AA222" s="377">
        <f t="shared" si="103"/>
        <v>0</v>
      </c>
      <c r="AB222" s="377">
        <f t="shared" si="104"/>
        <v>0</v>
      </c>
      <c r="AC222" s="377">
        <f t="shared" si="105"/>
        <v>0</v>
      </c>
      <c r="AD222" s="376"/>
      <c r="AE222" s="332">
        <v>207</v>
      </c>
      <c r="AF222" s="350">
        <v>5807946.1029834207</v>
      </c>
      <c r="AG222" s="350">
        <v>35875.525081807529</v>
      </c>
      <c r="AH222" s="350">
        <v>34349.556409710873</v>
      </c>
      <c r="AI222" s="350">
        <v>32782.526336308445</v>
      </c>
      <c r="AJ222" s="350">
        <v>31174.514903316744</v>
      </c>
      <c r="AK222" s="348">
        <v>5942128.2257145653</v>
      </c>
      <c r="AL222" s="369"/>
      <c r="AM222" s="350">
        <v>8463961.5300403293</v>
      </c>
      <c r="AN222" s="350">
        <v>2724703.2222188753</v>
      </c>
      <c r="AO222" s="350">
        <v>2753896.0143575193</v>
      </c>
      <c r="AP222" s="350">
        <v>2780879.1251316438</v>
      </c>
      <c r="AQ222" s="350">
        <v>2805577.7069074344</v>
      </c>
      <c r="AR222" s="348">
        <v>19529017.598655805</v>
      </c>
      <c r="AS222" s="369"/>
      <c r="AT222" s="350">
        <f t="shared" si="123"/>
        <v>2656015.4270569086</v>
      </c>
      <c r="AU222" s="350">
        <f t="shared" si="106"/>
        <v>2688827.6971370676</v>
      </c>
      <c r="AV222" s="350">
        <f t="shared" si="107"/>
        <v>2719546.4579478083</v>
      </c>
      <c r="AW222" s="350">
        <f t="shared" si="108"/>
        <v>2748096.5987953353</v>
      </c>
      <c r="AX222" s="350">
        <f t="shared" si="109"/>
        <v>2774403.1920041176</v>
      </c>
      <c r="AY222" s="350">
        <f t="shared" si="110"/>
        <v>13586889.372941241</v>
      </c>
      <c r="AZ222" s="365"/>
      <c r="BA222" s="377">
        <f t="shared" si="111"/>
        <v>0</v>
      </c>
      <c r="BB222" s="377">
        <f t="shared" si="112"/>
        <v>0</v>
      </c>
      <c r="BC222" s="377">
        <f t="shared" si="113"/>
        <v>0</v>
      </c>
      <c r="BD222" s="377">
        <f t="shared" si="114"/>
        <v>0</v>
      </c>
      <c r="BE222" s="377">
        <f t="shared" si="115"/>
        <v>0</v>
      </c>
      <c r="BF222" s="377">
        <f t="shared" si="116"/>
        <v>0</v>
      </c>
      <c r="BG222" s="328"/>
    </row>
    <row r="223" spans="2:59">
      <c r="B223" s="332">
        <v>208</v>
      </c>
      <c r="C223" s="350">
        <v>7745733.3544447431</v>
      </c>
      <c r="D223" s="350">
        <v>47845.18421953592</v>
      </c>
      <c r="E223" s="350">
        <v>45810.085024103391</v>
      </c>
      <c r="F223" s="350">
        <v>43720.224530952204</v>
      </c>
      <c r="G223" s="350">
        <v>41575.709487251472</v>
      </c>
      <c r="H223" s="348">
        <v>7924684.557706587</v>
      </c>
      <c r="I223" s="369"/>
      <c r="J223" s="350">
        <v>11056796.086668646</v>
      </c>
      <c r="K223" s="350">
        <v>3399812.6052925028</v>
      </c>
      <c r="L223" s="350">
        <v>3436072.368041168</v>
      </c>
      <c r="M223" s="350">
        <v>3469573.9075063923</v>
      </c>
      <c r="N223" s="350">
        <v>3500223.9235102339</v>
      </c>
      <c r="O223" s="348">
        <v>24862478.891018942</v>
      </c>
      <c r="P223" s="369"/>
      <c r="Q223" s="350">
        <f t="shared" si="117"/>
        <v>3311062.7322239028</v>
      </c>
      <c r="R223" s="350">
        <f t="shared" si="118"/>
        <v>3351967.4210729669</v>
      </c>
      <c r="S223" s="350">
        <f t="shared" si="119"/>
        <v>3390262.2830170644</v>
      </c>
      <c r="T223" s="350">
        <f t="shared" si="120"/>
        <v>3425853.6829754403</v>
      </c>
      <c r="U223" s="350">
        <f t="shared" si="121"/>
        <v>3458648.2140229824</v>
      </c>
      <c r="V223" s="350">
        <f t="shared" si="122"/>
        <v>16937794.333312355</v>
      </c>
      <c r="W223" s="365"/>
      <c r="X223" s="377">
        <f t="shared" si="100"/>
        <v>0</v>
      </c>
      <c r="Y223" s="377">
        <f t="shared" si="101"/>
        <v>0</v>
      </c>
      <c r="Z223" s="377">
        <f t="shared" si="102"/>
        <v>0</v>
      </c>
      <c r="AA223" s="377">
        <f t="shared" si="103"/>
        <v>0</v>
      </c>
      <c r="AB223" s="377">
        <f t="shared" si="104"/>
        <v>0</v>
      </c>
      <c r="AC223" s="377">
        <f t="shared" si="105"/>
        <v>0</v>
      </c>
      <c r="AD223" s="376"/>
      <c r="AE223" s="332">
        <v>208</v>
      </c>
      <c r="AF223" s="350">
        <v>3995954.9276469355</v>
      </c>
      <c r="AG223" s="350">
        <v>24682.904884211832</v>
      </c>
      <c r="AH223" s="350">
        <v>23633.015314547785</v>
      </c>
      <c r="AI223" s="350">
        <v>22554.874878573224</v>
      </c>
      <c r="AJ223" s="350">
        <v>21448.538646203775</v>
      </c>
      <c r="AK223" s="348">
        <v>4088274.2613704721</v>
      </c>
      <c r="AL223" s="369"/>
      <c r="AM223" s="350">
        <v>5691991.1950537246</v>
      </c>
      <c r="AN223" s="350">
        <v>1741671.9120623814</v>
      </c>
      <c r="AO223" s="350">
        <v>1760237.9222702812</v>
      </c>
      <c r="AP223" s="350">
        <v>1777390.8786207575</v>
      </c>
      <c r="AQ223" s="350">
        <v>1793082.9900553301</v>
      </c>
      <c r="AR223" s="348">
        <v>12764374.898062473</v>
      </c>
      <c r="AS223" s="369"/>
      <c r="AT223" s="350">
        <f t="shared" si="123"/>
        <v>1696036.2674067891</v>
      </c>
      <c r="AU223" s="350">
        <f t="shared" si="106"/>
        <v>1716989.0071781697</v>
      </c>
      <c r="AV223" s="350">
        <f t="shared" si="107"/>
        <v>1736604.9069557334</v>
      </c>
      <c r="AW223" s="350">
        <f t="shared" si="108"/>
        <v>1754836.0037421843</v>
      </c>
      <c r="AX223" s="350">
        <f t="shared" si="109"/>
        <v>1771634.4514091264</v>
      </c>
      <c r="AY223" s="350">
        <f t="shared" si="110"/>
        <v>8676100.6366920006</v>
      </c>
      <c r="AZ223" s="365"/>
      <c r="BA223" s="377">
        <f t="shared" si="111"/>
        <v>0</v>
      </c>
      <c r="BB223" s="377">
        <f t="shared" si="112"/>
        <v>0</v>
      </c>
      <c r="BC223" s="377">
        <f t="shared" si="113"/>
        <v>0</v>
      </c>
      <c r="BD223" s="377">
        <f t="shared" si="114"/>
        <v>0</v>
      </c>
      <c r="BE223" s="377">
        <f t="shared" si="115"/>
        <v>0</v>
      </c>
      <c r="BF223" s="377">
        <f t="shared" si="116"/>
        <v>0</v>
      </c>
      <c r="BG223" s="328"/>
    </row>
    <row r="224" spans="2:59">
      <c r="B224" s="332">
        <v>209</v>
      </c>
      <c r="C224" s="350">
        <v>5847269.9687875267</v>
      </c>
      <c r="D224" s="350">
        <v>36118.427531133711</v>
      </c>
      <c r="E224" s="350">
        <v>34582.126981602152</v>
      </c>
      <c r="F224" s="350">
        <v>33004.487016300147</v>
      </c>
      <c r="G224" s="350">
        <v>31385.588218878584</v>
      </c>
      <c r="H224" s="348">
        <v>5982360.5985354409</v>
      </c>
      <c r="I224" s="369"/>
      <c r="J224" s="350">
        <v>7428784.5626328625</v>
      </c>
      <c r="K224" s="350">
        <v>1637170.9666234462</v>
      </c>
      <c r="L224" s="350">
        <v>1653926.0389447641</v>
      </c>
      <c r="M224" s="350">
        <v>1669348.4750884869</v>
      </c>
      <c r="N224" s="350">
        <v>1683393.7402301042</v>
      </c>
      <c r="O224" s="348">
        <v>14072623.783519663</v>
      </c>
      <c r="P224" s="369"/>
      <c r="Q224" s="350">
        <f t="shared" si="117"/>
        <v>1581514.5938453358</v>
      </c>
      <c r="R224" s="350">
        <f t="shared" si="118"/>
        <v>1601052.5390923126</v>
      </c>
      <c r="S224" s="350">
        <f t="shared" si="119"/>
        <v>1619343.911963162</v>
      </c>
      <c r="T224" s="350">
        <f t="shared" si="120"/>
        <v>1636343.9880721867</v>
      </c>
      <c r="U224" s="350">
        <f t="shared" si="121"/>
        <v>1652008.1520112257</v>
      </c>
      <c r="V224" s="350">
        <f t="shared" si="122"/>
        <v>8090263.1849842221</v>
      </c>
      <c r="W224" s="365"/>
      <c r="X224" s="377">
        <f t="shared" si="100"/>
        <v>0</v>
      </c>
      <c r="Y224" s="377">
        <f t="shared" si="101"/>
        <v>0</v>
      </c>
      <c r="Z224" s="377">
        <f t="shared" si="102"/>
        <v>0</v>
      </c>
      <c r="AA224" s="377">
        <f t="shared" si="103"/>
        <v>0</v>
      </c>
      <c r="AB224" s="377">
        <f t="shared" si="104"/>
        <v>0</v>
      </c>
      <c r="AC224" s="377">
        <f t="shared" si="105"/>
        <v>0</v>
      </c>
      <c r="AD224" s="376"/>
      <c r="AE224" s="332">
        <v>209</v>
      </c>
      <c r="AF224" s="350">
        <v>5621478.3005178981</v>
      </c>
      <c r="AG224" s="350">
        <v>34723.718538549285</v>
      </c>
      <c r="AH224" s="350">
        <v>33246.742060919198</v>
      </c>
      <c r="AI224" s="350">
        <v>31730.022484376575</v>
      </c>
      <c r="AJ224" s="350">
        <v>30173.637280853174</v>
      </c>
      <c r="AK224" s="348">
        <v>5751352.4208825976</v>
      </c>
      <c r="AL224" s="369"/>
      <c r="AM224" s="350">
        <v>7791859.611119708</v>
      </c>
      <c r="AN224" s="350">
        <v>2231917.8017677022</v>
      </c>
      <c r="AO224" s="350">
        <v>2255542.8723901361</v>
      </c>
      <c r="AP224" s="350">
        <v>2277356.0971653033</v>
      </c>
      <c r="AQ224" s="350">
        <v>2297296.3258987009</v>
      </c>
      <c r="AR224" s="348">
        <v>16853972.70834155</v>
      </c>
      <c r="AS224" s="369"/>
      <c r="AT224" s="350">
        <f t="shared" si="123"/>
        <v>2170381.31060181</v>
      </c>
      <c r="AU224" s="350">
        <f t="shared" si="106"/>
        <v>2197194.083229153</v>
      </c>
      <c r="AV224" s="350">
        <f t="shared" si="107"/>
        <v>2222296.1303292168</v>
      </c>
      <c r="AW224" s="350">
        <f t="shared" si="108"/>
        <v>2245626.0746809267</v>
      </c>
      <c r="AX224" s="350">
        <f t="shared" si="109"/>
        <v>2267122.6886178479</v>
      </c>
      <c r="AY224" s="350">
        <f t="shared" si="110"/>
        <v>11102620.287458953</v>
      </c>
      <c r="AZ224" s="365"/>
      <c r="BA224" s="377">
        <f t="shared" si="111"/>
        <v>0</v>
      </c>
      <c r="BB224" s="377">
        <f t="shared" si="112"/>
        <v>0</v>
      </c>
      <c r="BC224" s="377">
        <f t="shared" si="113"/>
        <v>0</v>
      </c>
      <c r="BD224" s="377">
        <f t="shared" si="114"/>
        <v>0</v>
      </c>
      <c r="BE224" s="377">
        <f t="shared" si="115"/>
        <v>0</v>
      </c>
      <c r="BF224" s="377">
        <f t="shared" si="116"/>
        <v>0</v>
      </c>
      <c r="BG224" s="328"/>
    </row>
    <row r="225" spans="2:59">
      <c r="B225" s="332">
        <v>210</v>
      </c>
      <c r="C225" s="350">
        <v>5798467.2801206103</v>
      </c>
      <c r="D225" s="350">
        <v>35816.974650840326</v>
      </c>
      <c r="E225" s="350">
        <v>34293.496426570084</v>
      </c>
      <c r="F225" s="350">
        <v>32729.023814998534</v>
      </c>
      <c r="G225" s="350">
        <v>31123.636727217581</v>
      </c>
      <c r="H225" s="348">
        <v>5932430.4117402369</v>
      </c>
      <c r="I225" s="369"/>
      <c r="J225" s="350">
        <v>8235218.5937724542</v>
      </c>
      <c r="K225" s="350">
        <v>2502671.7814553268</v>
      </c>
      <c r="L225" s="350">
        <v>2529331.1142180674</v>
      </c>
      <c r="M225" s="350">
        <v>2553959.8604057715</v>
      </c>
      <c r="N225" s="350">
        <v>2576489.3578168508</v>
      </c>
      <c r="O225" s="348">
        <v>18397670.707668468</v>
      </c>
      <c r="P225" s="369"/>
      <c r="Q225" s="350">
        <f t="shared" si="117"/>
        <v>2436751.3136518439</v>
      </c>
      <c r="R225" s="350">
        <f t="shared" si="118"/>
        <v>2466854.8068044866</v>
      </c>
      <c r="S225" s="350">
        <f t="shared" si="119"/>
        <v>2495037.6177914971</v>
      </c>
      <c r="T225" s="350">
        <f t="shared" si="120"/>
        <v>2521230.836590773</v>
      </c>
      <c r="U225" s="350">
        <f t="shared" si="121"/>
        <v>2545365.7210896332</v>
      </c>
      <c r="V225" s="350">
        <f t="shared" si="122"/>
        <v>12465240.295928232</v>
      </c>
      <c r="W225" s="365"/>
      <c r="X225" s="377">
        <f t="shared" si="100"/>
        <v>0</v>
      </c>
      <c r="Y225" s="377">
        <f t="shared" si="101"/>
        <v>0</v>
      </c>
      <c r="Z225" s="377">
        <f t="shared" si="102"/>
        <v>0</v>
      </c>
      <c r="AA225" s="377">
        <f t="shared" si="103"/>
        <v>0</v>
      </c>
      <c r="AB225" s="377">
        <f t="shared" si="104"/>
        <v>0</v>
      </c>
      <c r="AC225" s="377">
        <f t="shared" si="105"/>
        <v>0</v>
      </c>
      <c r="AD225" s="376"/>
      <c r="AE225" s="332">
        <v>210</v>
      </c>
      <c r="AF225" s="350">
        <v>7517958.9281472405</v>
      </c>
      <c r="AG225" s="350">
        <v>46438.227784551964</v>
      </c>
      <c r="AH225" s="350">
        <v>44462.973607077991</v>
      </c>
      <c r="AI225" s="350">
        <v>42434.568466583056</v>
      </c>
      <c r="AJ225" s="350">
        <v>40353.115971178835</v>
      </c>
      <c r="AK225" s="348">
        <v>7691647.8139766324</v>
      </c>
      <c r="AL225" s="369"/>
      <c r="AM225" s="350">
        <v>10290647.468362354</v>
      </c>
      <c r="AN225" s="350">
        <v>2853380.4113719524</v>
      </c>
      <c r="AO225" s="350">
        <v>2883473.327884255</v>
      </c>
      <c r="AP225" s="350">
        <v>2911249.2106040874</v>
      </c>
      <c r="AQ225" s="350">
        <v>2936629.944050468</v>
      </c>
      <c r="AR225" s="348">
        <v>21875380.362273116</v>
      </c>
      <c r="AS225" s="369"/>
      <c r="AT225" s="350">
        <f t="shared" si="123"/>
        <v>2772688.5402151132</v>
      </c>
      <c r="AU225" s="350">
        <f t="shared" si="106"/>
        <v>2806942.1835874002</v>
      </c>
      <c r="AV225" s="350">
        <f t="shared" si="107"/>
        <v>2839010.3542771768</v>
      </c>
      <c r="AW225" s="350">
        <f t="shared" si="108"/>
        <v>2868814.6421375042</v>
      </c>
      <c r="AX225" s="350">
        <f t="shared" si="109"/>
        <v>2896276.8280792893</v>
      </c>
      <c r="AY225" s="350">
        <f t="shared" si="110"/>
        <v>14183732.548296483</v>
      </c>
      <c r="AZ225" s="365"/>
      <c r="BA225" s="377">
        <f t="shared" si="111"/>
        <v>0</v>
      </c>
      <c r="BB225" s="377">
        <f t="shared" si="112"/>
        <v>0</v>
      </c>
      <c r="BC225" s="377">
        <f t="shared" si="113"/>
        <v>0</v>
      </c>
      <c r="BD225" s="377">
        <f t="shared" si="114"/>
        <v>0</v>
      </c>
      <c r="BE225" s="377">
        <f t="shared" si="115"/>
        <v>0</v>
      </c>
      <c r="BF225" s="377">
        <f t="shared" si="116"/>
        <v>0</v>
      </c>
      <c r="BG225" s="328"/>
    </row>
    <row r="226" spans="2:59">
      <c r="B226" s="332">
        <v>211</v>
      </c>
      <c r="C226" s="350">
        <v>7452852.7899891557</v>
      </c>
      <c r="D226" s="350">
        <v>46036.068940261182</v>
      </c>
      <c r="E226" s="350">
        <v>44077.920625246028</v>
      </c>
      <c r="F226" s="350">
        <v>42067.081638885342</v>
      </c>
      <c r="G226" s="350">
        <v>40003.654692041928</v>
      </c>
      <c r="H226" s="348">
        <v>7625037.5158855906</v>
      </c>
      <c r="I226" s="369"/>
      <c r="J226" s="350">
        <v>10384507.630766518</v>
      </c>
      <c r="K226" s="350">
        <v>3013908.4141181838</v>
      </c>
      <c r="L226" s="350">
        <v>3045856.9980141632</v>
      </c>
      <c r="M226" s="350">
        <v>3075359.2134204414</v>
      </c>
      <c r="N226" s="350">
        <v>3102332.4594308566</v>
      </c>
      <c r="O226" s="348">
        <v>22621964.715750165</v>
      </c>
      <c r="P226" s="369"/>
      <c r="Q226" s="350">
        <f t="shared" si="117"/>
        <v>2931654.8407773627</v>
      </c>
      <c r="R226" s="350">
        <f t="shared" si="118"/>
        <v>2967872.3451779224</v>
      </c>
      <c r="S226" s="350">
        <f t="shared" si="119"/>
        <v>3001779.0773889171</v>
      </c>
      <c r="T226" s="350">
        <f t="shared" si="120"/>
        <v>3033292.1317815562</v>
      </c>
      <c r="U226" s="350">
        <f t="shared" si="121"/>
        <v>3062328.8047388145</v>
      </c>
      <c r="V226" s="350">
        <f t="shared" si="122"/>
        <v>14996927.199864574</v>
      </c>
      <c r="W226" s="365"/>
      <c r="X226" s="377">
        <f t="shared" si="100"/>
        <v>0</v>
      </c>
      <c r="Y226" s="377">
        <f t="shared" si="101"/>
        <v>0</v>
      </c>
      <c r="Z226" s="377">
        <f t="shared" si="102"/>
        <v>0</v>
      </c>
      <c r="AA226" s="377">
        <f t="shared" si="103"/>
        <v>0</v>
      </c>
      <c r="AB226" s="377">
        <f t="shared" si="104"/>
        <v>0</v>
      </c>
      <c r="AC226" s="377">
        <f t="shared" si="105"/>
        <v>0</v>
      </c>
      <c r="AD226" s="376"/>
      <c r="AE226" s="332">
        <v>211</v>
      </c>
      <c r="AF226" s="350">
        <v>5845443.4904222284</v>
      </c>
      <c r="AG226" s="350">
        <v>36107.145423957911</v>
      </c>
      <c r="AH226" s="350">
        <v>34571.32475986654</v>
      </c>
      <c r="AI226" s="350">
        <v>32994.177592959044</v>
      </c>
      <c r="AJ226" s="350">
        <v>31375.78448172093</v>
      </c>
      <c r="AK226" s="348">
        <v>5980491.9226807328</v>
      </c>
      <c r="AL226" s="369"/>
      <c r="AM226" s="350">
        <v>8095504.0676930789</v>
      </c>
      <c r="AN226" s="350">
        <v>2313964.8486474738</v>
      </c>
      <c r="AO226" s="350">
        <v>2338452.6240735035</v>
      </c>
      <c r="AP226" s="350">
        <v>2361061.9126261128</v>
      </c>
      <c r="AQ226" s="350">
        <v>2381729.3194008199</v>
      </c>
      <c r="AR226" s="348">
        <v>17490712.772440989</v>
      </c>
      <c r="AS226" s="369"/>
      <c r="AT226" s="350">
        <f t="shared" si="123"/>
        <v>2250060.5772708505</v>
      </c>
      <c r="AU226" s="350">
        <f t="shared" si="106"/>
        <v>2277857.7032235158</v>
      </c>
      <c r="AV226" s="350">
        <f t="shared" si="107"/>
        <v>2303881.299313637</v>
      </c>
      <c r="AW226" s="350">
        <f t="shared" si="108"/>
        <v>2328067.7350331536</v>
      </c>
      <c r="AX226" s="350">
        <f t="shared" si="109"/>
        <v>2350353.534919099</v>
      </c>
      <c r="AY226" s="350">
        <f t="shared" si="110"/>
        <v>11510220.849760257</v>
      </c>
      <c r="AZ226" s="365"/>
      <c r="BA226" s="377">
        <f t="shared" si="111"/>
        <v>0</v>
      </c>
      <c r="BB226" s="377">
        <f t="shared" si="112"/>
        <v>0</v>
      </c>
      <c r="BC226" s="377">
        <f t="shared" si="113"/>
        <v>0</v>
      </c>
      <c r="BD226" s="377">
        <f t="shared" si="114"/>
        <v>0</v>
      </c>
      <c r="BE226" s="377">
        <f t="shared" si="115"/>
        <v>0</v>
      </c>
      <c r="BF226" s="377">
        <f t="shared" si="116"/>
        <v>0</v>
      </c>
      <c r="BG226" s="328"/>
    </row>
    <row r="227" spans="2:59">
      <c r="B227" s="332">
        <v>212</v>
      </c>
      <c r="C227" s="350">
        <v>5875197.2728401348</v>
      </c>
      <c r="D227" s="350">
        <v>36290.933728546501</v>
      </c>
      <c r="E227" s="350">
        <v>34747.295612460541</v>
      </c>
      <c r="F227" s="350">
        <v>33162.120638301516</v>
      </c>
      <c r="G227" s="350">
        <v>31535.489774603277</v>
      </c>
      <c r="H227" s="348">
        <v>6010933.1125940476</v>
      </c>
      <c r="I227" s="369"/>
      <c r="J227" s="350">
        <v>8013701.6808415074</v>
      </c>
      <c r="K227" s="350">
        <v>2201214.3088368624</v>
      </c>
      <c r="L227" s="350">
        <v>2224404.0381300524</v>
      </c>
      <c r="M227" s="350">
        <v>2245806.1551081692</v>
      </c>
      <c r="N227" s="350">
        <v>2265360.4123384869</v>
      </c>
      <c r="O227" s="348">
        <v>16950486.595255077</v>
      </c>
      <c r="P227" s="369"/>
      <c r="Q227" s="350">
        <f t="shared" si="117"/>
        <v>2138504.4080013726</v>
      </c>
      <c r="R227" s="350">
        <f t="shared" si="118"/>
        <v>2164923.3751083161</v>
      </c>
      <c r="S227" s="350">
        <f t="shared" si="119"/>
        <v>2189656.7425175919</v>
      </c>
      <c r="T227" s="350">
        <f t="shared" si="120"/>
        <v>2212644.0344698676</v>
      </c>
      <c r="U227" s="350">
        <f t="shared" si="121"/>
        <v>2233824.9225638835</v>
      </c>
      <c r="V227" s="350">
        <f t="shared" si="122"/>
        <v>10939553.482661029</v>
      </c>
      <c r="W227" s="365"/>
      <c r="X227" s="377">
        <f t="shared" si="100"/>
        <v>0</v>
      </c>
      <c r="Y227" s="377">
        <f t="shared" si="101"/>
        <v>0</v>
      </c>
      <c r="Z227" s="377">
        <f t="shared" si="102"/>
        <v>0</v>
      </c>
      <c r="AA227" s="377">
        <f t="shared" si="103"/>
        <v>0</v>
      </c>
      <c r="AB227" s="377">
        <f t="shared" si="104"/>
        <v>0</v>
      </c>
      <c r="AC227" s="377">
        <f t="shared" si="105"/>
        <v>0</v>
      </c>
      <c r="AD227" s="376"/>
      <c r="AE227" s="332">
        <v>212</v>
      </c>
      <c r="AF227" s="350">
        <v>5325198.1104494873</v>
      </c>
      <c r="AG227" s="350">
        <v>32893.603864349083</v>
      </c>
      <c r="AH227" s="350">
        <v>31494.471478275114</v>
      </c>
      <c r="AI227" s="350">
        <v>30057.690654566006</v>
      </c>
      <c r="AJ227" s="350">
        <v>28583.33478198872</v>
      </c>
      <c r="AK227" s="348">
        <v>5448227.2112286659</v>
      </c>
      <c r="AL227" s="369"/>
      <c r="AM227" s="350">
        <v>8187778.8224128764</v>
      </c>
      <c r="AN227" s="350">
        <v>2930838.4821990426</v>
      </c>
      <c r="AO227" s="350">
        <v>2962547.1892089471</v>
      </c>
      <c r="AP227" s="350">
        <v>2991880.9685564702</v>
      </c>
      <c r="AQ227" s="350">
        <v>3018759.1386330253</v>
      </c>
      <c r="AR227" s="348">
        <v>20091804.60101036</v>
      </c>
      <c r="AS227" s="369"/>
      <c r="AT227" s="350">
        <f t="shared" si="123"/>
        <v>2862580.7119633891</v>
      </c>
      <c r="AU227" s="350">
        <f t="shared" si="106"/>
        <v>2897944.8783346936</v>
      </c>
      <c r="AV227" s="350">
        <f t="shared" si="107"/>
        <v>2931052.7177306721</v>
      </c>
      <c r="AW227" s="350">
        <f t="shared" si="108"/>
        <v>2961823.2779019042</v>
      </c>
      <c r="AX227" s="350">
        <f t="shared" si="109"/>
        <v>2990175.8038510368</v>
      </c>
      <c r="AY227" s="350">
        <f t="shared" si="110"/>
        <v>14643577.389781695</v>
      </c>
      <c r="AZ227" s="365"/>
      <c r="BA227" s="377">
        <f t="shared" si="111"/>
        <v>0</v>
      </c>
      <c r="BB227" s="377">
        <f t="shared" si="112"/>
        <v>0</v>
      </c>
      <c r="BC227" s="377">
        <f t="shared" si="113"/>
        <v>0</v>
      </c>
      <c r="BD227" s="377">
        <f t="shared" si="114"/>
        <v>0</v>
      </c>
      <c r="BE227" s="377">
        <f t="shared" si="115"/>
        <v>0</v>
      </c>
      <c r="BF227" s="377">
        <f t="shared" si="116"/>
        <v>0</v>
      </c>
      <c r="BG227" s="328"/>
    </row>
    <row r="228" spans="2:59">
      <c r="B228" s="332">
        <v>213</v>
      </c>
      <c r="C228" s="350">
        <v>5980357.260813782</v>
      </c>
      <c r="D228" s="350">
        <v>36940.504113542891</v>
      </c>
      <c r="E228" s="350">
        <v>35369.236462960987</v>
      </c>
      <c r="F228" s="350">
        <v>33755.688487269508</v>
      </c>
      <c r="G228" s="350">
        <v>32099.942604258154</v>
      </c>
      <c r="H228" s="348">
        <v>6118522.6324818134</v>
      </c>
      <c r="I228" s="369"/>
      <c r="J228" s="350">
        <v>7959621.0037931222</v>
      </c>
      <c r="K228" s="350">
        <v>2040655.9636879412</v>
      </c>
      <c r="L228" s="350">
        <v>2061976.3286997974</v>
      </c>
      <c r="M228" s="350">
        <v>2081638.3569353025</v>
      </c>
      <c r="N228" s="350">
        <v>2099586.294678912</v>
      </c>
      <c r="O228" s="348">
        <v>16243477.947795074</v>
      </c>
      <c r="P228" s="369"/>
      <c r="Q228" s="350">
        <f t="shared" si="117"/>
        <v>1979263.7429793403</v>
      </c>
      <c r="R228" s="350">
        <f t="shared" si="118"/>
        <v>2003715.4595743984</v>
      </c>
      <c r="S228" s="350">
        <f t="shared" si="119"/>
        <v>2026607.0922368364</v>
      </c>
      <c r="T228" s="350">
        <f t="shared" si="120"/>
        <v>2047882.668448033</v>
      </c>
      <c r="U228" s="350">
        <f t="shared" si="121"/>
        <v>2067486.3520746538</v>
      </c>
      <c r="V228" s="350">
        <f t="shared" si="122"/>
        <v>10124955.315313261</v>
      </c>
      <c r="W228" s="365"/>
      <c r="X228" s="377">
        <f t="shared" si="100"/>
        <v>0</v>
      </c>
      <c r="Y228" s="377">
        <f t="shared" si="101"/>
        <v>0</v>
      </c>
      <c r="Z228" s="377">
        <f t="shared" si="102"/>
        <v>0</v>
      </c>
      <c r="AA228" s="377">
        <f t="shared" si="103"/>
        <v>0</v>
      </c>
      <c r="AB228" s="377">
        <f t="shared" si="104"/>
        <v>0</v>
      </c>
      <c r="AC228" s="377">
        <f t="shared" si="105"/>
        <v>0</v>
      </c>
      <c r="AD228" s="376"/>
      <c r="AE228" s="332">
        <v>213</v>
      </c>
      <c r="AF228" s="350">
        <v>5934980.4119364833</v>
      </c>
      <c r="AG228" s="350">
        <v>36660.212552435827</v>
      </c>
      <c r="AH228" s="350">
        <v>35100.867128505204</v>
      </c>
      <c r="AI228" s="350">
        <v>33499.562187714109</v>
      </c>
      <c r="AJ228" s="350">
        <v>31856.3795224897</v>
      </c>
      <c r="AK228" s="348">
        <v>6072097.4333276283</v>
      </c>
      <c r="AL228" s="369"/>
      <c r="AM228" s="350">
        <v>8005130.3435090017</v>
      </c>
      <c r="AN228" s="350">
        <v>2132384.6637490531</v>
      </c>
      <c r="AO228" s="350">
        <v>2154768.1162255136</v>
      </c>
      <c r="AP228" s="350">
        <v>2175419.3447300545</v>
      </c>
      <c r="AQ228" s="350">
        <v>2194280.0309717245</v>
      </c>
      <c r="AR228" s="348">
        <v>16661982.499185348</v>
      </c>
      <c r="AS228" s="369"/>
      <c r="AT228" s="350">
        <f t="shared" si="123"/>
        <v>2070149.9315725183</v>
      </c>
      <c r="AU228" s="350">
        <f t="shared" si="106"/>
        <v>2095724.4511966172</v>
      </c>
      <c r="AV228" s="350">
        <f t="shared" si="107"/>
        <v>2119667.2490970083</v>
      </c>
      <c r="AW228" s="350">
        <f t="shared" si="108"/>
        <v>2141919.7825423405</v>
      </c>
      <c r="AX228" s="350">
        <f t="shared" si="109"/>
        <v>2162423.6514492347</v>
      </c>
      <c r="AY228" s="350">
        <f t="shared" si="110"/>
        <v>10589885.06585772</v>
      </c>
      <c r="AZ228" s="365"/>
      <c r="BA228" s="377">
        <f t="shared" si="111"/>
        <v>0</v>
      </c>
      <c r="BB228" s="377">
        <f t="shared" si="112"/>
        <v>0</v>
      </c>
      <c r="BC228" s="377">
        <f t="shared" si="113"/>
        <v>0</v>
      </c>
      <c r="BD228" s="377">
        <f t="shared" si="114"/>
        <v>0</v>
      </c>
      <c r="BE228" s="377">
        <f t="shared" si="115"/>
        <v>0</v>
      </c>
      <c r="BF228" s="377">
        <f t="shared" si="116"/>
        <v>0</v>
      </c>
      <c r="BG228" s="328"/>
    </row>
    <row r="229" spans="2:59">
      <c r="B229" s="332">
        <v>214</v>
      </c>
      <c r="C229" s="350">
        <v>5948152.1004930064</v>
      </c>
      <c r="D229" s="350">
        <v>36741.573714334489</v>
      </c>
      <c r="E229" s="350">
        <v>35178.76758609603</v>
      </c>
      <c r="F229" s="350">
        <v>33573.908818922479</v>
      </c>
      <c r="G229" s="350">
        <v>31927.079386766469</v>
      </c>
      <c r="H229" s="348">
        <v>6085573.4299991261</v>
      </c>
      <c r="I229" s="369"/>
      <c r="J229" s="350">
        <v>7723023.4182471633</v>
      </c>
      <c r="K229" s="350">
        <v>1833539.5551626878</v>
      </c>
      <c r="L229" s="350">
        <v>1852504.4338229173</v>
      </c>
      <c r="M229" s="350">
        <v>1869978.0885281865</v>
      </c>
      <c r="N229" s="350">
        <v>1885910.5311433431</v>
      </c>
      <c r="O229" s="348">
        <v>15164956.026904296</v>
      </c>
      <c r="P229" s="369"/>
      <c r="Q229" s="350">
        <f t="shared" si="117"/>
        <v>1774871.3177541569</v>
      </c>
      <c r="R229" s="350">
        <f t="shared" si="118"/>
        <v>1796797.9814483533</v>
      </c>
      <c r="S229" s="350">
        <f t="shared" si="119"/>
        <v>1817325.6662368213</v>
      </c>
      <c r="T229" s="350">
        <f t="shared" si="120"/>
        <v>1836404.1797092641</v>
      </c>
      <c r="U229" s="350">
        <f t="shared" si="121"/>
        <v>1853983.4517565765</v>
      </c>
      <c r="V229" s="350">
        <f t="shared" si="122"/>
        <v>9079382.59690517</v>
      </c>
      <c r="W229" s="365"/>
      <c r="X229" s="377">
        <f t="shared" si="100"/>
        <v>0</v>
      </c>
      <c r="Y229" s="377">
        <f t="shared" si="101"/>
        <v>0</v>
      </c>
      <c r="Z229" s="377">
        <f t="shared" si="102"/>
        <v>0</v>
      </c>
      <c r="AA229" s="377">
        <f t="shared" si="103"/>
        <v>0</v>
      </c>
      <c r="AB229" s="377">
        <f t="shared" si="104"/>
        <v>0</v>
      </c>
      <c r="AC229" s="377">
        <f t="shared" si="105"/>
        <v>0</v>
      </c>
      <c r="AD229" s="376"/>
      <c r="AE229" s="332">
        <v>214</v>
      </c>
      <c r="AF229" s="350">
        <v>5971811.5792142833</v>
      </c>
      <c r="AG229" s="350">
        <v>36887.717670774291</v>
      </c>
      <c r="AH229" s="350">
        <v>35318.695296263759</v>
      </c>
      <c r="AI229" s="350">
        <v>33707.453013466082</v>
      </c>
      <c r="AJ229" s="350">
        <v>32054.073122405211</v>
      </c>
      <c r="AK229" s="348">
        <v>6109779.5183171919</v>
      </c>
      <c r="AL229" s="369"/>
      <c r="AM229" s="350">
        <v>8132677.5654080026</v>
      </c>
      <c r="AN229" s="350">
        <v>2224448.9246917972</v>
      </c>
      <c r="AO229" s="350">
        <v>2247871.8977318266</v>
      </c>
      <c r="AP229" s="350">
        <v>2269488.3173180036</v>
      </c>
      <c r="AQ229" s="350">
        <v>2289237.3065165272</v>
      </c>
      <c r="AR229" s="348">
        <v>17163724.011666156</v>
      </c>
      <c r="AS229" s="369"/>
      <c r="AT229" s="350">
        <f t="shared" si="123"/>
        <v>2160865.9861937193</v>
      </c>
      <c r="AU229" s="350">
        <f t="shared" si="106"/>
        <v>2187561.2070210231</v>
      </c>
      <c r="AV229" s="350">
        <f t="shared" si="107"/>
        <v>2212553.2024355629</v>
      </c>
      <c r="AW229" s="350">
        <f t="shared" si="108"/>
        <v>2235780.8643045374</v>
      </c>
      <c r="AX229" s="350">
        <f t="shared" si="109"/>
        <v>2257183.2333941222</v>
      </c>
      <c r="AY229" s="350">
        <f t="shared" si="110"/>
        <v>11053944.493348964</v>
      </c>
      <c r="AZ229" s="365"/>
      <c r="BA229" s="377">
        <f t="shared" si="111"/>
        <v>0</v>
      </c>
      <c r="BB229" s="377">
        <f t="shared" si="112"/>
        <v>0</v>
      </c>
      <c r="BC229" s="377">
        <f t="shared" si="113"/>
        <v>0</v>
      </c>
      <c r="BD229" s="377">
        <f t="shared" si="114"/>
        <v>0</v>
      </c>
      <c r="BE229" s="377">
        <f t="shared" si="115"/>
        <v>0</v>
      </c>
      <c r="BF229" s="377">
        <f t="shared" si="116"/>
        <v>0</v>
      </c>
      <c r="BG229" s="328"/>
    </row>
    <row r="230" spans="2:59">
      <c r="B230" s="332">
        <v>215</v>
      </c>
      <c r="C230" s="350">
        <v>5512770.4808169669</v>
      </c>
      <c r="D230" s="350">
        <v>34052.233293488411</v>
      </c>
      <c r="E230" s="350">
        <v>32603.818500888236</v>
      </c>
      <c r="F230" s="350">
        <v>31116.429159109834</v>
      </c>
      <c r="G230" s="350">
        <v>29590.141241929192</v>
      </c>
      <c r="H230" s="348">
        <v>5640133.103012383</v>
      </c>
      <c r="I230" s="369"/>
      <c r="J230" s="350">
        <v>7407046.4340839423</v>
      </c>
      <c r="K230" s="350">
        <v>1951729.9686253434</v>
      </c>
      <c r="L230" s="350">
        <v>1972190.240553898</v>
      </c>
      <c r="M230" s="350">
        <v>1991064.8734801123</v>
      </c>
      <c r="N230" s="350">
        <v>2008300.5047973334</v>
      </c>
      <c r="O230" s="348">
        <v>15330332.021540632</v>
      </c>
      <c r="P230" s="369"/>
      <c r="Q230" s="350">
        <f t="shared" si="117"/>
        <v>1894275.9532669755</v>
      </c>
      <c r="R230" s="350">
        <f t="shared" si="118"/>
        <v>1917677.735331855</v>
      </c>
      <c r="S230" s="350">
        <f t="shared" si="119"/>
        <v>1939586.4220530097</v>
      </c>
      <c r="T230" s="350">
        <f t="shared" si="120"/>
        <v>1959948.4443210023</v>
      </c>
      <c r="U230" s="350">
        <f t="shared" si="121"/>
        <v>1978710.3635554041</v>
      </c>
      <c r="V230" s="350">
        <f t="shared" si="122"/>
        <v>9690198.9185282495</v>
      </c>
      <c r="W230" s="365"/>
      <c r="X230" s="377">
        <f t="shared" si="100"/>
        <v>0</v>
      </c>
      <c r="Y230" s="377">
        <f t="shared" si="101"/>
        <v>0</v>
      </c>
      <c r="Z230" s="377">
        <f t="shared" si="102"/>
        <v>0</v>
      </c>
      <c r="AA230" s="377">
        <f t="shared" si="103"/>
        <v>0</v>
      </c>
      <c r="AB230" s="377">
        <f t="shared" si="104"/>
        <v>0</v>
      </c>
      <c r="AC230" s="377">
        <f t="shared" si="105"/>
        <v>0</v>
      </c>
      <c r="AD230" s="376"/>
      <c r="AE230" s="332">
        <v>215</v>
      </c>
      <c r="AF230" s="350">
        <v>7127870.4355278406</v>
      </c>
      <c r="AG230" s="350">
        <v>44028.661777405207</v>
      </c>
      <c r="AH230" s="350">
        <v>42155.898705827902</v>
      </c>
      <c r="AI230" s="350">
        <v>40232.742544641042</v>
      </c>
      <c r="AJ230" s="350">
        <v>38259.29152598857</v>
      </c>
      <c r="AK230" s="348">
        <v>7292547.0300817033</v>
      </c>
      <c r="AL230" s="369"/>
      <c r="AM230" s="350">
        <v>9720887.7259646766</v>
      </c>
      <c r="AN230" s="350">
        <v>2669079.946742129</v>
      </c>
      <c r="AO230" s="350">
        <v>2697197.3249594923</v>
      </c>
      <c r="AP230" s="350">
        <v>2723147.1277080667</v>
      </c>
      <c r="AQ230" s="350">
        <v>2746856.302757008</v>
      </c>
      <c r="AR230" s="348">
        <v>20557168.428131372</v>
      </c>
      <c r="AS230" s="369"/>
      <c r="AT230" s="350">
        <f t="shared" si="123"/>
        <v>2593017.290436836</v>
      </c>
      <c r="AU230" s="350">
        <f t="shared" si="106"/>
        <v>2625051.284964724</v>
      </c>
      <c r="AV230" s="350">
        <f t="shared" si="107"/>
        <v>2655041.4262536643</v>
      </c>
      <c r="AW230" s="350">
        <f t="shared" si="108"/>
        <v>2682914.3851634255</v>
      </c>
      <c r="AX230" s="350">
        <f t="shared" si="109"/>
        <v>2708597.0112310196</v>
      </c>
      <c r="AY230" s="350">
        <f t="shared" si="110"/>
        <v>13264621.398049667</v>
      </c>
      <c r="AZ230" s="365"/>
      <c r="BA230" s="377">
        <f t="shared" si="111"/>
        <v>0</v>
      </c>
      <c r="BB230" s="377">
        <f t="shared" si="112"/>
        <v>0</v>
      </c>
      <c r="BC230" s="377">
        <f t="shared" si="113"/>
        <v>0</v>
      </c>
      <c r="BD230" s="377">
        <f t="shared" si="114"/>
        <v>0</v>
      </c>
      <c r="BE230" s="377">
        <f t="shared" si="115"/>
        <v>0</v>
      </c>
      <c r="BF230" s="377">
        <f t="shared" si="116"/>
        <v>0</v>
      </c>
      <c r="BG230" s="328"/>
    </row>
    <row r="231" spans="2:59">
      <c r="B231" s="332">
        <v>216</v>
      </c>
      <c r="C231" s="350">
        <v>5838000.877316419</v>
      </c>
      <c r="D231" s="350">
        <v>36061.172605266904</v>
      </c>
      <c r="E231" s="350">
        <v>34527.307399136407</v>
      </c>
      <c r="F231" s="350">
        <v>32952.168308467728</v>
      </c>
      <c r="G231" s="350">
        <v>31335.835789176868</v>
      </c>
      <c r="H231" s="348">
        <v>5972877.3614184661</v>
      </c>
      <c r="I231" s="369"/>
      <c r="J231" s="350">
        <v>8146269.1440521926</v>
      </c>
      <c r="K231" s="350">
        <v>2372845.6599224522</v>
      </c>
      <c r="L231" s="350">
        <v>2398008.6053035446</v>
      </c>
      <c r="M231" s="350">
        <v>2421245.5902155656</v>
      </c>
      <c r="N231" s="350">
        <v>2442491.5775800999</v>
      </c>
      <c r="O231" s="348">
        <v>17780860.577073857</v>
      </c>
      <c r="P231" s="369"/>
      <c r="Q231" s="350">
        <f t="shared" si="117"/>
        <v>2308268.2667357735</v>
      </c>
      <c r="R231" s="350">
        <f t="shared" si="118"/>
        <v>2336784.4873171854</v>
      </c>
      <c r="S231" s="350">
        <f t="shared" si="119"/>
        <v>2363481.2979044081</v>
      </c>
      <c r="T231" s="350">
        <f t="shared" si="120"/>
        <v>2388293.421907098</v>
      </c>
      <c r="U231" s="350">
        <f t="shared" si="121"/>
        <v>2411155.7417909233</v>
      </c>
      <c r="V231" s="350">
        <f t="shared" si="122"/>
        <v>11807983.21565539</v>
      </c>
      <c r="W231" s="365"/>
      <c r="X231" s="377">
        <f t="shared" si="100"/>
        <v>0</v>
      </c>
      <c r="Y231" s="377">
        <f t="shared" si="101"/>
        <v>0</v>
      </c>
      <c r="Z231" s="377">
        <f t="shared" si="102"/>
        <v>0</v>
      </c>
      <c r="AA231" s="377">
        <f t="shared" si="103"/>
        <v>0</v>
      </c>
      <c r="AB231" s="377">
        <f t="shared" si="104"/>
        <v>0</v>
      </c>
      <c r="AC231" s="377">
        <f t="shared" si="105"/>
        <v>0</v>
      </c>
      <c r="AD231" s="376"/>
      <c r="AE231" s="332">
        <v>216</v>
      </c>
      <c r="AF231" s="350">
        <v>5019545.5189385042</v>
      </c>
      <c r="AG231" s="350">
        <v>31005.596121398292</v>
      </c>
      <c r="AH231" s="350">
        <v>29686.770313747511</v>
      </c>
      <c r="AI231" s="350">
        <v>28332.45699135711</v>
      </c>
      <c r="AJ231" s="350">
        <v>26942.72533067167</v>
      </c>
      <c r="AK231" s="348">
        <v>5135513.0676956782</v>
      </c>
      <c r="AL231" s="369"/>
      <c r="AM231" s="350">
        <v>7220655.507236287</v>
      </c>
      <c r="AN231" s="350">
        <v>2259307.9774589268</v>
      </c>
      <c r="AO231" s="350">
        <v>2283446.5983813861</v>
      </c>
      <c r="AP231" s="350">
        <v>2305752.5392678492</v>
      </c>
      <c r="AQ231" s="350">
        <v>2326163.7747551976</v>
      </c>
      <c r="AR231" s="348">
        <v>16395326.397099648</v>
      </c>
      <c r="AS231" s="369"/>
      <c r="AT231" s="350">
        <f t="shared" si="123"/>
        <v>2201109.9882977828</v>
      </c>
      <c r="AU231" s="350">
        <f t="shared" si="106"/>
        <v>2228302.3813375286</v>
      </c>
      <c r="AV231" s="350">
        <f t="shared" si="107"/>
        <v>2253759.8280676384</v>
      </c>
      <c r="AW231" s="350">
        <f t="shared" si="108"/>
        <v>2277420.0822764919</v>
      </c>
      <c r="AX231" s="350">
        <f t="shared" si="109"/>
        <v>2299221.0494245258</v>
      </c>
      <c r="AY231" s="350">
        <f t="shared" si="110"/>
        <v>11259813.32940397</v>
      </c>
      <c r="AZ231" s="365"/>
      <c r="BA231" s="377">
        <f t="shared" si="111"/>
        <v>0</v>
      </c>
      <c r="BB231" s="377">
        <f t="shared" si="112"/>
        <v>0</v>
      </c>
      <c r="BC231" s="377">
        <f t="shared" si="113"/>
        <v>0</v>
      </c>
      <c r="BD231" s="377">
        <f t="shared" si="114"/>
        <v>0</v>
      </c>
      <c r="BE231" s="377">
        <f t="shared" si="115"/>
        <v>0</v>
      </c>
      <c r="BF231" s="377">
        <f t="shared" si="116"/>
        <v>0</v>
      </c>
      <c r="BG231" s="328"/>
    </row>
    <row r="232" spans="2:59">
      <c r="B232" s="332">
        <v>217</v>
      </c>
      <c r="C232" s="350">
        <v>6506675.2174607133</v>
      </c>
      <c r="D232" s="350">
        <v>40191.555814072635</v>
      </c>
      <c r="E232" s="350">
        <v>38482.004388270056</v>
      </c>
      <c r="F232" s="350">
        <v>36726.451639872314</v>
      </c>
      <c r="G232" s="350">
        <v>34924.987240080409</v>
      </c>
      <c r="H232" s="348">
        <v>6657000.2165430086</v>
      </c>
      <c r="I232" s="369"/>
      <c r="J232" s="350">
        <v>9147214.1339189038</v>
      </c>
      <c r="K232" s="350">
        <v>2713351.5463825129</v>
      </c>
      <c r="L232" s="350">
        <v>2742181.758604099</v>
      </c>
      <c r="M232" s="350">
        <v>2768809.9860138558</v>
      </c>
      <c r="N232" s="350">
        <v>2793161.8272084547</v>
      </c>
      <c r="O232" s="348">
        <v>20164719.252127826</v>
      </c>
      <c r="P232" s="369"/>
      <c r="Q232" s="350">
        <f t="shared" si="117"/>
        <v>2640538.9164581904</v>
      </c>
      <c r="R232" s="350">
        <f t="shared" si="118"/>
        <v>2673159.9905684404</v>
      </c>
      <c r="S232" s="350">
        <f t="shared" si="119"/>
        <v>2703699.7542158291</v>
      </c>
      <c r="T232" s="350">
        <f t="shared" si="120"/>
        <v>2732083.5343739833</v>
      </c>
      <c r="U232" s="350">
        <f t="shared" si="121"/>
        <v>2758236.8399683745</v>
      </c>
      <c r="V232" s="350">
        <f t="shared" si="122"/>
        <v>13507719.035584819</v>
      </c>
      <c r="W232" s="365"/>
      <c r="X232" s="377">
        <f t="shared" si="100"/>
        <v>0</v>
      </c>
      <c r="Y232" s="377">
        <f t="shared" si="101"/>
        <v>0</v>
      </c>
      <c r="Z232" s="377">
        <f t="shared" si="102"/>
        <v>0</v>
      </c>
      <c r="AA232" s="377">
        <f t="shared" si="103"/>
        <v>0</v>
      </c>
      <c r="AB232" s="377">
        <f t="shared" si="104"/>
        <v>0</v>
      </c>
      <c r="AC232" s="377">
        <f t="shared" si="105"/>
        <v>0</v>
      </c>
      <c r="AD232" s="376"/>
      <c r="AE232" s="332">
        <v>217</v>
      </c>
      <c r="AF232" s="350">
        <v>6483916.9864802519</v>
      </c>
      <c r="AG232" s="350">
        <v>40050.978840410055</v>
      </c>
      <c r="AH232" s="350">
        <v>38347.406868768252</v>
      </c>
      <c r="AI232" s="350">
        <v>36597.99447218392</v>
      </c>
      <c r="AJ232" s="350">
        <v>34802.83100820479</v>
      </c>
      <c r="AK232" s="348">
        <v>6633716.197669819</v>
      </c>
      <c r="AL232" s="369"/>
      <c r="AM232" s="350">
        <v>8993147.8964203484</v>
      </c>
      <c r="AN232" s="350">
        <v>2580280.7909223032</v>
      </c>
      <c r="AO232" s="350">
        <v>2607598.3094745092</v>
      </c>
      <c r="AP232" s="350">
        <v>2632821.2162775728</v>
      </c>
      <c r="AQ232" s="350">
        <v>2655878.8138865372</v>
      </c>
      <c r="AR232" s="348">
        <v>19469727.026981272</v>
      </c>
      <c r="AS232" s="369"/>
      <c r="AT232" s="350">
        <f t="shared" si="123"/>
        <v>2509230.9099400965</v>
      </c>
      <c r="AU232" s="350">
        <f t="shared" si="106"/>
        <v>2540229.812081893</v>
      </c>
      <c r="AV232" s="350">
        <f t="shared" si="107"/>
        <v>2569250.9026057408</v>
      </c>
      <c r="AW232" s="350">
        <f t="shared" si="108"/>
        <v>2596223.221805389</v>
      </c>
      <c r="AX232" s="350">
        <f t="shared" si="109"/>
        <v>2621075.9828783325</v>
      </c>
      <c r="AY232" s="350">
        <f t="shared" si="110"/>
        <v>12836010.829311453</v>
      </c>
      <c r="AZ232" s="365"/>
      <c r="BA232" s="377">
        <f t="shared" si="111"/>
        <v>0</v>
      </c>
      <c r="BB232" s="377">
        <f t="shared" si="112"/>
        <v>0</v>
      </c>
      <c r="BC232" s="377">
        <f t="shared" si="113"/>
        <v>0</v>
      </c>
      <c r="BD232" s="377">
        <f t="shared" si="114"/>
        <v>0</v>
      </c>
      <c r="BE232" s="377">
        <f t="shared" si="115"/>
        <v>0</v>
      </c>
      <c r="BF232" s="377">
        <f t="shared" si="116"/>
        <v>0</v>
      </c>
      <c r="BG232" s="328"/>
    </row>
    <row r="233" spans="2:59">
      <c r="B233" s="332">
        <v>218</v>
      </c>
      <c r="C233" s="350">
        <v>6465521.7883839691</v>
      </c>
      <c r="D233" s="350">
        <v>39937.352202180897</v>
      </c>
      <c r="E233" s="350">
        <v>38238.613349775544</v>
      </c>
      <c r="F233" s="350">
        <v>36494.164124008217</v>
      </c>
      <c r="G233" s="350">
        <v>34704.093628926217</v>
      </c>
      <c r="H233" s="348">
        <v>6614896.0116888601</v>
      </c>
      <c r="I233" s="369"/>
      <c r="J233" s="350">
        <v>8616196.1698031723</v>
      </c>
      <c r="K233" s="350">
        <v>2217181.0479177991</v>
      </c>
      <c r="L233" s="350">
        <v>2240356.4311173917</v>
      </c>
      <c r="M233" s="350">
        <v>2261730.0917795352</v>
      </c>
      <c r="N233" s="350">
        <v>2281241.4472852945</v>
      </c>
      <c r="O233" s="348">
        <v>17616705.187903192</v>
      </c>
      <c r="P233" s="369"/>
      <c r="Q233" s="350">
        <f t="shared" si="117"/>
        <v>2150674.3814192032</v>
      </c>
      <c r="R233" s="350">
        <f t="shared" si="118"/>
        <v>2177243.6957156183</v>
      </c>
      <c r="S233" s="350">
        <f t="shared" si="119"/>
        <v>2202117.8177676164</v>
      </c>
      <c r="T233" s="350">
        <f t="shared" si="120"/>
        <v>2225235.9276555269</v>
      </c>
      <c r="U233" s="350">
        <f t="shared" si="121"/>
        <v>2246537.3536563683</v>
      </c>
      <c r="V233" s="350">
        <f t="shared" si="122"/>
        <v>11001809.176214332</v>
      </c>
      <c r="W233" s="365"/>
      <c r="X233" s="377">
        <f t="shared" si="100"/>
        <v>0</v>
      </c>
      <c r="Y233" s="377">
        <f t="shared" si="101"/>
        <v>0</v>
      </c>
      <c r="Z233" s="377">
        <f t="shared" si="102"/>
        <v>0</v>
      </c>
      <c r="AA233" s="377">
        <f t="shared" si="103"/>
        <v>0</v>
      </c>
      <c r="AB233" s="377">
        <f t="shared" si="104"/>
        <v>0</v>
      </c>
      <c r="AC233" s="377">
        <f t="shared" si="105"/>
        <v>0</v>
      </c>
      <c r="AD233" s="376"/>
      <c r="AE233" s="332">
        <v>218</v>
      </c>
      <c r="AF233" s="350">
        <v>6590579.2143319771</v>
      </c>
      <c r="AG233" s="350">
        <v>40709.828520266114</v>
      </c>
      <c r="AH233" s="350">
        <v>38978.232318491864</v>
      </c>
      <c r="AI233" s="350">
        <v>37200.041604101847</v>
      </c>
      <c r="AJ233" s="350">
        <v>35375.347204606755</v>
      </c>
      <c r="AK233" s="348">
        <v>6742842.6639794437</v>
      </c>
      <c r="AL233" s="369"/>
      <c r="AM233" s="350">
        <v>8523853.7176467665</v>
      </c>
      <c r="AN233" s="350">
        <v>1997867.8998654347</v>
      </c>
      <c r="AO233" s="350">
        <v>2018496.0371365321</v>
      </c>
      <c r="AP233" s="350">
        <v>2037499.0733699608</v>
      </c>
      <c r="AQ233" s="350">
        <v>2054822.5606419728</v>
      </c>
      <c r="AR233" s="348">
        <v>16632539.288660668</v>
      </c>
      <c r="AS233" s="369"/>
      <c r="AT233" s="350">
        <f t="shared" si="123"/>
        <v>1933274.5033147894</v>
      </c>
      <c r="AU233" s="350">
        <f t="shared" si="106"/>
        <v>1957158.0713451686</v>
      </c>
      <c r="AV233" s="350">
        <f t="shared" si="107"/>
        <v>1979517.8048180402</v>
      </c>
      <c r="AW233" s="350">
        <f t="shared" si="108"/>
        <v>2000299.0317658589</v>
      </c>
      <c r="AX233" s="350">
        <f t="shared" si="109"/>
        <v>2019447.2134373661</v>
      </c>
      <c r="AY233" s="350">
        <f t="shared" si="110"/>
        <v>9889696.6246812232</v>
      </c>
      <c r="AZ233" s="365"/>
      <c r="BA233" s="377">
        <f t="shared" si="111"/>
        <v>0</v>
      </c>
      <c r="BB233" s="377">
        <f t="shared" si="112"/>
        <v>0</v>
      </c>
      <c r="BC233" s="377">
        <f t="shared" si="113"/>
        <v>0</v>
      </c>
      <c r="BD233" s="377">
        <f t="shared" si="114"/>
        <v>0</v>
      </c>
      <c r="BE233" s="377">
        <f t="shared" si="115"/>
        <v>0</v>
      </c>
      <c r="BF233" s="377">
        <f t="shared" si="116"/>
        <v>0</v>
      </c>
      <c r="BG233" s="328"/>
    </row>
    <row r="234" spans="2:59">
      <c r="B234" s="332">
        <v>219</v>
      </c>
      <c r="C234" s="350">
        <v>6014505.5594649361</v>
      </c>
      <c r="D234" s="350">
        <v>37151.4372253572</v>
      </c>
      <c r="E234" s="350">
        <v>35571.197515975735</v>
      </c>
      <c r="F234" s="350">
        <v>33948.436057585335</v>
      </c>
      <c r="G234" s="350">
        <v>32283.235738587409</v>
      </c>
      <c r="H234" s="348">
        <v>6153459.8660024423</v>
      </c>
      <c r="I234" s="369"/>
      <c r="J234" s="350">
        <v>8459249.3116753101</v>
      </c>
      <c r="K234" s="350">
        <v>2512097.4207394812</v>
      </c>
      <c r="L234" s="350">
        <v>2538792.4304140685</v>
      </c>
      <c r="M234" s="350">
        <v>2563448.8003758825</v>
      </c>
      <c r="N234" s="350">
        <v>2585997.6459294958</v>
      </c>
      <c r="O234" s="348">
        <v>18659585.609134238</v>
      </c>
      <c r="P234" s="369"/>
      <c r="Q234" s="350">
        <f t="shared" si="117"/>
        <v>2444743.752210374</v>
      </c>
      <c r="R234" s="350">
        <f t="shared" si="118"/>
        <v>2474945.9835141241</v>
      </c>
      <c r="S234" s="350">
        <f t="shared" si="119"/>
        <v>2503221.2328980928</v>
      </c>
      <c r="T234" s="350">
        <f t="shared" si="120"/>
        <v>2529500.3643182972</v>
      </c>
      <c r="U234" s="350">
        <f t="shared" si="121"/>
        <v>2553714.4101909082</v>
      </c>
      <c r="V234" s="350">
        <f t="shared" si="122"/>
        <v>12506125.743131796</v>
      </c>
      <c r="W234" s="365"/>
      <c r="X234" s="377">
        <f t="shared" si="100"/>
        <v>0</v>
      </c>
      <c r="Y234" s="377">
        <f t="shared" si="101"/>
        <v>0</v>
      </c>
      <c r="Z234" s="377">
        <f t="shared" si="102"/>
        <v>0</v>
      </c>
      <c r="AA234" s="377">
        <f t="shared" si="103"/>
        <v>0</v>
      </c>
      <c r="AB234" s="377">
        <f t="shared" si="104"/>
        <v>0</v>
      </c>
      <c r="AC234" s="377">
        <f t="shared" si="105"/>
        <v>0</v>
      </c>
      <c r="AD234" s="376"/>
      <c r="AE234" s="332">
        <v>219</v>
      </c>
      <c r="AF234" s="350">
        <v>4980882.2378883595</v>
      </c>
      <c r="AG234" s="350">
        <v>30766.774086127036</v>
      </c>
      <c r="AH234" s="350">
        <v>29458.1065951335</v>
      </c>
      <c r="AI234" s="350">
        <v>28114.224933621073</v>
      </c>
      <c r="AJ234" s="350">
        <v>26735.197745197693</v>
      </c>
      <c r="AK234" s="348">
        <v>5095956.5412484389</v>
      </c>
      <c r="AL234" s="369"/>
      <c r="AM234" s="350">
        <v>6425383.0364988055</v>
      </c>
      <c r="AN234" s="350">
        <v>1493112.8569717202</v>
      </c>
      <c r="AO234" s="350">
        <v>1508510.897608777</v>
      </c>
      <c r="AP234" s="350">
        <v>1522694.2982192631</v>
      </c>
      <c r="AQ234" s="350">
        <v>1535622.3772741614</v>
      </c>
      <c r="AR234" s="348">
        <v>12485323.466572728</v>
      </c>
      <c r="AS234" s="369"/>
      <c r="AT234" s="350">
        <f t="shared" si="123"/>
        <v>1444500.798610446</v>
      </c>
      <c r="AU234" s="350">
        <f t="shared" si="106"/>
        <v>1462346.0828855932</v>
      </c>
      <c r="AV234" s="350">
        <f t="shared" si="107"/>
        <v>1479052.7910136436</v>
      </c>
      <c r="AW234" s="350">
        <f t="shared" si="108"/>
        <v>1494580.0732856421</v>
      </c>
      <c r="AX234" s="350">
        <f t="shared" si="109"/>
        <v>1508887.1795289638</v>
      </c>
      <c r="AY234" s="350">
        <f t="shared" si="110"/>
        <v>7389366.9253242891</v>
      </c>
      <c r="AZ234" s="365"/>
      <c r="BA234" s="377">
        <f t="shared" si="111"/>
        <v>0</v>
      </c>
      <c r="BB234" s="377">
        <f t="shared" si="112"/>
        <v>0</v>
      </c>
      <c r="BC234" s="377">
        <f t="shared" si="113"/>
        <v>0</v>
      </c>
      <c r="BD234" s="377">
        <f t="shared" si="114"/>
        <v>0</v>
      </c>
      <c r="BE234" s="377">
        <f t="shared" si="115"/>
        <v>0</v>
      </c>
      <c r="BF234" s="377">
        <f t="shared" si="116"/>
        <v>0</v>
      </c>
      <c r="BG234" s="328"/>
    </row>
    <row r="235" spans="2:59">
      <c r="B235" s="332">
        <v>220</v>
      </c>
      <c r="C235" s="350">
        <v>4667332.0965021569</v>
      </c>
      <c r="D235" s="350">
        <v>28829.983392437589</v>
      </c>
      <c r="E235" s="350">
        <v>27603.697467045291</v>
      </c>
      <c r="F235" s="350">
        <v>26344.414128651882</v>
      </c>
      <c r="G235" s="350">
        <v>25052.197699696928</v>
      </c>
      <c r="H235" s="348">
        <v>4775162.3891899884</v>
      </c>
      <c r="I235" s="369"/>
      <c r="J235" s="350">
        <v>6236116.8946525734</v>
      </c>
      <c r="K235" s="350">
        <v>1616995.4635864063</v>
      </c>
      <c r="L235" s="350">
        <v>1633913.3211351</v>
      </c>
      <c r="M235" s="350">
        <v>1649517.278307433</v>
      </c>
      <c r="N235" s="350">
        <v>1663763.1431323146</v>
      </c>
      <c r="O235" s="348">
        <v>12800306.100813827</v>
      </c>
      <c r="P235" s="369"/>
      <c r="Q235" s="350">
        <f t="shared" si="117"/>
        <v>1568784.7981504165</v>
      </c>
      <c r="R235" s="350">
        <f t="shared" si="118"/>
        <v>1588165.4801939686</v>
      </c>
      <c r="S235" s="350">
        <f t="shared" si="119"/>
        <v>1606309.6236680546</v>
      </c>
      <c r="T235" s="350">
        <f t="shared" si="120"/>
        <v>1623172.8641787812</v>
      </c>
      <c r="U235" s="350">
        <f t="shared" si="121"/>
        <v>1638710.9454326176</v>
      </c>
      <c r="V235" s="350">
        <f t="shared" si="122"/>
        <v>8025143.7116238382</v>
      </c>
      <c r="W235" s="365"/>
      <c r="X235" s="377">
        <f t="shared" si="100"/>
        <v>0</v>
      </c>
      <c r="Y235" s="377">
        <f t="shared" si="101"/>
        <v>0</v>
      </c>
      <c r="Z235" s="377">
        <f t="shared" si="102"/>
        <v>0</v>
      </c>
      <c r="AA235" s="377">
        <f t="shared" si="103"/>
        <v>0</v>
      </c>
      <c r="AB235" s="377">
        <f t="shared" si="104"/>
        <v>0</v>
      </c>
      <c r="AC235" s="377">
        <f t="shared" si="105"/>
        <v>0</v>
      </c>
      <c r="AD235" s="376"/>
      <c r="AE235" s="332">
        <v>220</v>
      </c>
      <c r="AF235" s="350">
        <v>5013011.3463730756</v>
      </c>
      <c r="AG235" s="350">
        <v>30965.234715213901</v>
      </c>
      <c r="AH235" s="350">
        <v>29648.125683589002</v>
      </c>
      <c r="AI235" s="350">
        <v>28295.575332951121</v>
      </c>
      <c r="AJ235" s="350">
        <v>26907.652749691129</v>
      </c>
      <c r="AK235" s="348">
        <v>5128827.9348545205</v>
      </c>
      <c r="AL235" s="369"/>
      <c r="AM235" s="350">
        <v>6755018.5454272078</v>
      </c>
      <c r="AN235" s="350">
        <v>1794493.0959291591</v>
      </c>
      <c r="AO235" s="350">
        <v>1813323.5741190535</v>
      </c>
      <c r="AP235" s="350">
        <v>1830696.27302102</v>
      </c>
      <c r="AQ235" s="350">
        <v>1846562.1187274519</v>
      </c>
      <c r="AR235" s="348">
        <v>14040093.607223893</v>
      </c>
      <c r="AS235" s="369"/>
      <c r="AT235" s="350">
        <f t="shared" si="123"/>
        <v>1742007.1990541322</v>
      </c>
      <c r="AU235" s="350">
        <f t="shared" si="106"/>
        <v>1763527.8612139451</v>
      </c>
      <c r="AV235" s="350">
        <f t="shared" si="107"/>
        <v>1783675.4484354646</v>
      </c>
      <c r="AW235" s="350">
        <f t="shared" si="108"/>
        <v>1802400.697688069</v>
      </c>
      <c r="AX235" s="350">
        <f t="shared" si="109"/>
        <v>1819654.4659777607</v>
      </c>
      <c r="AY235" s="350">
        <f t="shared" si="110"/>
        <v>8911265.6723693721</v>
      </c>
      <c r="AZ235" s="365"/>
      <c r="BA235" s="377">
        <f t="shared" si="111"/>
        <v>0</v>
      </c>
      <c r="BB235" s="377">
        <f t="shared" si="112"/>
        <v>0</v>
      </c>
      <c r="BC235" s="377">
        <f t="shared" si="113"/>
        <v>0</v>
      </c>
      <c r="BD235" s="377">
        <f t="shared" si="114"/>
        <v>0</v>
      </c>
      <c r="BE235" s="377">
        <f t="shared" si="115"/>
        <v>0</v>
      </c>
      <c r="BF235" s="377">
        <f t="shared" si="116"/>
        <v>0</v>
      </c>
      <c r="BG235" s="328"/>
    </row>
    <row r="236" spans="2:59">
      <c r="B236" s="332">
        <v>221</v>
      </c>
      <c r="C236" s="350">
        <v>5441249.7508081971</v>
      </c>
      <c r="D236" s="350">
        <v>33610.451689836984</v>
      </c>
      <c r="E236" s="350">
        <v>32180.828117311241</v>
      </c>
      <c r="F236" s="350">
        <v>30712.73563758958</v>
      </c>
      <c r="G236" s="350">
        <v>29206.249238797431</v>
      </c>
      <c r="H236" s="348">
        <v>5566960.0154917315</v>
      </c>
      <c r="I236" s="369"/>
      <c r="J236" s="350">
        <v>7387237.3211912364</v>
      </c>
      <c r="K236" s="350">
        <v>2003638.646642138</v>
      </c>
      <c r="L236" s="350">
        <v>2024715.7924604462</v>
      </c>
      <c r="M236" s="350">
        <v>2044165.5827068563</v>
      </c>
      <c r="N236" s="350">
        <v>2061933.1949755338</v>
      </c>
      <c r="O236" s="348">
        <v>15521690.537976209</v>
      </c>
      <c r="P236" s="369"/>
      <c r="Q236" s="350">
        <f t="shared" si="117"/>
        <v>1945987.5703830393</v>
      </c>
      <c r="R236" s="350">
        <f t="shared" si="118"/>
        <v>1970028.194952301</v>
      </c>
      <c r="S236" s="350">
        <f t="shared" si="119"/>
        <v>1992534.964343135</v>
      </c>
      <c r="T236" s="350">
        <f t="shared" si="120"/>
        <v>2013452.8470692667</v>
      </c>
      <c r="U236" s="350">
        <f t="shared" si="121"/>
        <v>2032726.9457367363</v>
      </c>
      <c r="V236" s="350">
        <f t="shared" si="122"/>
        <v>9954730.5224844776</v>
      </c>
      <c r="W236" s="365"/>
      <c r="X236" s="377">
        <f t="shared" si="100"/>
        <v>0</v>
      </c>
      <c r="Y236" s="377">
        <f t="shared" si="101"/>
        <v>0</v>
      </c>
      <c r="Z236" s="377">
        <f t="shared" si="102"/>
        <v>0</v>
      </c>
      <c r="AA236" s="377">
        <f t="shared" si="103"/>
        <v>0</v>
      </c>
      <c r="AB236" s="377">
        <f t="shared" si="104"/>
        <v>0</v>
      </c>
      <c r="AC236" s="377">
        <f t="shared" si="105"/>
        <v>0</v>
      </c>
      <c r="AD236" s="376"/>
      <c r="AE236" s="332">
        <v>221</v>
      </c>
      <c r="AF236" s="350">
        <v>5726915.7278027702</v>
      </c>
      <c r="AG236" s="350">
        <v>35375.002658624355</v>
      </c>
      <c r="AH236" s="350">
        <v>33870.323752620083</v>
      </c>
      <c r="AI236" s="350">
        <v>32325.156319214875</v>
      </c>
      <c r="AJ236" s="350">
        <v>30739.579283408588</v>
      </c>
      <c r="AK236" s="348">
        <v>5859225.7898166385</v>
      </c>
      <c r="AL236" s="369"/>
      <c r="AM236" s="350">
        <v>8151449.127252657</v>
      </c>
      <c r="AN236" s="350">
        <v>2489860.9558138419</v>
      </c>
      <c r="AO236" s="350">
        <v>2516397.7787818974</v>
      </c>
      <c r="AP236" s="350">
        <v>2540914.4968852559</v>
      </c>
      <c r="AQ236" s="350">
        <v>2563342.7916103932</v>
      </c>
      <c r="AR236" s="348">
        <v>18261965.150344044</v>
      </c>
      <c r="AS236" s="369"/>
      <c r="AT236" s="350">
        <f t="shared" si="123"/>
        <v>2424533.3994498868</v>
      </c>
      <c r="AU236" s="350">
        <f t="shared" si="106"/>
        <v>2454485.9531552177</v>
      </c>
      <c r="AV236" s="350">
        <f t="shared" si="107"/>
        <v>2482527.4550292771</v>
      </c>
      <c r="AW236" s="350">
        <f t="shared" si="108"/>
        <v>2508589.3405660409</v>
      </c>
      <c r="AX236" s="350">
        <f t="shared" si="109"/>
        <v>2532603.2123269849</v>
      </c>
      <c r="AY236" s="350">
        <f t="shared" si="110"/>
        <v>12402739.360527406</v>
      </c>
      <c r="AZ236" s="365"/>
      <c r="BA236" s="377">
        <f t="shared" si="111"/>
        <v>0</v>
      </c>
      <c r="BB236" s="377">
        <f t="shared" si="112"/>
        <v>0</v>
      </c>
      <c r="BC236" s="377">
        <f t="shared" si="113"/>
        <v>0</v>
      </c>
      <c r="BD236" s="377">
        <f t="shared" si="114"/>
        <v>0</v>
      </c>
      <c r="BE236" s="377">
        <f t="shared" si="115"/>
        <v>0</v>
      </c>
      <c r="BF236" s="377">
        <f t="shared" si="116"/>
        <v>0</v>
      </c>
      <c r="BG236" s="328"/>
    </row>
    <row r="237" spans="2:59">
      <c r="B237" s="332">
        <v>222</v>
      </c>
      <c r="C237" s="350">
        <v>5103208.6633302476</v>
      </c>
      <c r="D237" s="350">
        <v>31522.381088377584</v>
      </c>
      <c r="E237" s="350">
        <v>30181.573785877343</v>
      </c>
      <c r="F237" s="350">
        <v>28804.687481408408</v>
      </c>
      <c r="G237" s="350">
        <v>27391.792504410532</v>
      </c>
      <c r="H237" s="348">
        <v>5221109.0981903216</v>
      </c>
      <c r="I237" s="369"/>
      <c r="J237" s="350">
        <v>7047756.5053830398</v>
      </c>
      <c r="K237" s="350">
        <v>2000093.0613849682</v>
      </c>
      <c r="L237" s="350">
        <v>2021242.3719622609</v>
      </c>
      <c r="M237" s="350">
        <v>2040767.8924020512</v>
      </c>
      <c r="N237" s="350">
        <v>2058614.8362553478</v>
      </c>
      <c r="O237" s="348">
        <v>15168474.667387666</v>
      </c>
      <c r="P237" s="369"/>
      <c r="Q237" s="350">
        <f t="shared" si="117"/>
        <v>1944547.8420527922</v>
      </c>
      <c r="R237" s="350">
        <f t="shared" si="118"/>
        <v>1968570.6802965906</v>
      </c>
      <c r="S237" s="350">
        <f t="shared" si="119"/>
        <v>1991060.7981763836</v>
      </c>
      <c r="T237" s="350">
        <f t="shared" si="120"/>
        <v>2011963.2049206428</v>
      </c>
      <c r="U237" s="350">
        <f t="shared" si="121"/>
        <v>2031223.0437509373</v>
      </c>
      <c r="V237" s="350">
        <f t="shared" si="122"/>
        <v>9947365.5691973455</v>
      </c>
      <c r="W237" s="365"/>
      <c r="X237" s="377">
        <f t="shared" si="100"/>
        <v>0</v>
      </c>
      <c r="Y237" s="377">
        <f t="shared" si="101"/>
        <v>0</v>
      </c>
      <c r="Z237" s="377">
        <f t="shared" si="102"/>
        <v>0</v>
      </c>
      <c r="AA237" s="377">
        <f t="shared" si="103"/>
        <v>0</v>
      </c>
      <c r="AB237" s="377">
        <f t="shared" si="104"/>
        <v>0</v>
      </c>
      <c r="AC237" s="377">
        <f t="shared" si="105"/>
        <v>0</v>
      </c>
      <c r="AD237" s="376"/>
      <c r="AE237" s="332">
        <v>222</v>
      </c>
      <c r="AF237" s="350">
        <v>4332219.4475229103</v>
      </c>
      <c r="AG237" s="350">
        <v>26760.001675922089</v>
      </c>
      <c r="AH237" s="350">
        <v>25621.762608212859</v>
      </c>
      <c r="AI237" s="350">
        <v>24452.895329061477</v>
      </c>
      <c r="AJ237" s="350">
        <v>23253.459542585621</v>
      </c>
      <c r="AK237" s="348">
        <v>4432307.5666786926</v>
      </c>
      <c r="AL237" s="369"/>
      <c r="AM237" s="350">
        <v>5593663.0759303095</v>
      </c>
      <c r="AN237" s="350">
        <v>1303787.4360373637</v>
      </c>
      <c r="AO237" s="350">
        <v>1317238.7150509623</v>
      </c>
      <c r="AP237" s="350">
        <v>1329629.4050301637</v>
      </c>
      <c r="AQ237" s="350">
        <v>1340923.9796512625</v>
      </c>
      <c r="AR237" s="348">
        <v>10885242.611700062</v>
      </c>
      <c r="AS237" s="369"/>
      <c r="AT237" s="350">
        <f t="shared" si="123"/>
        <v>1261443.6284073992</v>
      </c>
      <c r="AU237" s="350">
        <f t="shared" si="106"/>
        <v>1277027.4343614415</v>
      </c>
      <c r="AV237" s="350">
        <f t="shared" si="107"/>
        <v>1291616.9524427494</v>
      </c>
      <c r="AW237" s="350">
        <f t="shared" si="108"/>
        <v>1305176.5097011023</v>
      </c>
      <c r="AX237" s="350">
        <f t="shared" si="109"/>
        <v>1317670.520108677</v>
      </c>
      <c r="AY237" s="350">
        <f t="shared" si="110"/>
        <v>6452935.0450213691</v>
      </c>
      <c r="AZ237" s="365"/>
      <c r="BA237" s="377">
        <f t="shared" si="111"/>
        <v>0</v>
      </c>
      <c r="BB237" s="377">
        <f t="shared" si="112"/>
        <v>0</v>
      </c>
      <c r="BC237" s="377">
        <f t="shared" si="113"/>
        <v>0</v>
      </c>
      <c r="BD237" s="377">
        <f t="shared" si="114"/>
        <v>0</v>
      </c>
      <c r="BE237" s="377">
        <f t="shared" si="115"/>
        <v>0</v>
      </c>
      <c r="BF237" s="377">
        <f t="shared" si="116"/>
        <v>0</v>
      </c>
      <c r="BG237" s="328"/>
    </row>
    <row r="238" spans="2:59">
      <c r="B238" s="332">
        <v>223</v>
      </c>
      <c r="C238" s="350">
        <v>6641108.6473519737</v>
      </c>
      <c r="D238" s="350">
        <v>41021.947453454253</v>
      </c>
      <c r="E238" s="350">
        <v>39277.075244905413</v>
      </c>
      <c r="F238" s="350">
        <v>37485.251287416468</v>
      </c>
      <c r="G238" s="350">
        <v>35646.567104861628</v>
      </c>
      <c r="H238" s="348">
        <v>6794539.4884426119</v>
      </c>
      <c r="I238" s="369"/>
      <c r="J238" s="350">
        <v>9516699.6047484577</v>
      </c>
      <c r="K238" s="350">
        <v>2952137.7990854755</v>
      </c>
      <c r="L238" s="350">
        <v>2983651.2392759868</v>
      </c>
      <c r="M238" s="350">
        <v>3012769.825708895</v>
      </c>
      <c r="N238" s="350">
        <v>3039412.5278844405</v>
      </c>
      <c r="O238" s="348">
        <v>21504670.996703252</v>
      </c>
      <c r="P238" s="369"/>
      <c r="Q238" s="350">
        <f t="shared" si="117"/>
        <v>2875590.957396484</v>
      </c>
      <c r="R238" s="350">
        <f t="shared" si="118"/>
        <v>2911115.8516320214</v>
      </c>
      <c r="S238" s="350">
        <f t="shared" si="119"/>
        <v>2944374.1640310814</v>
      </c>
      <c r="T238" s="350">
        <f t="shared" si="120"/>
        <v>2975284.5744214784</v>
      </c>
      <c r="U238" s="350">
        <f t="shared" si="121"/>
        <v>3003765.9607795789</v>
      </c>
      <c r="V238" s="350">
        <f t="shared" si="122"/>
        <v>14710131.508260641</v>
      </c>
      <c r="W238" s="365"/>
      <c r="X238" s="377">
        <f t="shared" si="100"/>
        <v>0</v>
      </c>
      <c r="Y238" s="377">
        <f t="shared" si="101"/>
        <v>0</v>
      </c>
      <c r="Z238" s="377">
        <f t="shared" si="102"/>
        <v>0</v>
      </c>
      <c r="AA238" s="377">
        <f t="shared" si="103"/>
        <v>0</v>
      </c>
      <c r="AB238" s="377">
        <f t="shared" si="104"/>
        <v>0</v>
      </c>
      <c r="AC238" s="377">
        <f t="shared" si="105"/>
        <v>0</v>
      </c>
      <c r="AD238" s="376"/>
      <c r="AE238" s="332">
        <v>223</v>
      </c>
      <c r="AF238" s="350">
        <v>5736999.8476425838</v>
      </c>
      <c r="AG238" s="350">
        <v>35437.291992552135</v>
      </c>
      <c r="AH238" s="350">
        <v>33929.963604152174</v>
      </c>
      <c r="AI238" s="350">
        <v>32382.07539497047</v>
      </c>
      <c r="AJ238" s="350">
        <v>30793.706428988629</v>
      </c>
      <c r="AK238" s="348">
        <v>5869542.8850632478</v>
      </c>
      <c r="AL238" s="369"/>
      <c r="AM238" s="350">
        <v>8183792.8045438621</v>
      </c>
      <c r="AN238" s="350">
        <v>2512457.7959608417</v>
      </c>
      <c r="AO238" s="350">
        <v>2539249.4175072862</v>
      </c>
      <c r="AP238" s="350">
        <v>2564002.6881063865</v>
      </c>
      <c r="AQ238" s="350">
        <v>2586648.6614290853</v>
      </c>
      <c r="AR238" s="348">
        <v>18386151.367547464</v>
      </c>
      <c r="AS238" s="369"/>
      <c r="AT238" s="350">
        <f t="shared" si="123"/>
        <v>2446792.9569012783</v>
      </c>
      <c r="AU238" s="350">
        <f t="shared" si="106"/>
        <v>2477020.5039682896</v>
      </c>
      <c r="AV238" s="350">
        <f t="shared" si="107"/>
        <v>2505319.453903134</v>
      </c>
      <c r="AW238" s="350">
        <f t="shared" si="108"/>
        <v>2531620.6127114161</v>
      </c>
      <c r="AX238" s="350">
        <f t="shared" si="109"/>
        <v>2555854.9550000965</v>
      </c>
      <c r="AY238" s="350">
        <f t="shared" si="110"/>
        <v>12516608.482484216</v>
      </c>
      <c r="AZ238" s="365"/>
      <c r="BA238" s="377">
        <f t="shared" si="111"/>
        <v>0</v>
      </c>
      <c r="BB238" s="377">
        <f t="shared" si="112"/>
        <v>0</v>
      </c>
      <c r="BC238" s="377">
        <f t="shared" si="113"/>
        <v>0</v>
      </c>
      <c r="BD238" s="377">
        <f t="shared" si="114"/>
        <v>0</v>
      </c>
      <c r="BE238" s="377">
        <f t="shared" si="115"/>
        <v>0</v>
      </c>
      <c r="BF238" s="377">
        <f t="shared" si="116"/>
        <v>0</v>
      </c>
      <c r="BG238" s="328"/>
    </row>
    <row r="239" spans="2:59">
      <c r="B239" s="332">
        <v>224</v>
      </c>
      <c r="C239" s="350">
        <v>4924541.287605552</v>
      </c>
      <c r="D239" s="350">
        <v>30418.757568898862</v>
      </c>
      <c r="E239" s="350">
        <v>29124.892991632234</v>
      </c>
      <c r="F239" s="350">
        <v>27796.212566821527</v>
      </c>
      <c r="G239" s="350">
        <v>26432.784161615946</v>
      </c>
      <c r="H239" s="348">
        <v>5038313.9348945208</v>
      </c>
      <c r="I239" s="369"/>
      <c r="J239" s="350">
        <v>7027293.8338942556</v>
      </c>
      <c r="K239" s="350">
        <v>2159148.5944100968</v>
      </c>
      <c r="L239" s="350">
        <v>2182174.6008153539</v>
      </c>
      <c r="M239" s="350">
        <v>2203448.9070872618</v>
      </c>
      <c r="N239" s="350">
        <v>2222912.2612716588</v>
      </c>
      <c r="O239" s="348">
        <v>15794978.197478626</v>
      </c>
      <c r="P239" s="369"/>
      <c r="Q239" s="350">
        <f t="shared" si="117"/>
        <v>2102752.5462887036</v>
      </c>
      <c r="R239" s="350">
        <f t="shared" si="118"/>
        <v>2128729.8368411977</v>
      </c>
      <c r="S239" s="350">
        <f t="shared" si="119"/>
        <v>2153049.7078237217</v>
      </c>
      <c r="T239" s="350">
        <f t="shared" si="120"/>
        <v>2175652.6945204404</v>
      </c>
      <c r="U239" s="350">
        <f t="shared" si="121"/>
        <v>2196479.4771100427</v>
      </c>
      <c r="V239" s="350">
        <f t="shared" si="122"/>
        <v>10756664.262584105</v>
      </c>
      <c r="W239" s="365"/>
      <c r="X239" s="377">
        <f t="shared" si="100"/>
        <v>0</v>
      </c>
      <c r="Y239" s="377">
        <f t="shared" si="101"/>
        <v>0</v>
      </c>
      <c r="Z239" s="377">
        <f t="shared" si="102"/>
        <v>0</v>
      </c>
      <c r="AA239" s="377">
        <f t="shared" si="103"/>
        <v>0</v>
      </c>
      <c r="AB239" s="377">
        <f t="shared" si="104"/>
        <v>0</v>
      </c>
      <c r="AC239" s="377">
        <f t="shared" si="105"/>
        <v>0</v>
      </c>
      <c r="AD239" s="376"/>
      <c r="AE239" s="332">
        <v>224</v>
      </c>
      <c r="AF239" s="350">
        <v>7212236.2871869178</v>
      </c>
      <c r="AG239" s="350">
        <v>44549.787348059181</v>
      </c>
      <c r="AH239" s="350">
        <v>42654.858153665322</v>
      </c>
      <c r="AI239" s="350">
        <v>40708.939414388478</v>
      </c>
      <c r="AJ239" s="350">
        <v>38712.130525049652</v>
      </c>
      <c r="AK239" s="348">
        <v>7378862.0026280805</v>
      </c>
      <c r="AL239" s="369"/>
      <c r="AM239" s="350">
        <v>9725910.0253808238</v>
      </c>
      <c r="AN239" s="350">
        <v>2589277.3141422849</v>
      </c>
      <c r="AO239" s="350">
        <v>2616454.8600296252</v>
      </c>
      <c r="AP239" s="350">
        <v>2641529.0175064346</v>
      </c>
      <c r="AQ239" s="350">
        <v>2664428.9738303693</v>
      </c>
      <c r="AR239" s="348">
        <v>20237600.190889537</v>
      </c>
      <c r="AS239" s="369"/>
      <c r="AT239" s="350">
        <f t="shared" si="123"/>
        <v>2513673.7381939059</v>
      </c>
      <c r="AU239" s="350">
        <f t="shared" si="106"/>
        <v>2544727.5267942259</v>
      </c>
      <c r="AV239" s="350">
        <f t="shared" si="107"/>
        <v>2573800.0018759598</v>
      </c>
      <c r="AW239" s="350">
        <f t="shared" si="108"/>
        <v>2600820.0780920461</v>
      </c>
      <c r="AX239" s="350">
        <f t="shared" si="109"/>
        <v>2625716.8433053195</v>
      </c>
      <c r="AY239" s="350">
        <f t="shared" si="110"/>
        <v>12858738.188261457</v>
      </c>
      <c r="AZ239" s="365"/>
      <c r="BA239" s="377">
        <f t="shared" si="111"/>
        <v>0</v>
      </c>
      <c r="BB239" s="377">
        <f t="shared" si="112"/>
        <v>0</v>
      </c>
      <c r="BC239" s="377">
        <f t="shared" si="113"/>
        <v>0</v>
      </c>
      <c r="BD239" s="377">
        <f t="shared" si="114"/>
        <v>0</v>
      </c>
      <c r="BE239" s="377">
        <f t="shared" si="115"/>
        <v>0</v>
      </c>
      <c r="BF239" s="377">
        <f t="shared" si="116"/>
        <v>0</v>
      </c>
      <c r="BG239" s="328"/>
    </row>
    <row r="240" spans="2:59">
      <c r="B240" s="332">
        <v>225</v>
      </c>
      <c r="C240" s="350">
        <v>5143798.0681065461</v>
      </c>
      <c r="D240" s="350">
        <v>31773.100737507753</v>
      </c>
      <c r="E240" s="350">
        <v>30421.629052279026</v>
      </c>
      <c r="F240" s="350">
        <v>29033.791403425035</v>
      </c>
      <c r="G240" s="350">
        <v>27609.658679764078</v>
      </c>
      <c r="H240" s="348">
        <v>5262636.2479795208</v>
      </c>
      <c r="I240" s="369"/>
      <c r="J240" s="350">
        <v>6819141.6161294933</v>
      </c>
      <c r="K240" s="350">
        <v>1727813.7518023942</v>
      </c>
      <c r="L240" s="350">
        <v>1745838.8534620586</v>
      </c>
      <c r="M240" s="350">
        <v>1762459.6816427754</v>
      </c>
      <c r="N240" s="350">
        <v>1777629.0448581162</v>
      </c>
      <c r="O240" s="348">
        <v>13832882.947894838</v>
      </c>
      <c r="P240" s="369"/>
      <c r="Q240" s="350">
        <f t="shared" si="117"/>
        <v>1675343.5480229473</v>
      </c>
      <c r="R240" s="350">
        <f t="shared" si="118"/>
        <v>1696040.6510648865</v>
      </c>
      <c r="S240" s="350">
        <f t="shared" si="119"/>
        <v>1715417.2244097795</v>
      </c>
      <c r="T240" s="350">
        <f t="shared" si="120"/>
        <v>1733425.8902393505</v>
      </c>
      <c r="U240" s="350">
        <f t="shared" si="121"/>
        <v>1750019.3861783522</v>
      </c>
      <c r="V240" s="350">
        <f t="shared" si="122"/>
        <v>8570246.699915316</v>
      </c>
      <c r="W240" s="365"/>
      <c r="X240" s="377">
        <f t="shared" si="100"/>
        <v>0</v>
      </c>
      <c r="Y240" s="377">
        <f t="shared" si="101"/>
        <v>0</v>
      </c>
      <c r="Z240" s="377">
        <f t="shared" si="102"/>
        <v>0</v>
      </c>
      <c r="AA240" s="377">
        <f t="shared" si="103"/>
        <v>0</v>
      </c>
      <c r="AB240" s="377">
        <f t="shared" si="104"/>
        <v>0</v>
      </c>
      <c r="AC240" s="377">
        <f t="shared" si="105"/>
        <v>0</v>
      </c>
      <c r="AD240" s="376"/>
      <c r="AE240" s="332">
        <v>225</v>
      </c>
      <c r="AF240" s="350">
        <v>6018325.5022101887</v>
      </c>
      <c r="AG240" s="350">
        <v>37175.032907779954</v>
      </c>
      <c r="AH240" s="350">
        <v>35593.789553932802</v>
      </c>
      <c r="AI240" s="350">
        <v>33969.997444593624</v>
      </c>
      <c r="AJ240" s="350">
        <v>32303.73952080707</v>
      </c>
      <c r="AK240" s="348">
        <v>6157368.0616373019</v>
      </c>
      <c r="AL240" s="369"/>
      <c r="AM240" s="350">
        <v>8621885.9961566404</v>
      </c>
      <c r="AN240" s="350">
        <v>2672899.7715446567</v>
      </c>
      <c r="AO240" s="350">
        <v>2701430.6093387934</v>
      </c>
      <c r="AP240" s="350">
        <v>2727793.1075386181</v>
      </c>
      <c r="AQ240" s="350">
        <v>2751913.9011925403</v>
      </c>
      <c r="AR240" s="348">
        <v>19475923.385771252</v>
      </c>
      <c r="AS240" s="369"/>
      <c r="AT240" s="350">
        <f t="shared" si="123"/>
        <v>2603560.4939464517</v>
      </c>
      <c r="AU240" s="350">
        <f t="shared" si="106"/>
        <v>2635724.7386368769</v>
      </c>
      <c r="AV240" s="350">
        <f t="shared" si="107"/>
        <v>2665836.8197848606</v>
      </c>
      <c r="AW240" s="350">
        <f t="shared" si="108"/>
        <v>2693823.1100940243</v>
      </c>
      <c r="AX240" s="350">
        <f t="shared" si="109"/>
        <v>2719610.161671733</v>
      </c>
      <c r="AY240" s="350">
        <f t="shared" si="110"/>
        <v>13318555.324133951</v>
      </c>
      <c r="AZ240" s="365"/>
      <c r="BA240" s="377">
        <f t="shared" si="111"/>
        <v>0</v>
      </c>
      <c r="BB240" s="377">
        <f t="shared" si="112"/>
        <v>0</v>
      </c>
      <c r="BC240" s="377">
        <f t="shared" si="113"/>
        <v>0</v>
      </c>
      <c r="BD240" s="377">
        <f t="shared" si="114"/>
        <v>0</v>
      </c>
      <c r="BE240" s="377">
        <f t="shared" si="115"/>
        <v>0</v>
      </c>
      <c r="BF240" s="377">
        <f t="shared" si="116"/>
        <v>0</v>
      </c>
      <c r="BG240" s="328"/>
    </row>
    <row r="241" spans="2:59">
      <c r="B241" s="332">
        <v>226</v>
      </c>
      <c r="C241" s="350">
        <v>6650232.1347666709</v>
      </c>
      <c r="D241" s="350">
        <v>41078.302987023737</v>
      </c>
      <c r="E241" s="350">
        <v>39331.033690810211</v>
      </c>
      <c r="F241" s="350">
        <v>37536.74814381676</v>
      </c>
      <c r="G241" s="350">
        <v>35695.537995661194</v>
      </c>
      <c r="H241" s="348">
        <v>6803873.7575839832</v>
      </c>
      <c r="I241" s="369"/>
      <c r="J241" s="350">
        <v>8299338.4419591557</v>
      </c>
      <c r="K241" s="350">
        <v>1710557.5797757155</v>
      </c>
      <c r="L241" s="350">
        <v>1727883.4309463769</v>
      </c>
      <c r="M241" s="350">
        <v>1743815.7808937638</v>
      </c>
      <c r="N241" s="350">
        <v>1758308.1990594405</v>
      </c>
      <c r="O241" s="348">
        <v>15239903.43263445</v>
      </c>
      <c r="P241" s="369"/>
      <c r="Q241" s="350">
        <f t="shared" si="117"/>
        <v>1649106.3071924848</v>
      </c>
      <c r="R241" s="350">
        <f t="shared" si="118"/>
        <v>1669479.2767886918</v>
      </c>
      <c r="S241" s="350">
        <f t="shared" si="119"/>
        <v>1688552.3972555667</v>
      </c>
      <c r="T241" s="350">
        <f t="shared" si="120"/>
        <v>1706279.0327499469</v>
      </c>
      <c r="U241" s="350">
        <f t="shared" si="121"/>
        <v>1722612.6610637794</v>
      </c>
      <c r="V241" s="350">
        <f t="shared" si="122"/>
        <v>8436029.6750504673</v>
      </c>
      <c r="W241" s="365"/>
      <c r="X241" s="377">
        <f t="shared" si="100"/>
        <v>0</v>
      </c>
      <c r="Y241" s="377">
        <f t="shared" si="101"/>
        <v>0</v>
      </c>
      <c r="Z241" s="377">
        <f t="shared" si="102"/>
        <v>0</v>
      </c>
      <c r="AA241" s="377">
        <f t="shared" si="103"/>
        <v>0</v>
      </c>
      <c r="AB241" s="377">
        <f t="shared" si="104"/>
        <v>0</v>
      </c>
      <c r="AC241" s="377">
        <f t="shared" si="105"/>
        <v>0</v>
      </c>
      <c r="AD241" s="376"/>
      <c r="AE241" s="332">
        <v>226</v>
      </c>
      <c r="AF241" s="350">
        <v>5338885.6360688508</v>
      </c>
      <c r="AG241" s="350">
        <v>32978.151337751886</v>
      </c>
      <c r="AH241" s="350">
        <v>31575.422717324793</v>
      </c>
      <c r="AI241" s="350">
        <v>30134.948890289998</v>
      </c>
      <c r="AJ241" s="350">
        <v>28656.803434047273</v>
      </c>
      <c r="AK241" s="348">
        <v>5462230.9624482645</v>
      </c>
      <c r="AL241" s="369"/>
      <c r="AM241" s="350">
        <v>7277883.5786669562</v>
      </c>
      <c r="AN241" s="350">
        <v>1995930.3690237473</v>
      </c>
      <c r="AO241" s="350">
        <v>2016953.569637167</v>
      </c>
      <c r="AP241" s="350">
        <v>2036355.8453665932</v>
      </c>
      <c r="AQ241" s="350">
        <v>2054082.5695767591</v>
      </c>
      <c r="AR241" s="348">
        <v>15381205.932271222</v>
      </c>
      <c r="AS241" s="369"/>
      <c r="AT241" s="350">
        <f t="shared" si="123"/>
        <v>1938997.9425981054</v>
      </c>
      <c r="AU241" s="350">
        <f t="shared" si="106"/>
        <v>1962952.2176859954</v>
      </c>
      <c r="AV241" s="350">
        <f t="shared" si="107"/>
        <v>1985378.1469198423</v>
      </c>
      <c r="AW241" s="350">
        <f t="shared" si="108"/>
        <v>2006220.8964763032</v>
      </c>
      <c r="AX241" s="350">
        <f t="shared" si="109"/>
        <v>2025425.7661427117</v>
      </c>
      <c r="AY241" s="350">
        <f t="shared" si="110"/>
        <v>9918974.9698229581</v>
      </c>
      <c r="AZ241" s="365"/>
      <c r="BA241" s="377">
        <f t="shared" si="111"/>
        <v>0</v>
      </c>
      <c r="BB241" s="377">
        <f t="shared" si="112"/>
        <v>0</v>
      </c>
      <c r="BC241" s="377">
        <f t="shared" si="113"/>
        <v>0</v>
      </c>
      <c r="BD241" s="377">
        <f t="shared" si="114"/>
        <v>0</v>
      </c>
      <c r="BE241" s="377">
        <f t="shared" si="115"/>
        <v>0</v>
      </c>
      <c r="BF241" s="377">
        <f t="shared" si="116"/>
        <v>0</v>
      </c>
      <c r="BG241" s="328"/>
    </row>
    <row r="242" spans="2:59">
      <c r="B242" s="332">
        <v>227</v>
      </c>
      <c r="C242" s="350">
        <v>6286180.2817269731</v>
      </c>
      <c r="D242" s="350">
        <v>38829.564594273688</v>
      </c>
      <c r="E242" s="350">
        <v>37177.945586974158</v>
      </c>
      <c r="F242" s="350">
        <v>35481.884126755154</v>
      </c>
      <c r="G242" s="350">
        <v>33741.466846079682</v>
      </c>
      <c r="H242" s="348">
        <v>6431411.1428810554</v>
      </c>
      <c r="I242" s="369"/>
      <c r="J242" s="350">
        <v>7947105.5459856074</v>
      </c>
      <c r="K242" s="350">
        <v>1720273.8092016794</v>
      </c>
      <c r="L242" s="350">
        <v>1737832.0055431607</v>
      </c>
      <c r="M242" s="350">
        <v>1753989.6243548016</v>
      </c>
      <c r="N242" s="350">
        <v>1768699.89664164</v>
      </c>
      <c r="O242" s="348">
        <v>14927900.881726891</v>
      </c>
      <c r="P242" s="369"/>
      <c r="Q242" s="350">
        <f t="shared" si="117"/>
        <v>1660925.2642586343</v>
      </c>
      <c r="R242" s="350">
        <f t="shared" si="118"/>
        <v>1681444.2446074057</v>
      </c>
      <c r="S242" s="350">
        <f t="shared" si="119"/>
        <v>1700654.0599561865</v>
      </c>
      <c r="T242" s="350">
        <f t="shared" si="120"/>
        <v>1718507.7402280464</v>
      </c>
      <c r="U242" s="350">
        <f t="shared" si="121"/>
        <v>1734958.4297955604</v>
      </c>
      <c r="V242" s="350">
        <f t="shared" si="122"/>
        <v>8496489.7388458364</v>
      </c>
      <c r="W242" s="365"/>
      <c r="X242" s="377">
        <f t="shared" si="100"/>
        <v>0</v>
      </c>
      <c r="Y242" s="377">
        <f t="shared" si="101"/>
        <v>0</v>
      </c>
      <c r="Z242" s="377">
        <f t="shared" si="102"/>
        <v>0</v>
      </c>
      <c r="AA242" s="377">
        <f t="shared" si="103"/>
        <v>0</v>
      </c>
      <c r="AB242" s="377">
        <f t="shared" si="104"/>
        <v>0</v>
      </c>
      <c r="AC242" s="377">
        <f t="shared" si="105"/>
        <v>0</v>
      </c>
      <c r="AD242" s="376"/>
      <c r="AE242" s="332">
        <v>227</v>
      </c>
      <c r="AF242" s="350">
        <v>4984036.1375196092</v>
      </c>
      <c r="AG242" s="350">
        <v>30786.255638352293</v>
      </c>
      <c r="AH242" s="350">
        <v>29476.759497790121</v>
      </c>
      <c r="AI242" s="350">
        <v>28132.026889062003</v>
      </c>
      <c r="AJ242" s="350">
        <v>26752.126499237689</v>
      </c>
      <c r="AK242" s="348">
        <v>5099183.3060440505</v>
      </c>
      <c r="AL242" s="369"/>
      <c r="AM242" s="350">
        <v>6704060.1114148274</v>
      </c>
      <c r="AN242" s="350">
        <v>1772059.3121258109</v>
      </c>
      <c r="AO242" s="350">
        <v>1790643.1511310369</v>
      </c>
      <c r="AP242" s="350">
        <v>1807787.3648648574</v>
      </c>
      <c r="AQ242" s="350">
        <v>1823443.499179374</v>
      </c>
      <c r="AR242" s="348">
        <v>13897993.438715909</v>
      </c>
      <c r="AS242" s="369"/>
      <c r="AT242" s="350">
        <f t="shared" si="123"/>
        <v>1720023.9738952182</v>
      </c>
      <c r="AU242" s="350">
        <f t="shared" si="106"/>
        <v>1741273.0564874585</v>
      </c>
      <c r="AV242" s="350">
        <f t="shared" si="107"/>
        <v>1761166.3916332468</v>
      </c>
      <c r="AW242" s="350">
        <f t="shared" si="108"/>
        <v>1779655.3379757954</v>
      </c>
      <c r="AX242" s="350">
        <f t="shared" si="109"/>
        <v>1796691.3726801362</v>
      </c>
      <c r="AY242" s="350">
        <f t="shared" si="110"/>
        <v>8798810.1326718591</v>
      </c>
      <c r="AZ242" s="365"/>
      <c r="BA242" s="377">
        <f t="shared" si="111"/>
        <v>0</v>
      </c>
      <c r="BB242" s="377">
        <f t="shared" si="112"/>
        <v>0</v>
      </c>
      <c r="BC242" s="377">
        <f t="shared" si="113"/>
        <v>0</v>
      </c>
      <c r="BD242" s="377">
        <f t="shared" si="114"/>
        <v>0</v>
      </c>
      <c r="BE242" s="377">
        <f t="shared" si="115"/>
        <v>0</v>
      </c>
      <c r="BF242" s="377">
        <f t="shared" si="116"/>
        <v>0</v>
      </c>
      <c r="BG242" s="328"/>
    </row>
    <row r="243" spans="2:59">
      <c r="B243" s="332">
        <v>228</v>
      </c>
      <c r="C243" s="350">
        <v>6556692.401195623</v>
      </c>
      <c r="D243" s="350">
        <v>40500.510597362838</v>
      </c>
      <c r="E243" s="350">
        <v>38777.81775218375</v>
      </c>
      <c r="F243" s="350">
        <v>37008.769969620829</v>
      </c>
      <c r="G243" s="350">
        <v>35193.457610175741</v>
      </c>
      <c r="H243" s="348">
        <v>6708172.9571249662</v>
      </c>
      <c r="I243" s="369"/>
      <c r="J243" s="350">
        <v>8961677.7235643826</v>
      </c>
      <c r="K243" s="350">
        <v>2475196.8907907479</v>
      </c>
      <c r="L243" s="350">
        <v>2501289.6120122895</v>
      </c>
      <c r="M243" s="350">
        <v>2525372.3228416666</v>
      </c>
      <c r="N243" s="350">
        <v>2547377.2676630141</v>
      </c>
      <c r="O243" s="348">
        <v>19010913.816872101</v>
      </c>
      <c r="P243" s="369"/>
      <c r="Q243" s="350">
        <f t="shared" si="117"/>
        <v>2404985.3223687597</v>
      </c>
      <c r="R243" s="350">
        <f t="shared" si="118"/>
        <v>2434696.3801933853</v>
      </c>
      <c r="S243" s="350">
        <f t="shared" si="119"/>
        <v>2462511.7942601056</v>
      </c>
      <c r="T243" s="350">
        <f t="shared" si="120"/>
        <v>2488363.5528720459</v>
      </c>
      <c r="U243" s="350">
        <f t="shared" si="121"/>
        <v>2512183.8100528382</v>
      </c>
      <c r="V243" s="350">
        <f t="shared" si="122"/>
        <v>12302740.859747134</v>
      </c>
      <c r="W243" s="365"/>
      <c r="X243" s="377">
        <f t="shared" si="100"/>
        <v>0</v>
      </c>
      <c r="Y243" s="377">
        <f t="shared" si="101"/>
        <v>0</v>
      </c>
      <c r="Z243" s="377">
        <f t="shared" si="102"/>
        <v>0</v>
      </c>
      <c r="AA243" s="377">
        <f t="shared" si="103"/>
        <v>0</v>
      </c>
      <c r="AB243" s="377">
        <f t="shared" si="104"/>
        <v>0</v>
      </c>
      <c r="AC243" s="377">
        <f t="shared" si="105"/>
        <v>0</v>
      </c>
      <c r="AD243" s="376"/>
      <c r="AE243" s="332">
        <v>228</v>
      </c>
      <c r="AF243" s="350">
        <v>4983459.3026330424</v>
      </c>
      <c r="AG243" s="350">
        <v>30782.692544949838</v>
      </c>
      <c r="AH243" s="350">
        <v>29473.347960884632</v>
      </c>
      <c r="AI243" s="350">
        <v>28128.770986797848</v>
      </c>
      <c r="AJ243" s="350">
        <v>26749.030301813567</v>
      </c>
      <c r="AK243" s="348">
        <v>5098593.1444274895</v>
      </c>
      <c r="AL243" s="369"/>
      <c r="AM243" s="350">
        <v>7123659.5316564851</v>
      </c>
      <c r="AN243" s="350">
        <v>2197422.8387559787</v>
      </c>
      <c r="AO243" s="350">
        <v>2220866.4749914967</v>
      </c>
      <c r="AP243" s="350">
        <v>2242527.4187527481</v>
      </c>
      <c r="AQ243" s="350">
        <v>2262345.3624775428</v>
      </c>
      <c r="AR243" s="348">
        <v>16046821.626634251</v>
      </c>
      <c r="AS243" s="369"/>
      <c r="AT243" s="350">
        <f t="shared" si="123"/>
        <v>2140200.2290234426</v>
      </c>
      <c r="AU243" s="350">
        <f t="shared" si="106"/>
        <v>2166640.146211029</v>
      </c>
      <c r="AV243" s="350">
        <f t="shared" si="107"/>
        <v>2191393.127030612</v>
      </c>
      <c r="AW243" s="350">
        <f t="shared" si="108"/>
        <v>2214398.6477659503</v>
      </c>
      <c r="AX243" s="350">
        <f t="shared" si="109"/>
        <v>2235596.3321757293</v>
      </c>
      <c r="AY243" s="350">
        <f t="shared" si="110"/>
        <v>10948228.482206762</v>
      </c>
      <c r="AZ243" s="365"/>
      <c r="BA243" s="377">
        <f t="shared" si="111"/>
        <v>0</v>
      </c>
      <c r="BB243" s="377">
        <f t="shared" si="112"/>
        <v>0</v>
      </c>
      <c r="BC243" s="377">
        <f t="shared" si="113"/>
        <v>0</v>
      </c>
      <c r="BD243" s="377">
        <f t="shared" si="114"/>
        <v>0</v>
      </c>
      <c r="BE243" s="377">
        <f t="shared" si="115"/>
        <v>0</v>
      </c>
      <c r="BF243" s="377">
        <f t="shared" si="116"/>
        <v>0</v>
      </c>
      <c r="BG243" s="328"/>
    </row>
    <row r="244" spans="2:59">
      <c r="B244" s="332">
        <v>229</v>
      </c>
      <c r="C244" s="350">
        <v>5291168.2765439982</v>
      </c>
      <c r="D244" s="350">
        <v>32683.402506042781</v>
      </c>
      <c r="E244" s="350">
        <v>31293.211053571915</v>
      </c>
      <c r="F244" s="350">
        <v>29865.611749829444</v>
      </c>
      <c r="G244" s="350">
        <v>28400.677514611933</v>
      </c>
      <c r="H244" s="348">
        <v>5413411.1793680545</v>
      </c>
      <c r="I244" s="369"/>
      <c r="J244" s="350">
        <v>6804460.4263724172</v>
      </c>
      <c r="K244" s="350">
        <v>1564670.6812198278</v>
      </c>
      <c r="L244" s="350">
        <v>1580782.8201807246</v>
      </c>
      <c r="M244" s="350">
        <v>1595621.9577268257</v>
      </c>
      <c r="N244" s="350">
        <v>1609145.475962945</v>
      </c>
      <c r="O244" s="348">
        <v>13154681.36146274</v>
      </c>
      <c r="P244" s="369"/>
      <c r="Q244" s="350">
        <f t="shared" si="117"/>
        <v>1513292.1498284191</v>
      </c>
      <c r="R244" s="350">
        <f t="shared" si="118"/>
        <v>1531987.2787137851</v>
      </c>
      <c r="S244" s="350">
        <f t="shared" si="119"/>
        <v>1549489.6091271527</v>
      </c>
      <c r="T244" s="350">
        <f t="shared" si="120"/>
        <v>1565756.3459769962</v>
      </c>
      <c r="U244" s="350">
        <f t="shared" si="121"/>
        <v>1580744.7984483331</v>
      </c>
      <c r="V244" s="350">
        <f t="shared" si="122"/>
        <v>7741270.1820946857</v>
      </c>
      <c r="W244" s="365"/>
      <c r="X244" s="377">
        <f t="shared" si="100"/>
        <v>0</v>
      </c>
      <c r="Y244" s="377">
        <f t="shared" si="101"/>
        <v>0</v>
      </c>
      <c r="Z244" s="377">
        <f t="shared" si="102"/>
        <v>0</v>
      </c>
      <c r="AA244" s="377">
        <f t="shared" si="103"/>
        <v>0</v>
      </c>
      <c r="AB244" s="377">
        <f t="shared" si="104"/>
        <v>0</v>
      </c>
      <c r="AC244" s="377">
        <f t="shared" si="105"/>
        <v>0</v>
      </c>
      <c r="AD244" s="376"/>
      <c r="AE244" s="332">
        <v>229</v>
      </c>
      <c r="AF244" s="350">
        <v>8930447.3282907549</v>
      </c>
      <c r="AG244" s="350">
        <v>55163.130207644201</v>
      </c>
      <c r="AH244" s="350">
        <v>52816.761524267218</v>
      </c>
      <c r="AI244" s="350">
        <v>50407.255774003301</v>
      </c>
      <c r="AJ244" s="350">
        <v>47934.736031051114</v>
      </c>
      <c r="AK244" s="348">
        <v>9136769.2118277214</v>
      </c>
      <c r="AL244" s="369"/>
      <c r="AM244" s="350">
        <v>11554305.048876066</v>
      </c>
      <c r="AN244" s="350">
        <v>2711435.8463169653</v>
      </c>
      <c r="AO244" s="350">
        <v>2739436.3110514125</v>
      </c>
      <c r="AP244" s="350">
        <v>2765231.2753217174</v>
      </c>
      <c r="AQ244" s="350">
        <v>2788746.8417133568</v>
      </c>
      <c r="AR244" s="348">
        <v>22559155.323279519</v>
      </c>
      <c r="AS244" s="369"/>
      <c r="AT244" s="350">
        <f t="shared" si="123"/>
        <v>2623857.7205853108</v>
      </c>
      <c r="AU244" s="350">
        <f t="shared" si="106"/>
        <v>2656272.716109321</v>
      </c>
      <c r="AV244" s="350">
        <f t="shared" si="107"/>
        <v>2686619.5495271455</v>
      </c>
      <c r="AW244" s="350">
        <f t="shared" si="108"/>
        <v>2714824.0195477139</v>
      </c>
      <c r="AX244" s="350">
        <f t="shared" si="109"/>
        <v>2740812.1056823055</v>
      </c>
      <c r="AY244" s="350">
        <f t="shared" si="110"/>
        <v>13422386.111451797</v>
      </c>
      <c r="AZ244" s="365"/>
      <c r="BA244" s="377">
        <f t="shared" si="111"/>
        <v>0</v>
      </c>
      <c r="BB244" s="377">
        <f t="shared" si="112"/>
        <v>0</v>
      </c>
      <c r="BC244" s="377">
        <f t="shared" si="113"/>
        <v>0</v>
      </c>
      <c r="BD244" s="377">
        <f t="shared" si="114"/>
        <v>0</v>
      </c>
      <c r="BE244" s="377">
        <f t="shared" si="115"/>
        <v>0</v>
      </c>
      <c r="BF244" s="377">
        <f t="shared" si="116"/>
        <v>0</v>
      </c>
      <c r="BG244" s="328"/>
    </row>
    <row r="245" spans="2:59">
      <c r="B245" s="332">
        <v>230</v>
      </c>
      <c r="C245" s="350">
        <v>7797819.4961476428</v>
      </c>
      <c r="D245" s="350">
        <v>48166.918899908727</v>
      </c>
      <c r="E245" s="350">
        <v>46118.134691037892</v>
      </c>
      <c r="F245" s="350">
        <v>44014.220942396023</v>
      </c>
      <c r="G245" s="350">
        <v>41855.285118976935</v>
      </c>
      <c r="H245" s="348">
        <v>7977974.055799962</v>
      </c>
      <c r="I245" s="369"/>
      <c r="J245" s="350">
        <v>10153967.810144994</v>
      </c>
      <c r="K245" s="350">
        <v>2433422.9609775357</v>
      </c>
      <c r="L245" s="350">
        <v>2458624.7551180958</v>
      </c>
      <c r="M245" s="350">
        <v>2481847.6393756042</v>
      </c>
      <c r="N245" s="350">
        <v>2503025.2529579126</v>
      </c>
      <c r="O245" s="348">
        <v>20030888.418574143</v>
      </c>
      <c r="P245" s="369"/>
      <c r="Q245" s="350">
        <f t="shared" si="117"/>
        <v>2356148.3139973516</v>
      </c>
      <c r="R245" s="350">
        <f t="shared" si="118"/>
        <v>2385256.042077627</v>
      </c>
      <c r="S245" s="350">
        <f t="shared" si="119"/>
        <v>2412506.6204270581</v>
      </c>
      <c r="T245" s="350">
        <f t="shared" si="120"/>
        <v>2437833.418433208</v>
      </c>
      <c r="U245" s="350">
        <f t="shared" si="121"/>
        <v>2461169.9678389356</v>
      </c>
      <c r="V245" s="350">
        <f t="shared" si="122"/>
        <v>12052914.362774182</v>
      </c>
      <c r="W245" s="365"/>
      <c r="X245" s="377">
        <f t="shared" si="100"/>
        <v>0</v>
      </c>
      <c r="Y245" s="377">
        <f t="shared" si="101"/>
        <v>0</v>
      </c>
      <c r="Z245" s="377">
        <f t="shared" si="102"/>
        <v>0</v>
      </c>
      <c r="AA245" s="377">
        <f t="shared" si="103"/>
        <v>0</v>
      </c>
      <c r="AB245" s="377">
        <f t="shared" si="104"/>
        <v>0</v>
      </c>
      <c r="AC245" s="377">
        <f t="shared" si="105"/>
        <v>0</v>
      </c>
      <c r="AD245" s="376"/>
      <c r="AE245" s="332">
        <v>230</v>
      </c>
      <c r="AF245" s="350">
        <v>5730441.4238005765</v>
      </c>
      <c r="AG245" s="350">
        <v>35396.780786891359</v>
      </c>
      <c r="AH245" s="350">
        <v>33891.175546251958</v>
      </c>
      <c r="AI245" s="350">
        <v>32345.056852011767</v>
      </c>
      <c r="AJ245" s="350">
        <v>30758.503677760662</v>
      </c>
      <c r="AK245" s="348">
        <v>5862832.9406634923</v>
      </c>
      <c r="AL245" s="369"/>
      <c r="AM245" s="350">
        <v>8199963.5243102349</v>
      </c>
      <c r="AN245" s="350">
        <v>2535427.222967078</v>
      </c>
      <c r="AO245" s="350">
        <v>2562483.4468293842</v>
      </c>
      <c r="AP245" s="350">
        <v>2587482.8079081159</v>
      </c>
      <c r="AQ245" s="350">
        <v>2610355.7185820029</v>
      </c>
      <c r="AR245" s="348">
        <v>18495712.720596816</v>
      </c>
      <c r="AS245" s="369"/>
      <c r="AT245" s="350">
        <f t="shared" si="123"/>
        <v>2469522.1005096585</v>
      </c>
      <c r="AU245" s="350">
        <f t="shared" si="106"/>
        <v>2500030.4421801865</v>
      </c>
      <c r="AV245" s="350">
        <f t="shared" si="107"/>
        <v>2528592.271283132</v>
      </c>
      <c r="AW245" s="350">
        <f t="shared" si="108"/>
        <v>2555137.751056104</v>
      </c>
      <c r="AX245" s="350">
        <f t="shared" si="109"/>
        <v>2579597.2149042422</v>
      </c>
      <c r="AY245" s="350">
        <f t="shared" si="110"/>
        <v>12632879.779933324</v>
      </c>
      <c r="AZ245" s="365"/>
      <c r="BA245" s="377">
        <f t="shared" si="111"/>
        <v>0</v>
      </c>
      <c r="BB245" s="377">
        <f t="shared" si="112"/>
        <v>0</v>
      </c>
      <c r="BC245" s="377">
        <f t="shared" si="113"/>
        <v>0</v>
      </c>
      <c r="BD245" s="377">
        <f t="shared" si="114"/>
        <v>0</v>
      </c>
      <c r="BE245" s="377">
        <f t="shared" si="115"/>
        <v>0</v>
      </c>
      <c r="BF245" s="377">
        <f t="shared" si="116"/>
        <v>0</v>
      </c>
      <c r="BG245" s="328"/>
    </row>
    <row r="246" spans="2:59">
      <c r="B246" s="332">
        <v>231</v>
      </c>
      <c r="C246" s="350">
        <v>6971780.1689179419</v>
      </c>
      <c r="D246" s="350">
        <v>43064.496446751735</v>
      </c>
      <c r="E246" s="350">
        <v>41232.744233859048</v>
      </c>
      <c r="F246" s="350">
        <v>39351.702468640746</v>
      </c>
      <c r="G246" s="350">
        <v>37421.467232097377</v>
      </c>
      <c r="H246" s="348">
        <v>7132850.5792992907</v>
      </c>
      <c r="I246" s="369"/>
      <c r="J246" s="350">
        <v>8852626.2792584077</v>
      </c>
      <c r="K246" s="350">
        <v>1947146.4773032595</v>
      </c>
      <c r="L246" s="350">
        <v>1967068.0858565664</v>
      </c>
      <c r="M246" s="350">
        <v>1985404.7057870298</v>
      </c>
      <c r="N246" s="350">
        <v>2002103.3734585829</v>
      </c>
      <c r="O246" s="348">
        <v>16754348.921663845</v>
      </c>
      <c r="P246" s="369"/>
      <c r="Q246" s="350">
        <f t="shared" si="117"/>
        <v>1880846.1103404658</v>
      </c>
      <c r="R246" s="350">
        <f t="shared" si="118"/>
        <v>1904081.9808565078</v>
      </c>
      <c r="S246" s="350">
        <f t="shared" si="119"/>
        <v>1925835.3416227074</v>
      </c>
      <c r="T246" s="350">
        <f t="shared" si="120"/>
        <v>1946053.0033183892</v>
      </c>
      <c r="U246" s="350">
        <f t="shared" si="121"/>
        <v>1964681.9062264855</v>
      </c>
      <c r="V246" s="350">
        <f t="shared" si="122"/>
        <v>9621498.3423645534</v>
      </c>
      <c r="W246" s="365"/>
      <c r="X246" s="377">
        <f t="shared" si="100"/>
        <v>0</v>
      </c>
      <c r="Y246" s="377">
        <f t="shared" si="101"/>
        <v>0</v>
      </c>
      <c r="Z246" s="377">
        <f t="shared" si="102"/>
        <v>0</v>
      </c>
      <c r="AA246" s="377">
        <f t="shared" si="103"/>
        <v>0</v>
      </c>
      <c r="AB246" s="377">
        <f t="shared" si="104"/>
        <v>0</v>
      </c>
      <c r="AC246" s="377">
        <f t="shared" si="105"/>
        <v>0</v>
      </c>
      <c r="AD246" s="376"/>
      <c r="AE246" s="332">
        <v>231</v>
      </c>
      <c r="AF246" s="350">
        <v>4841688.2809497733</v>
      </c>
      <c r="AG246" s="350">
        <v>29906.976800676046</v>
      </c>
      <c r="AH246" s="350">
        <v>28634.880864216695</v>
      </c>
      <c r="AI246" s="350">
        <v>27328.554839877255</v>
      </c>
      <c r="AJ246" s="350">
        <v>25988.065452975043</v>
      </c>
      <c r="AK246" s="348">
        <v>4953546.7589075193</v>
      </c>
      <c r="AL246" s="369"/>
      <c r="AM246" s="350">
        <v>6817178.2434582813</v>
      </c>
      <c r="AN246" s="350">
        <v>2029802.0348256263</v>
      </c>
      <c r="AO246" s="350">
        <v>2051377.9250206179</v>
      </c>
      <c r="AP246" s="350">
        <v>2071306.6099446141</v>
      </c>
      <c r="AQ246" s="350">
        <v>2089532.4266500401</v>
      </c>
      <c r="AR246" s="348">
        <v>15059197.239899179</v>
      </c>
      <c r="AS246" s="369"/>
      <c r="AT246" s="350">
        <f t="shared" si="123"/>
        <v>1975489.962508508</v>
      </c>
      <c r="AU246" s="350">
        <f t="shared" si="106"/>
        <v>1999895.0580249503</v>
      </c>
      <c r="AV246" s="350">
        <f t="shared" si="107"/>
        <v>2022743.0441564012</v>
      </c>
      <c r="AW246" s="350">
        <f t="shared" si="108"/>
        <v>2043978.0551047369</v>
      </c>
      <c r="AX246" s="350">
        <f t="shared" si="109"/>
        <v>2063544.3611970651</v>
      </c>
      <c r="AY246" s="350">
        <f t="shared" si="110"/>
        <v>10105650.48099166</v>
      </c>
      <c r="AZ246" s="365"/>
      <c r="BA246" s="377">
        <f t="shared" si="111"/>
        <v>0</v>
      </c>
      <c r="BB246" s="377">
        <f t="shared" si="112"/>
        <v>0</v>
      </c>
      <c r="BC246" s="377">
        <f t="shared" si="113"/>
        <v>0</v>
      </c>
      <c r="BD246" s="377">
        <f t="shared" si="114"/>
        <v>0</v>
      </c>
      <c r="BE246" s="377">
        <f t="shared" si="115"/>
        <v>0</v>
      </c>
      <c r="BF246" s="377">
        <f t="shared" si="116"/>
        <v>0</v>
      </c>
      <c r="BG246" s="328"/>
    </row>
    <row r="247" spans="2:59">
      <c r="B247" s="332">
        <v>232</v>
      </c>
      <c r="C247" s="350">
        <v>6940898.5754645281</v>
      </c>
      <c r="D247" s="350">
        <v>42873.741684076958</v>
      </c>
      <c r="E247" s="350">
        <v>41050.10324209695</v>
      </c>
      <c r="F247" s="350">
        <v>39177.393576522947</v>
      </c>
      <c r="G247" s="350">
        <v>37255.708342761813</v>
      </c>
      <c r="H247" s="348">
        <v>7101255.5223099869</v>
      </c>
      <c r="I247" s="369"/>
      <c r="J247" s="350">
        <v>8636934.6901537534</v>
      </c>
      <c r="K247" s="350">
        <v>1759862.5942580183</v>
      </c>
      <c r="L247" s="350">
        <v>1777654.8538273107</v>
      </c>
      <c r="M247" s="350">
        <v>1794013.2393065908</v>
      </c>
      <c r="N247" s="350">
        <v>1808890.000227177</v>
      </c>
      <c r="O247" s="348">
        <v>15777355.377772851</v>
      </c>
      <c r="P247" s="369"/>
      <c r="Q247" s="350">
        <f t="shared" si="117"/>
        <v>1696036.1146892253</v>
      </c>
      <c r="R247" s="350">
        <f t="shared" si="118"/>
        <v>1716988.8525739415</v>
      </c>
      <c r="S247" s="350">
        <f t="shared" si="119"/>
        <v>1736604.7505852138</v>
      </c>
      <c r="T247" s="350">
        <f t="shared" si="120"/>
        <v>1754835.8457300677</v>
      </c>
      <c r="U247" s="350">
        <f t="shared" si="121"/>
        <v>1771634.2918844153</v>
      </c>
      <c r="V247" s="350">
        <f t="shared" si="122"/>
        <v>8676099.855462864</v>
      </c>
      <c r="W247" s="365"/>
      <c r="X247" s="377">
        <f t="shared" si="100"/>
        <v>0</v>
      </c>
      <c r="Y247" s="377">
        <f t="shared" si="101"/>
        <v>0</v>
      </c>
      <c r="Z247" s="377">
        <f t="shared" si="102"/>
        <v>0</v>
      </c>
      <c r="AA247" s="377">
        <f t="shared" si="103"/>
        <v>0</v>
      </c>
      <c r="AB247" s="377">
        <f t="shared" si="104"/>
        <v>0</v>
      </c>
      <c r="AC247" s="377">
        <f t="shared" si="105"/>
        <v>0</v>
      </c>
      <c r="AD247" s="376"/>
      <c r="AE247" s="332">
        <v>232</v>
      </c>
      <c r="AF247" s="350">
        <v>7654609.6816201508</v>
      </c>
      <c r="AG247" s="350">
        <v>47282.315771378613</v>
      </c>
      <c r="AH247" s="350">
        <v>45271.158235794726</v>
      </c>
      <c r="AI247" s="350">
        <v>43205.88363466024</v>
      </c>
      <c r="AJ247" s="350">
        <v>41086.597459325174</v>
      </c>
      <c r="AK247" s="348">
        <v>7831455.6367213102</v>
      </c>
      <c r="AL247" s="369"/>
      <c r="AM247" s="350">
        <v>10390177.531695377</v>
      </c>
      <c r="AN247" s="350">
        <v>2816645.2222325243</v>
      </c>
      <c r="AO247" s="350">
        <v>2846272.9074581536</v>
      </c>
      <c r="AP247" s="350">
        <v>2873612.901599816</v>
      </c>
      <c r="AQ247" s="350">
        <v>2898588.1382551314</v>
      </c>
      <c r="AR247" s="348">
        <v>21825296.701241001</v>
      </c>
      <c r="AS247" s="369"/>
      <c r="AT247" s="350">
        <f t="shared" si="123"/>
        <v>2735567.8500752263</v>
      </c>
      <c r="AU247" s="350">
        <f t="shared" si="106"/>
        <v>2769362.9064611457</v>
      </c>
      <c r="AV247" s="350">
        <f t="shared" si="107"/>
        <v>2801001.7492223587</v>
      </c>
      <c r="AW247" s="350">
        <f t="shared" si="108"/>
        <v>2830407.0179651557</v>
      </c>
      <c r="AX247" s="350">
        <f t="shared" si="109"/>
        <v>2857501.5407958063</v>
      </c>
      <c r="AY247" s="350">
        <f t="shared" si="110"/>
        <v>13993841.064519692</v>
      </c>
      <c r="AZ247" s="365"/>
      <c r="BA247" s="377">
        <f t="shared" si="111"/>
        <v>0</v>
      </c>
      <c r="BB247" s="377">
        <f t="shared" si="112"/>
        <v>0</v>
      </c>
      <c r="BC247" s="377">
        <f t="shared" si="113"/>
        <v>0</v>
      </c>
      <c r="BD247" s="377">
        <f t="shared" si="114"/>
        <v>0</v>
      </c>
      <c r="BE247" s="377">
        <f t="shared" si="115"/>
        <v>0</v>
      </c>
      <c r="BF247" s="377">
        <f t="shared" si="116"/>
        <v>0</v>
      </c>
      <c r="BG247" s="328"/>
    </row>
    <row r="248" spans="2:59">
      <c r="B248" s="332">
        <v>233</v>
      </c>
      <c r="C248" s="350">
        <v>5171793.3637191523</v>
      </c>
      <c r="D248" s="350">
        <v>31946.026916938641</v>
      </c>
      <c r="E248" s="350">
        <v>30587.199801180024</v>
      </c>
      <c r="F248" s="350">
        <v>29191.808798806509</v>
      </c>
      <c r="G248" s="350">
        <v>27759.925184450025</v>
      </c>
      <c r="H248" s="348">
        <v>5291278.3244205276</v>
      </c>
      <c r="I248" s="369"/>
      <c r="J248" s="350">
        <v>7273272.3820563927</v>
      </c>
      <c r="K248" s="350">
        <v>2159386.6027116505</v>
      </c>
      <c r="L248" s="350">
        <v>2182332.9172962997</v>
      </c>
      <c r="M248" s="350">
        <v>2203526.823536125</v>
      </c>
      <c r="N248" s="350">
        <v>2222909.1088113841</v>
      </c>
      <c r="O248" s="348">
        <v>16041427.834411854</v>
      </c>
      <c r="P248" s="369"/>
      <c r="Q248" s="350">
        <f t="shared" si="117"/>
        <v>2101479.0183372404</v>
      </c>
      <c r="R248" s="350">
        <f t="shared" si="118"/>
        <v>2127440.5757947117</v>
      </c>
      <c r="S248" s="350">
        <f t="shared" si="119"/>
        <v>2151745.7174951197</v>
      </c>
      <c r="T248" s="350">
        <f t="shared" si="120"/>
        <v>2174335.0147373183</v>
      </c>
      <c r="U248" s="350">
        <f t="shared" si="121"/>
        <v>2195149.183626934</v>
      </c>
      <c r="V248" s="350">
        <f t="shared" si="122"/>
        <v>10750149.509991325</v>
      </c>
      <c r="W248" s="365"/>
      <c r="X248" s="377">
        <f t="shared" si="100"/>
        <v>0</v>
      </c>
      <c r="Y248" s="377">
        <f t="shared" si="101"/>
        <v>0</v>
      </c>
      <c r="Z248" s="377">
        <f t="shared" si="102"/>
        <v>0</v>
      </c>
      <c r="AA248" s="377">
        <f t="shared" si="103"/>
        <v>0</v>
      </c>
      <c r="AB248" s="377">
        <f t="shared" si="104"/>
        <v>0</v>
      </c>
      <c r="AC248" s="377">
        <f t="shared" si="105"/>
        <v>0</v>
      </c>
      <c r="AD248" s="376"/>
      <c r="AE248" s="332">
        <v>233</v>
      </c>
      <c r="AF248" s="350">
        <v>6867514.548586851</v>
      </c>
      <c r="AG248" s="350">
        <v>42420.45054635527</v>
      </c>
      <c r="AH248" s="350">
        <v>40616.092883510653</v>
      </c>
      <c r="AI248" s="350">
        <v>38763.182812316227</v>
      </c>
      <c r="AJ248" s="350">
        <v>36861.814976845089</v>
      </c>
      <c r="AK248" s="348">
        <v>7026176.0898058778</v>
      </c>
      <c r="AL248" s="369"/>
      <c r="AM248" s="350">
        <v>8612055.0247354452</v>
      </c>
      <c r="AN248" s="350">
        <v>1808512.8848221586</v>
      </c>
      <c r="AO248" s="350">
        <v>1826885.4135830672</v>
      </c>
      <c r="AP248" s="350">
        <v>1843784.983561828</v>
      </c>
      <c r="AQ248" s="350">
        <v>1859162.4749433554</v>
      </c>
      <c r="AR248" s="348">
        <v>15950400.781645853</v>
      </c>
      <c r="AS248" s="369"/>
      <c r="AT248" s="350">
        <f t="shared" si="123"/>
        <v>1744540.4761485942</v>
      </c>
      <c r="AU248" s="350">
        <f t="shared" si="106"/>
        <v>1766092.4342758034</v>
      </c>
      <c r="AV248" s="350">
        <f t="shared" si="107"/>
        <v>1786269.3206995565</v>
      </c>
      <c r="AW248" s="350">
        <f t="shared" si="108"/>
        <v>1805021.8007495119</v>
      </c>
      <c r="AX248" s="350">
        <f t="shared" si="109"/>
        <v>1822300.6599665103</v>
      </c>
      <c r="AY248" s="350">
        <f t="shared" si="110"/>
        <v>8924224.6918399744</v>
      </c>
      <c r="AZ248" s="365"/>
      <c r="BA248" s="377">
        <f t="shared" si="111"/>
        <v>0</v>
      </c>
      <c r="BB248" s="377">
        <f t="shared" si="112"/>
        <v>0</v>
      </c>
      <c r="BC248" s="377">
        <f t="shared" si="113"/>
        <v>0</v>
      </c>
      <c r="BD248" s="377">
        <f t="shared" si="114"/>
        <v>0</v>
      </c>
      <c r="BE248" s="377">
        <f t="shared" si="115"/>
        <v>0</v>
      </c>
      <c r="BF248" s="377">
        <f t="shared" si="116"/>
        <v>0</v>
      </c>
      <c r="BG248" s="328"/>
    </row>
    <row r="249" spans="2:59">
      <c r="B249" s="332">
        <v>234</v>
      </c>
      <c r="C249" s="350">
        <v>5884974.1722129229</v>
      </c>
      <c r="D249" s="350">
        <v>36351.325370005899</v>
      </c>
      <c r="E249" s="350">
        <v>34805.118490043496</v>
      </c>
      <c r="F249" s="350">
        <v>33217.305630636671</v>
      </c>
      <c r="G249" s="350">
        <v>31587.96789506029</v>
      </c>
      <c r="H249" s="348">
        <v>6020935.8895986686</v>
      </c>
      <c r="I249" s="369"/>
      <c r="J249" s="350">
        <v>7900557.3796758186</v>
      </c>
      <c r="K249" s="350">
        <v>2076834.9381161595</v>
      </c>
      <c r="L249" s="350">
        <v>2098600.4250665316</v>
      </c>
      <c r="M249" s="350">
        <v>2118678.5949709173</v>
      </c>
      <c r="N249" s="350">
        <v>2137012.6682069125</v>
      </c>
      <c r="O249" s="348">
        <v>16331684.006036341</v>
      </c>
      <c r="P249" s="369"/>
      <c r="Q249" s="350">
        <f t="shared" si="117"/>
        <v>2015583.2074628957</v>
      </c>
      <c r="R249" s="350">
        <f t="shared" si="118"/>
        <v>2040483.6127461537</v>
      </c>
      <c r="S249" s="350">
        <f t="shared" si="119"/>
        <v>2063795.3065764881</v>
      </c>
      <c r="T249" s="350">
        <f t="shared" si="120"/>
        <v>2085461.2893402807</v>
      </c>
      <c r="U249" s="350">
        <f t="shared" si="121"/>
        <v>2105424.7003118522</v>
      </c>
      <c r="V249" s="350">
        <f t="shared" si="122"/>
        <v>10310748.116437674</v>
      </c>
      <c r="W249" s="365"/>
      <c r="X249" s="377">
        <f t="shared" si="100"/>
        <v>0</v>
      </c>
      <c r="Y249" s="377">
        <f t="shared" si="101"/>
        <v>0</v>
      </c>
      <c r="Z249" s="377">
        <f t="shared" si="102"/>
        <v>0</v>
      </c>
      <c r="AA249" s="377">
        <f t="shared" si="103"/>
        <v>0</v>
      </c>
      <c r="AB249" s="377">
        <f t="shared" si="104"/>
        <v>0</v>
      </c>
      <c r="AC249" s="377">
        <f t="shared" si="105"/>
        <v>0</v>
      </c>
      <c r="AD249" s="376"/>
      <c r="AE249" s="332">
        <v>234</v>
      </c>
      <c r="AF249" s="350">
        <v>6618160.5529876901</v>
      </c>
      <c r="AG249" s="350">
        <v>40880.197698834789</v>
      </c>
      <c r="AH249" s="350">
        <v>39141.354828792908</v>
      </c>
      <c r="AI249" s="350">
        <v>37355.722449763307</v>
      </c>
      <c r="AJ249" s="350">
        <v>35523.391769368915</v>
      </c>
      <c r="AK249" s="348">
        <v>6771061.2197344499</v>
      </c>
      <c r="AL249" s="369"/>
      <c r="AM249" s="350">
        <v>8846564.4286928289</v>
      </c>
      <c r="AN249" s="350">
        <v>2296813.653643772</v>
      </c>
      <c r="AO249" s="350">
        <v>2320847.9312722674</v>
      </c>
      <c r="AP249" s="350">
        <v>2343015.9415823761</v>
      </c>
      <c r="AQ249" s="350">
        <v>2363254.9112663832</v>
      </c>
      <c r="AR249" s="348">
        <v>18170496.86645763</v>
      </c>
      <c r="AS249" s="369"/>
      <c r="AT249" s="350">
        <f t="shared" si="123"/>
        <v>2228403.8757051388</v>
      </c>
      <c r="AU249" s="350">
        <f t="shared" si="106"/>
        <v>2255933.4559449372</v>
      </c>
      <c r="AV249" s="350">
        <f t="shared" si="107"/>
        <v>2281706.5764434743</v>
      </c>
      <c r="AW249" s="350">
        <f t="shared" si="108"/>
        <v>2305660.2191326129</v>
      </c>
      <c r="AX249" s="350">
        <f t="shared" si="109"/>
        <v>2327731.5194970141</v>
      </c>
      <c r="AY249" s="350">
        <f t="shared" si="110"/>
        <v>11399435.646723181</v>
      </c>
      <c r="AZ249" s="365"/>
      <c r="BA249" s="377">
        <f t="shared" si="111"/>
        <v>0</v>
      </c>
      <c r="BB249" s="377">
        <f t="shared" si="112"/>
        <v>0</v>
      </c>
      <c r="BC249" s="377">
        <f t="shared" si="113"/>
        <v>0</v>
      </c>
      <c r="BD249" s="377">
        <f t="shared" si="114"/>
        <v>0</v>
      </c>
      <c r="BE249" s="377">
        <f t="shared" si="115"/>
        <v>0</v>
      </c>
      <c r="BF249" s="377">
        <f t="shared" si="116"/>
        <v>0</v>
      </c>
      <c r="BG249" s="328"/>
    </row>
    <row r="250" spans="2:59">
      <c r="B250" s="332">
        <v>235</v>
      </c>
      <c r="C250" s="350">
        <v>4968449.8350220872</v>
      </c>
      <c r="D250" s="350">
        <v>30689.979471824819</v>
      </c>
      <c r="E250" s="350">
        <v>29384.578446630712</v>
      </c>
      <c r="F250" s="350">
        <v>28044.051146337297</v>
      </c>
      <c r="G250" s="350">
        <v>26668.466043221753</v>
      </c>
      <c r="H250" s="348">
        <v>5083236.9101301013</v>
      </c>
      <c r="I250" s="369"/>
      <c r="J250" s="350">
        <v>6775629.4628756419</v>
      </c>
      <c r="K250" s="350">
        <v>1860195.406124745</v>
      </c>
      <c r="L250" s="350">
        <v>1879791.3591220295</v>
      </c>
      <c r="M250" s="350">
        <v>1897876.6349953171</v>
      </c>
      <c r="N250" s="350">
        <v>1914400.3206723481</v>
      </c>
      <c r="O250" s="348">
        <v>14327893.183790082</v>
      </c>
      <c r="P250" s="369"/>
      <c r="Q250" s="350">
        <f t="shared" si="117"/>
        <v>1807179.6278535547</v>
      </c>
      <c r="R250" s="350">
        <f t="shared" si="118"/>
        <v>1829505.4266529202</v>
      </c>
      <c r="S250" s="350">
        <f t="shared" si="119"/>
        <v>1850406.7806753989</v>
      </c>
      <c r="T250" s="350">
        <f t="shared" si="120"/>
        <v>1869832.5838489798</v>
      </c>
      <c r="U250" s="350">
        <f t="shared" si="121"/>
        <v>1887731.8546291264</v>
      </c>
      <c r="V250" s="350">
        <f t="shared" si="122"/>
        <v>9244656.2736599818</v>
      </c>
      <c r="W250" s="365"/>
      <c r="X250" s="377">
        <f t="shared" si="100"/>
        <v>0</v>
      </c>
      <c r="Y250" s="377">
        <f t="shared" si="101"/>
        <v>0</v>
      </c>
      <c r="Z250" s="377">
        <f t="shared" si="102"/>
        <v>0</v>
      </c>
      <c r="AA250" s="377">
        <f t="shared" si="103"/>
        <v>0</v>
      </c>
      <c r="AB250" s="377">
        <f t="shared" si="104"/>
        <v>0</v>
      </c>
      <c r="AC250" s="377">
        <f t="shared" si="105"/>
        <v>0</v>
      </c>
      <c r="AD250" s="376"/>
      <c r="AE250" s="332">
        <v>235</v>
      </c>
      <c r="AF250" s="350">
        <v>5722917.1367183793</v>
      </c>
      <c r="AG250" s="350">
        <v>35350.303470271618</v>
      </c>
      <c r="AH250" s="350">
        <v>33846.675146457535</v>
      </c>
      <c r="AI250" s="350">
        <v>32302.586564742156</v>
      </c>
      <c r="AJ250" s="350">
        <v>30718.116595026317</v>
      </c>
      <c r="AK250" s="348">
        <v>5855134.8184948768</v>
      </c>
      <c r="AL250" s="369"/>
      <c r="AM250" s="350">
        <v>7481427.7713147365</v>
      </c>
      <c r="AN250" s="350">
        <v>1815585.4827712283</v>
      </c>
      <c r="AO250" s="350">
        <v>1834420.3159702707</v>
      </c>
      <c r="AP250" s="350">
        <v>1851778.8759907254</v>
      </c>
      <c r="AQ250" s="350">
        <v>1867611.6331373835</v>
      </c>
      <c r="AR250" s="348">
        <v>14850824.079184346</v>
      </c>
      <c r="AS250" s="369"/>
      <c r="AT250" s="350">
        <f t="shared" si="123"/>
        <v>1758510.6345963571</v>
      </c>
      <c r="AU250" s="350">
        <f t="shared" si="106"/>
        <v>1780235.1793009567</v>
      </c>
      <c r="AV250" s="350">
        <f t="shared" si="107"/>
        <v>1800573.6408238132</v>
      </c>
      <c r="AW250" s="350">
        <f t="shared" si="108"/>
        <v>1819476.2894259831</v>
      </c>
      <c r="AX250" s="350">
        <f t="shared" si="109"/>
        <v>1836893.5165423572</v>
      </c>
      <c r="AY250" s="350">
        <f t="shared" si="110"/>
        <v>8995689.2606894691</v>
      </c>
      <c r="AZ250" s="365"/>
      <c r="BA250" s="377">
        <f t="shared" si="111"/>
        <v>0</v>
      </c>
      <c r="BB250" s="377">
        <f t="shared" si="112"/>
        <v>0</v>
      </c>
      <c r="BC250" s="377">
        <f t="shared" si="113"/>
        <v>0</v>
      </c>
      <c r="BD250" s="377">
        <f t="shared" si="114"/>
        <v>0</v>
      </c>
      <c r="BE250" s="377">
        <f t="shared" si="115"/>
        <v>0</v>
      </c>
      <c r="BF250" s="377">
        <f t="shared" si="116"/>
        <v>0</v>
      </c>
      <c r="BG250" s="328"/>
    </row>
    <row r="251" spans="2:59">
      <c r="B251" s="332">
        <v>236</v>
      </c>
      <c r="C251" s="350">
        <v>5312907.8708180729</v>
      </c>
      <c r="D251" s="350">
        <v>32817.687388482707</v>
      </c>
      <c r="E251" s="350">
        <v>31421.784116508534</v>
      </c>
      <c r="F251" s="350">
        <v>29988.319297247399</v>
      </c>
      <c r="G251" s="350">
        <v>28517.366150091035</v>
      </c>
      <c r="H251" s="348">
        <v>5435653.0277704028</v>
      </c>
      <c r="I251" s="369"/>
      <c r="J251" s="350">
        <v>6857447.7362495139</v>
      </c>
      <c r="K251" s="350">
        <v>1596438.7142837574</v>
      </c>
      <c r="L251" s="350">
        <v>1612906.5441081733</v>
      </c>
      <c r="M251" s="350">
        <v>1628075.7052576749</v>
      </c>
      <c r="N251" s="350">
        <v>1641902.6986211995</v>
      </c>
      <c r="O251" s="348">
        <v>13336771.398520317</v>
      </c>
      <c r="P251" s="369"/>
      <c r="Q251" s="350">
        <f t="shared" si="117"/>
        <v>1544539.865431441</v>
      </c>
      <c r="R251" s="350">
        <f t="shared" si="118"/>
        <v>1563621.0268952746</v>
      </c>
      <c r="S251" s="350">
        <f t="shared" si="119"/>
        <v>1581484.7599916649</v>
      </c>
      <c r="T251" s="350">
        <f t="shared" si="120"/>
        <v>1598087.3859604276</v>
      </c>
      <c r="U251" s="350">
        <f t="shared" si="121"/>
        <v>1613385.3324711085</v>
      </c>
      <c r="V251" s="350">
        <f t="shared" si="122"/>
        <v>7901118.3707499141</v>
      </c>
      <c r="W251" s="365"/>
      <c r="X251" s="377">
        <f t="shared" si="100"/>
        <v>0</v>
      </c>
      <c r="Y251" s="377">
        <f t="shared" si="101"/>
        <v>0</v>
      </c>
      <c r="Z251" s="377">
        <f t="shared" si="102"/>
        <v>0</v>
      </c>
      <c r="AA251" s="377">
        <f t="shared" si="103"/>
        <v>0</v>
      </c>
      <c r="AB251" s="377">
        <f t="shared" si="104"/>
        <v>0</v>
      </c>
      <c r="AC251" s="377">
        <f t="shared" si="105"/>
        <v>0</v>
      </c>
      <c r="AD251" s="376"/>
      <c r="AE251" s="332">
        <v>236</v>
      </c>
      <c r="AF251" s="350">
        <v>5215716.3764746161</v>
      </c>
      <c r="AG251" s="350">
        <v>32217.338171869877</v>
      </c>
      <c r="AH251" s="350">
        <v>30846.970807586338</v>
      </c>
      <c r="AI251" s="350">
        <v>29439.729026869576</v>
      </c>
      <c r="AJ251" s="350">
        <v>27995.684709671095</v>
      </c>
      <c r="AK251" s="348">
        <v>5336216.0991906133</v>
      </c>
      <c r="AL251" s="369"/>
      <c r="AM251" s="350">
        <v>6830823.5951546971</v>
      </c>
      <c r="AN251" s="350">
        <v>1667277.503558463</v>
      </c>
      <c r="AO251" s="350">
        <v>1684587.0323381964</v>
      </c>
      <c r="AP251" s="350">
        <v>1700540.9617718626</v>
      </c>
      <c r="AQ251" s="350">
        <v>1715093.8006645886</v>
      </c>
      <c r="AR251" s="348">
        <v>13598322.893487807</v>
      </c>
      <c r="AS251" s="369"/>
      <c r="AT251" s="350">
        <f t="shared" si="123"/>
        <v>1615107.218680081</v>
      </c>
      <c r="AU251" s="350">
        <f t="shared" si="106"/>
        <v>1635060.165386593</v>
      </c>
      <c r="AV251" s="350">
        <f t="shared" si="107"/>
        <v>1653740.0615306101</v>
      </c>
      <c r="AW251" s="350">
        <f t="shared" si="108"/>
        <v>1671101.2327449929</v>
      </c>
      <c r="AX251" s="350">
        <f t="shared" si="109"/>
        <v>1687098.1159549174</v>
      </c>
      <c r="AY251" s="350">
        <f t="shared" si="110"/>
        <v>8262106.7942971941</v>
      </c>
      <c r="AZ251" s="365"/>
      <c r="BA251" s="377">
        <f t="shared" si="111"/>
        <v>0</v>
      </c>
      <c r="BB251" s="377">
        <f t="shared" si="112"/>
        <v>0</v>
      </c>
      <c r="BC251" s="377">
        <f t="shared" si="113"/>
        <v>0</v>
      </c>
      <c r="BD251" s="377">
        <f t="shared" si="114"/>
        <v>0</v>
      </c>
      <c r="BE251" s="377">
        <f t="shared" si="115"/>
        <v>0</v>
      </c>
      <c r="BF251" s="377">
        <f t="shared" si="116"/>
        <v>0</v>
      </c>
      <c r="BG251" s="328"/>
    </row>
    <row r="252" spans="2:59">
      <c r="B252" s="332">
        <v>237</v>
      </c>
      <c r="C252" s="350">
        <v>4858435.6082766997</v>
      </c>
      <c r="D252" s="350">
        <v>30010.424585988923</v>
      </c>
      <c r="E252" s="350">
        <v>28733.928488717575</v>
      </c>
      <c r="F252" s="350">
        <v>27423.083902202918</v>
      </c>
      <c r="G252" s="350">
        <v>26077.9577825671</v>
      </c>
      <c r="H252" s="348">
        <v>4970681.0030361759</v>
      </c>
      <c r="I252" s="369"/>
      <c r="J252" s="350">
        <v>6274647.5229488611</v>
      </c>
      <c r="K252" s="350">
        <v>1463718.1442002365</v>
      </c>
      <c r="L252" s="350">
        <v>1478821.1746000457</v>
      </c>
      <c r="M252" s="350">
        <v>1492733.52835114</v>
      </c>
      <c r="N252" s="350">
        <v>1505415.3202822013</v>
      </c>
      <c r="O252" s="348">
        <v>12215335.690382484</v>
      </c>
      <c r="P252" s="369"/>
      <c r="Q252" s="350">
        <f t="shared" si="117"/>
        <v>1416211.9146721615</v>
      </c>
      <c r="R252" s="350">
        <f t="shared" si="118"/>
        <v>1433707.7196142476</v>
      </c>
      <c r="S252" s="350">
        <f t="shared" si="119"/>
        <v>1450087.246111328</v>
      </c>
      <c r="T252" s="350">
        <f t="shared" si="120"/>
        <v>1465310.444448937</v>
      </c>
      <c r="U252" s="350">
        <f t="shared" si="121"/>
        <v>1479337.3624996343</v>
      </c>
      <c r="V252" s="350">
        <f t="shared" si="122"/>
        <v>7244654.6873463085</v>
      </c>
      <c r="W252" s="365"/>
      <c r="X252" s="377">
        <f t="shared" si="100"/>
        <v>0</v>
      </c>
      <c r="Y252" s="377">
        <f t="shared" si="101"/>
        <v>0</v>
      </c>
      <c r="Z252" s="377">
        <f t="shared" si="102"/>
        <v>0</v>
      </c>
      <c r="AA252" s="377">
        <f t="shared" si="103"/>
        <v>0</v>
      </c>
      <c r="AB252" s="377">
        <f t="shared" si="104"/>
        <v>0</v>
      </c>
      <c r="AC252" s="377">
        <f t="shared" si="105"/>
        <v>0</v>
      </c>
      <c r="AD252" s="376"/>
      <c r="AE252" s="332">
        <v>237</v>
      </c>
      <c r="AF252" s="350">
        <v>7949806.0496769743</v>
      </c>
      <c r="AG252" s="350">
        <v>49105.735706498475</v>
      </c>
      <c r="AH252" s="350">
        <v>47017.018840682227</v>
      </c>
      <c r="AI252" s="350">
        <v>44872.097910518336</v>
      </c>
      <c r="AJ252" s="350">
        <v>42671.082475579409</v>
      </c>
      <c r="AK252" s="348">
        <v>8133471.9846102539</v>
      </c>
      <c r="AL252" s="369"/>
      <c r="AM252" s="350">
        <v>9460220.1025934089</v>
      </c>
      <c r="AN252" s="350">
        <v>1578179.3616556374</v>
      </c>
      <c r="AO252" s="350">
        <v>1593559.6879075912</v>
      </c>
      <c r="AP252" s="350">
        <v>1607650.5664797809</v>
      </c>
      <c r="AQ252" s="350">
        <v>1620409.4973095083</v>
      </c>
      <c r="AR252" s="348">
        <v>15860019.215945927</v>
      </c>
      <c r="AS252" s="369"/>
      <c r="AT252" s="350">
        <f t="shared" si="123"/>
        <v>1510414.0529164346</v>
      </c>
      <c r="AU252" s="350">
        <f t="shared" si="106"/>
        <v>1529073.625949139</v>
      </c>
      <c r="AV252" s="350">
        <f t="shared" si="107"/>
        <v>1546542.669066909</v>
      </c>
      <c r="AW252" s="350">
        <f t="shared" si="108"/>
        <v>1562778.4685692627</v>
      </c>
      <c r="AX252" s="350">
        <f t="shared" si="109"/>
        <v>1577738.4148339289</v>
      </c>
      <c r="AY252" s="350">
        <f t="shared" si="110"/>
        <v>7726547.2313356735</v>
      </c>
      <c r="AZ252" s="365"/>
      <c r="BA252" s="377">
        <f t="shared" si="111"/>
        <v>0</v>
      </c>
      <c r="BB252" s="377">
        <f t="shared" si="112"/>
        <v>0</v>
      </c>
      <c r="BC252" s="377">
        <f t="shared" si="113"/>
        <v>0</v>
      </c>
      <c r="BD252" s="377">
        <f t="shared" si="114"/>
        <v>0</v>
      </c>
      <c r="BE252" s="377">
        <f t="shared" si="115"/>
        <v>0</v>
      </c>
      <c r="BF252" s="377">
        <f t="shared" si="116"/>
        <v>0</v>
      </c>
      <c r="BG252" s="328"/>
    </row>
    <row r="253" spans="2:59">
      <c r="B253" s="332">
        <v>238</v>
      </c>
      <c r="C253" s="350">
        <v>6063026.6145605398</v>
      </c>
      <c r="D253" s="350">
        <v>37451.150462741673</v>
      </c>
      <c r="E253" s="350">
        <v>35858.162423967369</v>
      </c>
      <c r="F253" s="350">
        <v>34222.309598822481</v>
      </c>
      <c r="G253" s="350">
        <v>32543.675544393023</v>
      </c>
      <c r="H253" s="348">
        <v>6203101.9125904646</v>
      </c>
      <c r="I253" s="369"/>
      <c r="J253" s="350">
        <v>8497018.228384776</v>
      </c>
      <c r="K253" s="350">
        <v>2501512.1642580982</v>
      </c>
      <c r="L253" s="350">
        <v>2528070.0692596035</v>
      </c>
      <c r="M253" s="350">
        <v>2552597.7705646367</v>
      </c>
      <c r="N253" s="350">
        <v>2575026.6874702554</v>
      </c>
      <c r="O253" s="348">
        <v>18654224.919937368</v>
      </c>
      <c r="P253" s="369"/>
      <c r="Q253" s="350">
        <f t="shared" si="117"/>
        <v>2433991.6138242362</v>
      </c>
      <c r="R253" s="350">
        <f t="shared" si="118"/>
        <v>2464061.0137953567</v>
      </c>
      <c r="S253" s="350">
        <f t="shared" si="119"/>
        <v>2492211.9068356361</v>
      </c>
      <c r="T253" s="350">
        <f t="shared" si="120"/>
        <v>2518375.4609658141</v>
      </c>
      <c r="U253" s="350">
        <f t="shared" si="121"/>
        <v>2542483.0119258622</v>
      </c>
      <c r="V253" s="350">
        <f t="shared" si="122"/>
        <v>12451123.007346904</v>
      </c>
      <c r="W253" s="365"/>
      <c r="X253" s="377">
        <f t="shared" si="100"/>
        <v>0</v>
      </c>
      <c r="Y253" s="377">
        <f t="shared" si="101"/>
        <v>0</v>
      </c>
      <c r="Z253" s="377">
        <f t="shared" si="102"/>
        <v>0</v>
      </c>
      <c r="AA253" s="377">
        <f t="shared" si="103"/>
        <v>0</v>
      </c>
      <c r="AB253" s="377">
        <f t="shared" si="104"/>
        <v>0</v>
      </c>
      <c r="AC253" s="377">
        <f t="shared" si="105"/>
        <v>0</v>
      </c>
      <c r="AD253" s="376"/>
      <c r="AE253" s="332">
        <v>238</v>
      </c>
      <c r="AF253" s="350">
        <v>6203757.3517518248</v>
      </c>
      <c r="AG253" s="350">
        <v>38320.440398007529</v>
      </c>
      <c r="AH253" s="350">
        <v>36690.477033988565</v>
      </c>
      <c r="AI253" s="350">
        <v>35016.653936131261</v>
      </c>
      <c r="AJ253" s="350">
        <v>33299.056600990691</v>
      </c>
      <c r="AK253" s="348">
        <v>6347083.9797209427</v>
      </c>
      <c r="AL253" s="369"/>
      <c r="AM253" s="350">
        <v>8633025.983807683</v>
      </c>
      <c r="AN253" s="350">
        <v>2497600.124965182</v>
      </c>
      <c r="AO253" s="350">
        <v>2524066.42990328</v>
      </c>
      <c r="AP253" s="350">
        <v>2548505.3924824763</v>
      </c>
      <c r="AQ253" s="350">
        <v>2570848.5671772496</v>
      </c>
      <c r="AR253" s="348">
        <v>18774046.498335872</v>
      </c>
      <c r="AS253" s="369"/>
      <c r="AT253" s="350">
        <f t="shared" si="123"/>
        <v>2429268.6320558582</v>
      </c>
      <c r="AU253" s="350">
        <f t="shared" si="106"/>
        <v>2459279.6845671744</v>
      </c>
      <c r="AV253" s="350">
        <f t="shared" si="107"/>
        <v>2487375.9528692914</v>
      </c>
      <c r="AW253" s="350">
        <f t="shared" si="108"/>
        <v>2513488.7385463449</v>
      </c>
      <c r="AX253" s="350">
        <f t="shared" si="109"/>
        <v>2537549.5105762589</v>
      </c>
      <c r="AY253" s="350">
        <f t="shared" si="110"/>
        <v>12426962.518614929</v>
      </c>
      <c r="AZ253" s="365"/>
      <c r="BA253" s="377">
        <f t="shared" si="111"/>
        <v>0</v>
      </c>
      <c r="BB253" s="377">
        <f t="shared" si="112"/>
        <v>0</v>
      </c>
      <c r="BC253" s="377">
        <f t="shared" si="113"/>
        <v>0</v>
      </c>
      <c r="BD253" s="377">
        <f t="shared" si="114"/>
        <v>0</v>
      </c>
      <c r="BE253" s="377">
        <f t="shared" si="115"/>
        <v>0</v>
      </c>
      <c r="BF253" s="377">
        <f t="shared" si="116"/>
        <v>0</v>
      </c>
      <c r="BG253" s="328"/>
    </row>
    <row r="254" spans="2:59">
      <c r="B254" s="332">
        <v>239</v>
      </c>
      <c r="C254" s="350">
        <v>6273852.2852754015</v>
      </c>
      <c r="D254" s="350">
        <v>38753.414895557347</v>
      </c>
      <c r="E254" s="350">
        <v>37105.034922510589</v>
      </c>
      <c r="F254" s="350">
        <v>35412.299653831928</v>
      </c>
      <c r="G254" s="350">
        <v>33675.295552081487</v>
      </c>
      <c r="H254" s="348">
        <v>6418798.330299383</v>
      </c>
      <c r="I254" s="369"/>
      <c r="J254" s="350">
        <v>7630249.0044170823</v>
      </c>
      <c r="K254" s="350">
        <v>1411906.9853081023</v>
      </c>
      <c r="L254" s="350">
        <v>1425946.3253517868</v>
      </c>
      <c r="M254" s="350">
        <v>1438833.8206729332</v>
      </c>
      <c r="N254" s="350">
        <v>1450531.2930266617</v>
      </c>
      <c r="O254" s="348">
        <v>13357467.428776564</v>
      </c>
      <c r="P254" s="369"/>
      <c r="Q254" s="350">
        <f t="shared" si="117"/>
        <v>1356396.7191416807</v>
      </c>
      <c r="R254" s="350">
        <f t="shared" si="118"/>
        <v>1373153.570412545</v>
      </c>
      <c r="S254" s="350">
        <f t="shared" si="119"/>
        <v>1388841.2904292762</v>
      </c>
      <c r="T254" s="350">
        <f t="shared" si="120"/>
        <v>1403421.5210191014</v>
      </c>
      <c r="U254" s="350">
        <f t="shared" si="121"/>
        <v>1416855.9974745803</v>
      </c>
      <c r="V254" s="350">
        <f t="shared" si="122"/>
        <v>6938669.098477181</v>
      </c>
      <c r="W254" s="365"/>
      <c r="X254" s="377">
        <f t="shared" si="100"/>
        <v>0</v>
      </c>
      <c r="Y254" s="377">
        <f t="shared" si="101"/>
        <v>0</v>
      </c>
      <c r="Z254" s="377">
        <f t="shared" si="102"/>
        <v>0</v>
      </c>
      <c r="AA254" s="377">
        <f t="shared" si="103"/>
        <v>0</v>
      </c>
      <c r="AB254" s="377">
        <f t="shared" si="104"/>
        <v>0</v>
      </c>
      <c r="AC254" s="377">
        <f t="shared" si="105"/>
        <v>0</v>
      </c>
      <c r="AD254" s="376"/>
      <c r="AE254" s="332">
        <v>239</v>
      </c>
      <c r="AF254" s="350">
        <v>4463257.4893934615</v>
      </c>
      <c r="AG254" s="350">
        <v>27569.420095865989</v>
      </c>
      <c r="AH254" s="350">
        <v>26396.752343179305</v>
      </c>
      <c r="AI254" s="350">
        <v>25192.529957640374</v>
      </c>
      <c r="AJ254" s="350">
        <v>23956.814449252346</v>
      </c>
      <c r="AK254" s="348">
        <v>4566373.0062393993</v>
      </c>
      <c r="AL254" s="369"/>
      <c r="AM254" s="350">
        <v>6519001.6665842747</v>
      </c>
      <c r="AN254" s="350">
        <v>2108710.1490049195</v>
      </c>
      <c r="AO254" s="350">
        <v>2131313.6660679849</v>
      </c>
      <c r="AP254" s="350">
        <v>2152207.1262513776</v>
      </c>
      <c r="AQ254" s="350">
        <v>2171332.5973760812</v>
      </c>
      <c r="AR254" s="348">
        <v>15082565.205284636</v>
      </c>
      <c r="AS254" s="369"/>
      <c r="AT254" s="350">
        <f t="shared" si="123"/>
        <v>2055744.1771908132</v>
      </c>
      <c r="AU254" s="350">
        <f t="shared" si="106"/>
        <v>2081140.7289090534</v>
      </c>
      <c r="AV254" s="350">
        <f t="shared" si="107"/>
        <v>2104916.9137248057</v>
      </c>
      <c r="AW254" s="350">
        <f t="shared" si="108"/>
        <v>2127014.5962937372</v>
      </c>
      <c r="AX254" s="350">
        <f t="shared" si="109"/>
        <v>2147375.7829268286</v>
      </c>
      <c r="AY254" s="350">
        <f t="shared" si="110"/>
        <v>10516192.199045237</v>
      </c>
      <c r="AZ254" s="365"/>
      <c r="BA254" s="377">
        <f t="shared" si="111"/>
        <v>0</v>
      </c>
      <c r="BB254" s="377">
        <f t="shared" si="112"/>
        <v>0</v>
      </c>
      <c r="BC254" s="377">
        <f t="shared" si="113"/>
        <v>0</v>
      </c>
      <c r="BD254" s="377">
        <f t="shared" si="114"/>
        <v>0</v>
      </c>
      <c r="BE254" s="377">
        <f t="shared" si="115"/>
        <v>0</v>
      </c>
      <c r="BF254" s="377">
        <f t="shared" si="116"/>
        <v>0</v>
      </c>
      <c r="BG254" s="328"/>
    </row>
    <row r="255" spans="2:59">
      <c r="B255" s="332">
        <v>240</v>
      </c>
      <c r="C255" s="350">
        <v>4812872.9157040408</v>
      </c>
      <c r="D255" s="350">
        <v>29728.985073432537</v>
      </c>
      <c r="E255" s="350">
        <v>28464.460031029859</v>
      </c>
      <c r="F255" s="350">
        <v>27165.908621521961</v>
      </c>
      <c r="G255" s="350">
        <v>25833.39717310969</v>
      </c>
      <c r="H255" s="348">
        <v>4924065.666603134</v>
      </c>
      <c r="I255" s="369"/>
      <c r="J255" s="350">
        <v>6655122.9069829751</v>
      </c>
      <c r="K255" s="350">
        <v>1894738.0325134196</v>
      </c>
      <c r="L255" s="350">
        <v>1914780.4758941596</v>
      </c>
      <c r="M255" s="350">
        <v>1933284.7073267903</v>
      </c>
      <c r="N255" s="350">
        <v>1950198.8222404679</v>
      </c>
      <c r="O255" s="348">
        <v>14348124.944957813</v>
      </c>
      <c r="P255" s="369"/>
      <c r="Q255" s="350">
        <f t="shared" si="117"/>
        <v>1842249.9912789343</v>
      </c>
      <c r="R255" s="350">
        <f t="shared" si="118"/>
        <v>1865009.0474399871</v>
      </c>
      <c r="S255" s="350">
        <f t="shared" si="119"/>
        <v>1886316.0158631299</v>
      </c>
      <c r="T255" s="350">
        <f t="shared" si="120"/>
        <v>1906118.7987052684</v>
      </c>
      <c r="U255" s="350">
        <f t="shared" si="121"/>
        <v>1924365.4250673582</v>
      </c>
      <c r="V255" s="350">
        <f t="shared" si="122"/>
        <v>9424059.2783546783</v>
      </c>
      <c r="W255" s="365"/>
      <c r="X255" s="377">
        <f t="shared" si="100"/>
        <v>0</v>
      </c>
      <c r="Y255" s="377">
        <f t="shared" si="101"/>
        <v>0</v>
      </c>
      <c r="Z255" s="377">
        <f t="shared" si="102"/>
        <v>0</v>
      </c>
      <c r="AA255" s="377">
        <f t="shared" si="103"/>
        <v>0</v>
      </c>
      <c r="AB255" s="377">
        <f t="shared" si="104"/>
        <v>0</v>
      </c>
      <c r="AC255" s="377">
        <f t="shared" si="105"/>
        <v>0</v>
      </c>
      <c r="AD255" s="376"/>
      <c r="AE255" s="332">
        <v>240</v>
      </c>
      <c r="AF255" s="350">
        <v>5409995.7447042065</v>
      </c>
      <c r="AG255" s="350">
        <v>33417.396544349467</v>
      </c>
      <c r="AH255" s="350">
        <v>31995.984589726133</v>
      </c>
      <c r="AI255" s="350">
        <v>30536.324689545003</v>
      </c>
      <c r="AJ255" s="350">
        <v>29038.491401207855</v>
      </c>
      <c r="AK255" s="348">
        <v>5534983.941929034</v>
      </c>
      <c r="AL255" s="369"/>
      <c r="AM255" s="350">
        <v>7372719.2283805786</v>
      </c>
      <c r="AN255" s="350">
        <v>2020388.2593522589</v>
      </c>
      <c r="AO255" s="350">
        <v>2041667.1798650131</v>
      </c>
      <c r="AP255" s="350">
        <v>2061305.3009991108</v>
      </c>
      <c r="AQ255" s="350">
        <v>2079247.3277885462</v>
      </c>
      <c r="AR255" s="348">
        <v>15575327.296385508</v>
      </c>
      <c r="AS255" s="369"/>
      <c r="AT255" s="350">
        <f t="shared" si="123"/>
        <v>1962723.4836763721</v>
      </c>
      <c r="AU255" s="350">
        <f t="shared" si="106"/>
        <v>1986970.8628079095</v>
      </c>
      <c r="AV255" s="350">
        <f t="shared" si="107"/>
        <v>2009671.1952752869</v>
      </c>
      <c r="AW255" s="350">
        <f t="shared" si="108"/>
        <v>2030768.9763095658</v>
      </c>
      <c r="AX255" s="350">
        <f t="shared" si="109"/>
        <v>2050208.8363873383</v>
      </c>
      <c r="AY255" s="350">
        <f t="shared" si="110"/>
        <v>10040343.354456473</v>
      </c>
      <c r="AZ255" s="365"/>
      <c r="BA255" s="377">
        <f t="shared" si="111"/>
        <v>0</v>
      </c>
      <c r="BB255" s="377">
        <f t="shared" si="112"/>
        <v>0</v>
      </c>
      <c r="BC255" s="377">
        <f t="shared" si="113"/>
        <v>0</v>
      </c>
      <c r="BD255" s="377">
        <f t="shared" si="114"/>
        <v>0</v>
      </c>
      <c r="BE255" s="377">
        <f t="shared" si="115"/>
        <v>0</v>
      </c>
      <c r="BF255" s="377">
        <f t="shared" si="116"/>
        <v>0</v>
      </c>
      <c r="BG255" s="328"/>
    </row>
    <row r="256" spans="2:59">
      <c r="B256" s="332">
        <v>241</v>
      </c>
      <c r="C256" s="350">
        <v>7663200.6363024879</v>
      </c>
      <c r="D256" s="350">
        <v>47335.381864747251</v>
      </c>
      <c r="E256" s="350">
        <v>45321.967158131534</v>
      </c>
      <c r="F256" s="350">
        <v>43254.374649060766</v>
      </c>
      <c r="G256" s="350">
        <v>41132.709947290903</v>
      </c>
      <c r="H256" s="348">
        <v>7840245.069921718</v>
      </c>
      <c r="I256" s="369"/>
      <c r="J256" s="350">
        <v>10202126.546927217</v>
      </c>
      <c r="K256" s="350">
        <v>2617627.0450541154</v>
      </c>
      <c r="L256" s="350">
        <v>2644978.1652708137</v>
      </c>
      <c r="M256" s="350">
        <v>2670202.0905787516</v>
      </c>
      <c r="N256" s="350">
        <v>2693227.3020726698</v>
      </c>
      <c r="O256" s="348">
        <v>20828161.149903569</v>
      </c>
      <c r="P256" s="369"/>
      <c r="Q256" s="350">
        <f t="shared" si="117"/>
        <v>2538925.9106247295</v>
      </c>
      <c r="R256" s="350">
        <f t="shared" si="118"/>
        <v>2570291.6631893683</v>
      </c>
      <c r="S256" s="350">
        <f t="shared" si="119"/>
        <v>2599656.1981126824</v>
      </c>
      <c r="T256" s="350">
        <f t="shared" si="120"/>
        <v>2626947.7159296907</v>
      </c>
      <c r="U256" s="350">
        <f t="shared" si="121"/>
        <v>2652094.592125379</v>
      </c>
      <c r="V256" s="350">
        <f t="shared" si="122"/>
        <v>12987916.079981852</v>
      </c>
      <c r="W256" s="365"/>
      <c r="X256" s="377">
        <f t="shared" si="100"/>
        <v>0</v>
      </c>
      <c r="Y256" s="377">
        <f t="shared" si="101"/>
        <v>0</v>
      </c>
      <c r="Z256" s="377">
        <f t="shared" si="102"/>
        <v>0</v>
      </c>
      <c r="AA256" s="377">
        <f t="shared" si="103"/>
        <v>0</v>
      </c>
      <c r="AB256" s="377">
        <f t="shared" si="104"/>
        <v>0</v>
      </c>
      <c r="AC256" s="377">
        <f t="shared" si="105"/>
        <v>0</v>
      </c>
      <c r="AD256" s="376"/>
      <c r="AE256" s="332">
        <v>241</v>
      </c>
      <c r="AF256" s="350">
        <v>6875263.4732327256</v>
      </c>
      <c r="AG256" s="350">
        <v>42468.315443095125</v>
      </c>
      <c r="AH256" s="350">
        <v>40661.92184258144</v>
      </c>
      <c r="AI256" s="350">
        <v>38806.92104985808</v>
      </c>
      <c r="AJ256" s="350">
        <v>36903.407815788727</v>
      </c>
      <c r="AK256" s="348">
        <v>7034104.0393840494</v>
      </c>
      <c r="AL256" s="369"/>
      <c r="AM256" s="350">
        <v>8943522.5730396248</v>
      </c>
      <c r="AN256" s="350">
        <v>2136278.5756413369</v>
      </c>
      <c r="AO256" s="350">
        <v>2158393.111089041</v>
      </c>
      <c r="AP256" s="350">
        <v>2178770.3187417709</v>
      </c>
      <c r="AQ256" s="350">
        <v>2197351.9466084335</v>
      </c>
      <c r="AR256" s="348">
        <v>17614316.525120206</v>
      </c>
      <c r="AS256" s="369"/>
      <c r="AT256" s="350">
        <f t="shared" si="123"/>
        <v>2068259.0998068992</v>
      </c>
      <c r="AU256" s="350">
        <f t="shared" si="106"/>
        <v>2093810.2601982418</v>
      </c>
      <c r="AV256" s="350">
        <f t="shared" si="107"/>
        <v>2117731.1892464594</v>
      </c>
      <c r="AW256" s="350">
        <f t="shared" si="108"/>
        <v>2139963.3976919129</v>
      </c>
      <c r="AX256" s="350">
        <f t="shared" si="109"/>
        <v>2160448.5387926446</v>
      </c>
      <c r="AY256" s="350">
        <f t="shared" si="110"/>
        <v>10580212.485736158</v>
      </c>
      <c r="AZ256" s="365"/>
      <c r="BA256" s="377">
        <f t="shared" si="111"/>
        <v>0</v>
      </c>
      <c r="BB256" s="377">
        <f t="shared" si="112"/>
        <v>0</v>
      </c>
      <c r="BC256" s="377">
        <f t="shared" si="113"/>
        <v>0</v>
      </c>
      <c r="BD256" s="377">
        <f t="shared" si="114"/>
        <v>0</v>
      </c>
      <c r="BE256" s="377">
        <f t="shared" si="115"/>
        <v>0</v>
      </c>
      <c r="BF256" s="377">
        <f t="shared" si="116"/>
        <v>0</v>
      </c>
      <c r="BG256" s="328"/>
    </row>
    <row r="257" spans="2:59">
      <c r="B257" s="332">
        <v>242</v>
      </c>
      <c r="C257" s="350">
        <v>5590996.7687098235</v>
      </c>
      <c r="D257" s="350">
        <v>34535.434945774898</v>
      </c>
      <c r="E257" s="350">
        <v>33066.46712762423</v>
      </c>
      <c r="F257" s="350">
        <v>31557.971710909831</v>
      </c>
      <c r="G257" s="350">
        <v>30010.025747485695</v>
      </c>
      <c r="H257" s="348">
        <v>5720166.6682416182</v>
      </c>
      <c r="I257" s="369"/>
      <c r="J257" s="350">
        <v>7277513.1586298477</v>
      </c>
      <c r="K257" s="350">
        <v>1741886.9565886543</v>
      </c>
      <c r="L257" s="350">
        <v>1759923.7842028572</v>
      </c>
      <c r="M257" s="350">
        <v>1776544.0541477334</v>
      </c>
      <c r="N257" s="350">
        <v>1791700.2659077954</v>
      </c>
      <c r="O257" s="348">
        <v>14347568.219476888</v>
      </c>
      <c r="P257" s="369"/>
      <c r="Q257" s="350">
        <f t="shared" si="117"/>
        <v>1686516.3899200242</v>
      </c>
      <c r="R257" s="350">
        <f t="shared" si="118"/>
        <v>1707351.5216428794</v>
      </c>
      <c r="S257" s="350">
        <f t="shared" si="119"/>
        <v>1726857.317075233</v>
      </c>
      <c r="T257" s="350">
        <f t="shared" si="120"/>
        <v>1744986.0824368235</v>
      </c>
      <c r="U257" s="350">
        <f t="shared" si="121"/>
        <v>1761690.2401603097</v>
      </c>
      <c r="V257" s="350">
        <f t="shared" si="122"/>
        <v>8627401.5512352698</v>
      </c>
      <c r="W257" s="365"/>
      <c r="X257" s="377">
        <f t="shared" si="100"/>
        <v>0</v>
      </c>
      <c r="Y257" s="377">
        <f t="shared" si="101"/>
        <v>0</v>
      </c>
      <c r="Z257" s="377">
        <f t="shared" si="102"/>
        <v>0</v>
      </c>
      <c r="AA257" s="377">
        <f t="shared" si="103"/>
        <v>0</v>
      </c>
      <c r="AB257" s="377">
        <f t="shared" si="104"/>
        <v>0</v>
      </c>
      <c r="AC257" s="377">
        <f t="shared" si="105"/>
        <v>0</v>
      </c>
      <c r="AD257" s="376"/>
      <c r="AE257" s="332">
        <v>242</v>
      </c>
      <c r="AF257" s="350">
        <v>3973960.5879319995</v>
      </c>
      <c r="AG257" s="350">
        <v>24547.046446115051</v>
      </c>
      <c r="AH257" s="350">
        <v>23502.935627281942</v>
      </c>
      <c r="AI257" s="350">
        <v>22430.729439174873</v>
      </c>
      <c r="AJ257" s="350">
        <v>21330.482648597706</v>
      </c>
      <c r="AK257" s="348">
        <v>4065771.7820931692</v>
      </c>
      <c r="AL257" s="369"/>
      <c r="AM257" s="350">
        <v>5666610.1141096344</v>
      </c>
      <c r="AN257" s="350">
        <v>1738107.4727782463</v>
      </c>
      <c r="AO257" s="350">
        <v>1756640.0915978709</v>
      </c>
      <c r="AP257" s="350">
        <v>1773762.5773101118</v>
      </c>
      <c r="AQ257" s="350">
        <v>1789427.2340952395</v>
      </c>
      <c r="AR257" s="348">
        <v>12724547.489891103</v>
      </c>
      <c r="AS257" s="369"/>
      <c r="AT257" s="350">
        <f t="shared" si="123"/>
        <v>1692649.526177635</v>
      </c>
      <c r="AU257" s="350">
        <f t="shared" si="106"/>
        <v>1713560.4263321313</v>
      </c>
      <c r="AV257" s="350">
        <f t="shared" si="107"/>
        <v>1733137.155970589</v>
      </c>
      <c r="AW257" s="350">
        <f t="shared" si="108"/>
        <v>1751331.8478709371</v>
      </c>
      <c r="AX257" s="350">
        <f t="shared" si="109"/>
        <v>1768096.7514466417</v>
      </c>
      <c r="AY257" s="350">
        <f t="shared" si="110"/>
        <v>8658775.7077979334</v>
      </c>
      <c r="AZ257" s="365"/>
      <c r="BA257" s="377">
        <f t="shared" si="111"/>
        <v>0</v>
      </c>
      <c r="BB257" s="377">
        <f t="shared" si="112"/>
        <v>0</v>
      </c>
      <c r="BC257" s="377">
        <f t="shared" si="113"/>
        <v>0</v>
      </c>
      <c r="BD257" s="377">
        <f t="shared" si="114"/>
        <v>0</v>
      </c>
      <c r="BE257" s="377">
        <f t="shared" si="115"/>
        <v>0</v>
      </c>
      <c r="BF257" s="377">
        <f t="shared" si="116"/>
        <v>0</v>
      </c>
      <c r="BG257" s="328"/>
    </row>
    <row r="258" spans="2:59">
      <c r="B258" s="332">
        <v>243</v>
      </c>
      <c r="C258" s="350">
        <v>5317713.2573925126</v>
      </c>
      <c r="D258" s="350">
        <v>32847.37013062949</v>
      </c>
      <c r="E258" s="350">
        <v>31450.204300561101</v>
      </c>
      <c r="F258" s="350">
        <v>30015.442949764998</v>
      </c>
      <c r="G258" s="350">
        <v>28543.159363856845</v>
      </c>
      <c r="H258" s="348">
        <v>5440569.4341373248</v>
      </c>
      <c r="I258" s="369"/>
      <c r="J258" s="350">
        <v>7100128.8991121855</v>
      </c>
      <c r="K258" s="350">
        <v>1837282.8777123047</v>
      </c>
      <c r="L258" s="350">
        <v>1856500.6522946802</v>
      </c>
      <c r="M258" s="350">
        <v>1874225.5001470298</v>
      </c>
      <c r="N258" s="350">
        <v>1890407.2116162796</v>
      </c>
      <c r="O258" s="348">
        <v>14558545.140882479</v>
      </c>
      <c r="P258" s="369"/>
      <c r="Q258" s="350">
        <f t="shared" si="117"/>
        <v>1782415.6417196728</v>
      </c>
      <c r="R258" s="350">
        <f t="shared" si="118"/>
        <v>1804435.5075816752</v>
      </c>
      <c r="S258" s="350">
        <f t="shared" si="119"/>
        <v>1825050.4479941193</v>
      </c>
      <c r="T258" s="350">
        <f t="shared" si="120"/>
        <v>1844210.0571972649</v>
      </c>
      <c r="U258" s="350">
        <f t="shared" si="121"/>
        <v>1861864.0522524228</v>
      </c>
      <c r="V258" s="350">
        <f t="shared" si="122"/>
        <v>9117975.7067451552</v>
      </c>
      <c r="W258" s="365"/>
      <c r="X258" s="377">
        <f t="shared" si="100"/>
        <v>0</v>
      </c>
      <c r="Y258" s="377">
        <f t="shared" si="101"/>
        <v>0</v>
      </c>
      <c r="Z258" s="377">
        <f t="shared" si="102"/>
        <v>0</v>
      </c>
      <c r="AA258" s="377">
        <f t="shared" si="103"/>
        <v>0</v>
      </c>
      <c r="AB258" s="377">
        <f t="shared" si="104"/>
        <v>0</v>
      </c>
      <c r="AC258" s="377">
        <f t="shared" si="105"/>
        <v>0</v>
      </c>
      <c r="AD258" s="376"/>
      <c r="AE258" s="332">
        <v>243</v>
      </c>
      <c r="AF258" s="350">
        <v>6492912.1077693449</v>
      </c>
      <c r="AG258" s="350">
        <v>40106.541459914064</v>
      </c>
      <c r="AH258" s="350">
        <v>38400.606127277642</v>
      </c>
      <c r="AI258" s="350">
        <v>36648.766775390715</v>
      </c>
      <c r="AJ258" s="350">
        <v>34851.112885776114</v>
      </c>
      <c r="AK258" s="348">
        <v>6642919.1350177042</v>
      </c>
      <c r="AL258" s="369"/>
      <c r="AM258" s="350">
        <v>9274294.3779312856</v>
      </c>
      <c r="AN258" s="350">
        <v>2855849.8568609073</v>
      </c>
      <c r="AO258" s="350">
        <v>2886312.6415627813</v>
      </c>
      <c r="AP258" s="350">
        <v>2914458.5410398934</v>
      </c>
      <c r="AQ258" s="350">
        <v>2940209.1804297157</v>
      </c>
      <c r="AR258" s="348">
        <v>20871124.597824585</v>
      </c>
      <c r="AS258" s="369"/>
      <c r="AT258" s="350">
        <f t="shared" si="123"/>
        <v>2781382.2701619407</v>
      </c>
      <c r="AU258" s="350">
        <f t="shared" si="106"/>
        <v>2815743.3154009935</v>
      </c>
      <c r="AV258" s="350">
        <f t="shared" si="107"/>
        <v>2847912.0354355038</v>
      </c>
      <c r="AW258" s="350">
        <f t="shared" si="108"/>
        <v>2877809.7742645028</v>
      </c>
      <c r="AX258" s="350">
        <f t="shared" si="109"/>
        <v>2905358.0675439397</v>
      </c>
      <c r="AY258" s="350">
        <f t="shared" si="110"/>
        <v>14228205.46280688</v>
      </c>
      <c r="AZ258" s="365"/>
      <c r="BA258" s="377">
        <f t="shared" si="111"/>
        <v>0</v>
      </c>
      <c r="BB258" s="377">
        <f t="shared" si="112"/>
        <v>0</v>
      </c>
      <c r="BC258" s="377">
        <f t="shared" si="113"/>
        <v>0</v>
      </c>
      <c r="BD258" s="377">
        <f t="shared" si="114"/>
        <v>0</v>
      </c>
      <c r="BE258" s="377">
        <f t="shared" si="115"/>
        <v>0</v>
      </c>
      <c r="BF258" s="377">
        <f t="shared" si="116"/>
        <v>0</v>
      </c>
      <c r="BG258" s="328"/>
    </row>
    <row r="259" spans="2:59">
      <c r="B259" s="332">
        <v>244</v>
      </c>
      <c r="C259" s="350">
        <v>6639899.688481885</v>
      </c>
      <c r="D259" s="350">
        <v>41014.479747402562</v>
      </c>
      <c r="E259" s="350">
        <v>39269.925178399542</v>
      </c>
      <c r="F259" s="350">
        <v>37478.427407630894</v>
      </c>
      <c r="G259" s="350">
        <v>35640.077942317497</v>
      </c>
      <c r="H259" s="348">
        <v>6793302.5987576349</v>
      </c>
      <c r="I259" s="369"/>
      <c r="J259" s="350">
        <v>8781106.0162984449</v>
      </c>
      <c r="K259" s="350">
        <v>2208673.1540412996</v>
      </c>
      <c r="L259" s="350">
        <v>2231693.216560204</v>
      </c>
      <c r="M259" s="350">
        <v>2252918.0543197291</v>
      </c>
      <c r="N259" s="350">
        <v>2272287.3542031851</v>
      </c>
      <c r="O259" s="348">
        <v>17746677.795422859</v>
      </c>
      <c r="P259" s="369"/>
      <c r="Q259" s="350">
        <f t="shared" si="117"/>
        <v>2141206.3278165599</v>
      </c>
      <c r="R259" s="350">
        <f t="shared" si="118"/>
        <v>2167658.6742938971</v>
      </c>
      <c r="S259" s="350">
        <f t="shared" si="119"/>
        <v>2192423.2913818043</v>
      </c>
      <c r="T259" s="350">
        <f t="shared" si="120"/>
        <v>2215439.6269120984</v>
      </c>
      <c r="U259" s="350">
        <f t="shared" si="121"/>
        <v>2236647.2762608677</v>
      </c>
      <c r="V259" s="350">
        <f t="shared" si="122"/>
        <v>10953375.196665224</v>
      </c>
      <c r="W259" s="365"/>
      <c r="X259" s="377">
        <f t="shared" si="100"/>
        <v>0</v>
      </c>
      <c r="Y259" s="377">
        <f t="shared" si="101"/>
        <v>0</v>
      </c>
      <c r="Z259" s="377">
        <f t="shared" si="102"/>
        <v>0</v>
      </c>
      <c r="AA259" s="377">
        <f t="shared" si="103"/>
        <v>0</v>
      </c>
      <c r="AB259" s="377">
        <f t="shared" si="104"/>
        <v>0</v>
      </c>
      <c r="AC259" s="377">
        <f t="shared" si="105"/>
        <v>0</v>
      </c>
      <c r="AD259" s="376"/>
      <c r="AE259" s="332">
        <v>244</v>
      </c>
      <c r="AF259" s="350">
        <v>5589107.2426526379</v>
      </c>
      <c r="AG259" s="350">
        <v>34523.763394721624</v>
      </c>
      <c r="AH259" s="350">
        <v>33055.29202703949</v>
      </c>
      <c r="AI259" s="350">
        <v>31547.306419492023</v>
      </c>
      <c r="AJ259" s="350">
        <v>29999.88359788747</v>
      </c>
      <c r="AK259" s="348">
        <v>5718233.488091778</v>
      </c>
      <c r="AL259" s="369"/>
      <c r="AM259" s="350">
        <v>6558731.3120874986</v>
      </c>
      <c r="AN259" s="350">
        <v>1016126.5158290891</v>
      </c>
      <c r="AO259" s="350">
        <v>1025872.4559297592</v>
      </c>
      <c r="AP259" s="350">
        <v>1034787.1898100271</v>
      </c>
      <c r="AQ259" s="350">
        <v>1042843.4408602731</v>
      </c>
      <c r="AR259" s="348">
        <v>10678360.914516646</v>
      </c>
      <c r="AS259" s="369"/>
      <c r="AT259" s="350">
        <f t="shared" si="123"/>
        <v>969624.06943486072</v>
      </c>
      <c r="AU259" s="350">
        <f t="shared" si="106"/>
        <v>981602.75243436743</v>
      </c>
      <c r="AV259" s="350">
        <f t="shared" si="107"/>
        <v>992817.16390271974</v>
      </c>
      <c r="AW259" s="350">
        <f t="shared" si="108"/>
        <v>1003239.8833905351</v>
      </c>
      <c r="AX259" s="350">
        <f t="shared" si="109"/>
        <v>1012843.5572623856</v>
      </c>
      <c r="AY259" s="350">
        <f t="shared" si="110"/>
        <v>4960127.4264248684</v>
      </c>
      <c r="AZ259" s="365"/>
      <c r="BA259" s="377">
        <f t="shared" si="111"/>
        <v>0</v>
      </c>
      <c r="BB259" s="377">
        <f t="shared" si="112"/>
        <v>0</v>
      </c>
      <c r="BC259" s="377">
        <f t="shared" si="113"/>
        <v>0</v>
      </c>
      <c r="BD259" s="377">
        <f t="shared" si="114"/>
        <v>0</v>
      </c>
      <c r="BE259" s="377">
        <f t="shared" si="115"/>
        <v>0</v>
      </c>
      <c r="BF259" s="377">
        <f t="shared" si="116"/>
        <v>0</v>
      </c>
      <c r="BG259" s="328"/>
    </row>
    <row r="260" spans="2:59">
      <c r="B260" s="332">
        <v>245</v>
      </c>
      <c r="C260" s="350">
        <v>5501604.5181923704</v>
      </c>
      <c r="D260" s="350">
        <v>33983.261446108969</v>
      </c>
      <c r="E260" s="350">
        <v>32537.780377213909</v>
      </c>
      <c r="F260" s="350">
        <v>31053.403700999628</v>
      </c>
      <c r="G260" s="350">
        <v>29530.207237364371</v>
      </c>
      <c r="H260" s="348">
        <v>5628709.1709540579</v>
      </c>
      <c r="I260" s="369"/>
      <c r="J260" s="350">
        <v>7961576.0843930691</v>
      </c>
      <c r="K260" s="350">
        <v>2524345.1825360963</v>
      </c>
      <c r="L260" s="350">
        <v>2551351.0716563696</v>
      </c>
      <c r="M260" s="350">
        <v>2576309.5137908026</v>
      </c>
      <c r="N260" s="350">
        <v>2599151.1875903341</v>
      </c>
      <c r="O260" s="348">
        <v>18212733.039966669</v>
      </c>
      <c r="P260" s="369"/>
      <c r="Q260" s="350">
        <f t="shared" si="117"/>
        <v>2459971.5662006987</v>
      </c>
      <c r="R260" s="350">
        <f t="shared" si="118"/>
        <v>2490361.9210899873</v>
      </c>
      <c r="S260" s="350">
        <f t="shared" si="119"/>
        <v>2518813.2912791558</v>
      </c>
      <c r="T260" s="350">
        <f t="shared" si="120"/>
        <v>2545256.1100898031</v>
      </c>
      <c r="U260" s="350">
        <f t="shared" si="121"/>
        <v>2569620.9803529698</v>
      </c>
      <c r="V260" s="350">
        <f t="shared" si="122"/>
        <v>12584023.869012611</v>
      </c>
      <c r="W260" s="365"/>
      <c r="X260" s="377">
        <f t="shared" si="100"/>
        <v>0</v>
      </c>
      <c r="Y260" s="377">
        <f t="shared" si="101"/>
        <v>0</v>
      </c>
      <c r="Z260" s="377">
        <f t="shared" si="102"/>
        <v>0</v>
      </c>
      <c r="AA260" s="377">
        <f t="shared" si="103"/>
        <v>0</v>
      </c>
      <c r="AB260" s="377">
        <f t="shared" si="104"/>
        <v>0</v>
      </c>
      <c r="AC260" s="377">
        <f t="shared" si="105"/>
        <v>0</v>
      </c>
      <c r="AD260" s="376"/>
      <c r="AE260" s="332">
        <v>245</v>
      </c>
      <c r="AF260" s="350">
        <v>5461440.4442108935</v>
      </c>
      <c r="AG260" s="350">
        <v>33735.169053728401</v>
      </c>
      <c r="AH260" s="350">
        <v>32300.24061695976</v>
      </c>
      <c r="AI260" s="350">
        <v>30826.700527499623</v>
      </c>
      <c r="AJ260" s="350">
        <v>29314.624051723182</v>
      </c>
      <c r="AK260" s="348">
        <v>5587617.1784608047</v>
      </c>
      <c r="AL260" s="369"/>
      <c r="AM260" s="350">
        <v>7838699.8846788798</v>
      </c>
      <c r="AN260" s="350">
        <v>2440363.1433098167</v>
      </c>
      <c r="AO260" s="350">
        <v>2466422.9588390961</v>
      </c>
      <c r="AP260" s="350">
        <v>2490503.1452698531</v>
      </c>
      <c r="AQ260" s="350">
        <v>2512536.7140546613</v>
      </c>
      <c r="AR260" s="348">
        <v>17748525.846152309</v>
      </c>
      <c r="AS260" s="369"/>
      <c r="AT260" s="350">
        <f t="shared" si="123"/>
        <v>2377259.4404679863</v>
      </c>
      <c r="AU260" s="350">
        <f t="shared" si="106"/>
        <v>2406627.9742560885</v>
      </c>
      <c r="AV260" s="350">
        <f t="shared" si="107"/>
        <v>2434122.7182221361</v>
      </c>
      <c r="AW260" s="350">
        <f t="shared" si="108"/>
        <v>2459676.4447423536</v>
      </c>
      <c r="AX260" s="350">
        <f t="shared" si="109"/>
        <v>2483222.0900029382</v>
      </c>
      <c r="AY260" s="350">
        <f t="shared" si="110"/>
        <v>12160908.667691505</v>
      </c>
      <c r="AZ260" s="365"/>
      <c r="BA260" s="377">
        <f t="shared" si="111"/>
        <v>0</v>
      </c>
      <c r="BB260" s="377">
        <f t="shared" si="112"/>
        <v>0</v>
      </c>
      <c r="BC260" s="377">
        <f t="shared" si="113"/>
        <v>0</v>
      </c>
      <c r="BD260" s="377">
        <f t="shared" si="114"/>
        <v>0</v>
      </c>
      <c r="BE260" s="377">
        <f t="shared" si="115"/>
        <v>0</v>
      </c>
      <c r="BF260" s="377">
        <f t="shared" si="116"/>
        <v>0</v>
      </c>
      <c r="BG260" s="328"/>
    </row>
    <row r="261" spans="2:59">
      <c r="B261" s="332">
        <v>246</v>
      </c>
      <c r="C261" s="350">
        <v>6511869.8529398907</v>
      </c>
      <c r="D261" s="350">
        <v>40223.642936116601</v>
      </c>
      <c r="E261" s="350">
        <v>38512.726681701315</v>
      </c>
      <c r="F261" s="350">
        <v>36755.772379319729</v>
      </c>
      <c r="G261" s="350">
        <v>34952.869771752215</v>
      </c>
      <c r="H261" s="348">
        <v>6662314.8647087812</v>
      </c>
      <c r="I261" s="369"/>
      <c r="J261" s="350">
        <v>8908327.9651901238</v>
      </c>
      <c r="K261" s="350">
        <v>2466287.4683211073</v>
      </c>
      <c r="L261" s="350">
        <v>2492293.3427122729</v>
      </c>
      <c r="M261" s="350">
        <v>2516296.4860143559</v>
      </c>
      <c r="N261" s="350">
        <v>2538229.382551115</v>
      </c>
      <c r="O261" s="348">
        <v>18921434.644788973</v>
      </c>
      <c r="P261" s="369"/>
      <c r="Q261" s="350">
        <f t="shared" si="117"/>
        <v>2396458.1122502331</v>
      </c>
      <c r="R261" s="350">
        <f t="shared" si="118"/>
        <v>2426063.8253849908</v>
      </c>
      <c r="S261" s="350">
        <f t="shared" si="119"/>
        <v>2453780.6160305715</v>
      </c>
      <c r="T261" s="350">
        <f t="shared" si="120"/>
        <v>2479540.7136350363</v>
      </c>
      <c r="U261" s="350">
        <f t="shared" si="121"/>
        <v>2503276.512779363</v>
      </c>
      <c r="V261" s="350">
        <f t="shared" si="122"/>
        <v>12259119.780080192</v>
      </c>
      <c r="W261" s="365"/>
      <c r="X261" s="377">
        <f t="shared" si="100"/>
        <v>0</v>
      </c>
      <c r="Y261" s="377">
        <f t="shared" si="101"/>
        <v>0</v>
      </c>
      <c r="Z261" s="377">
        <f t="shared" si="102"/>
        <v>0</v>
      </c>
      <c r="AA261" s="377">
        <f t="shared" si="103"/>
        <v>0</v>
      </c>
      <c r="AB261" s="377">
        <f t="shared" si="104"/>
        <v>0</v>
      </c>
      <c r="AC261" s="377">
        <f t="shared" si="105"/>
        <v>0</v>
      </c>
      <c r="AD261" s="376"/>
      <c r="AE261" s="332">
        <v>246</v>
      </c>
      <c r="AF261" s="350">
        <v>4728312.5540789319</v>
      </c>
      <c r="AG261" s="350">
        <v>29206.658020009094</v>
      </c>
      <c r="AH261" s="350">
        <v>27964.35020560056</v>
      </c>
      <c r="AI261" s="350">
        <v>26688.613854520121</v>
      </c>
      <c r="AJ261" s="350">
        <v>25379.51412960824</v>
      </c>
      <c r="AK261" s="348">
        <v>4837551.6902886694</v>
      </c>
      <c r="AL261" s="369"/>
      <c r="AM261" s="350">
        <v>6523988.8533070898</v>
      </c>
      <c r="AN261" s="350">
        <v>1847066.644551557</v>
      </c>
      <c r="AO261" s="350">
        <v>1866592.6463514606</v>
      </c>
      <c r="AP261" s="350">
        <v>1884619.0611615796</v>
      </c>
      <c r="AQ261" s="350">
        <v>1901095.2971155318</v>
      </c>
      <c r="AR261" s="348">
        <v>14023362.50248722</v>
      </c>
      <c r="AS261" s="369"/>
      <c r="AT261" s="350">
        <f t="shared" si="123"/>
        <v>1795676.2992281578</v>
      </c>
      <c r="AU261" s="350">
        <f t="shared" si="106"/>
        <v>1817859.986531548</v>
      </c>
      <c r="AV261" s="350">
        <f t="shared" si="107"/>
        <v>1838628.2961458601</v>
      </c>
      <c r="AW261" s="350">
        <f t="shared" si="108"/>
        <v>1857930.4473070595</v>
      </c>
      <c r="AX261" s="350">
        <f t="shared" si="109"/>
        <v>1875715.7829859236</v>
      </c>
      <c r="AY261" s="350">
        <f t="shared" si="110"/>
        <v>9185810.8121985495</v>
      </c>
      <c r="AZ261" s="365"/>
      <c r="BA261" s="377">
        <f t="shared" si="111"/>
        <v>0</v>
      </c>
      <c r="BB261" s="377">
        <f t="shared" si="112"/>
        <v>0</v>
      </c>
      <c r="BC261" s="377">
        <f t="shared" si="113"/>
        <v>0</v>
      </c>
      <c r="BD261" s="377">
        <f t="shared" si="114"/>
        <v>0</v>
      </c>
      <c r="BE261" s="377">
        <f t="shared" si="115"/>
        <v>0</v>
      </c>
      <c r="BF261" s="377">
        <f t="shared" si="116"/>
        <v>0</v>
      </c>
      <c r="BG261" s="328"/>
    </row>
    <row r="262" spans="2:59">
      <c r="B262" s="332">
        <v>247</v>
      </c>
      <c r="C262" s="350">
        <v>6535345.5179879395</v>
      </c>
      <c r="D262" s="350">
        <v>40368.651480498564</v>
      </c>
      <c r="E262" s="350">
        <v>38651.567274662695</v>
      </c>
      <c r="F262" s="350">
        <v>36888.27905105058</v>
      </c>
      <c r="G262" s="350">
        <v>35078.87687597271</v>
      </c>
      <c r="H262" s="348">
        <v>6686332.8926701238</v>
      </c>
      <c r="I262" s="369"/>
      <c r="J262" s="350">
        <v>8122293.4177167984</v>
      </c>
      <c r="K262" s="350">
        <v>1646921.6192216107</v>
      </c>
      <c r="L262" s="350">
        <v>1663558.7480426524</v>
      </c>
      <c r="M262" s="350">
        <v>1678853.9398238622</v>
      </c>
      <c r="N262" s="350">
        <v>1692762.5159468092</v>
      </c>
      <c r="O262" s="348">
        <v>14804390.240751732</v>
      </c>
      <c r="P262" s="369"/>
      <c r="Q262" s="350">
        <f t="shared" si="117"/>
        <v>1586947.8997288588</v>
      </c>
      <c r="R262" s="350">
        <f t="shared" si="118"/>
        <v>1606552.9677411122</v>
      </c>
      <c r="S262" s="350">
        <f t="shared" si="119"/>
        <v>1624907.1807679897</v>
      </c>
      <c r="T262" s="350">
        <f t="shared" si="120"/>
        <v>1641965.6607728116</v>
      </c>
      <c r="U262" s="350">
        <f t="shared" si="121"/>
        <v>1657683.6390708366</v>
      </c>
      <c r="V262" s="350">
        <f t="shared" si="122"/>
        <v>8118057.3480816083</v>
      </c>
      <c r="W262" s="365"/>
      <c r="X262" s="377">
        <f t="shared" si="100"/>
        <v>0</v>
      </c>
      <c r="Y262" s="377">
        <f t="shared" si="101"/>
        <v>0</v>
      </c>
      <c r="Z262" s="377">
        <f t="shared" si="102"/>
        <v>0</v>
      </c>
      <c r="AA262" s="377">
        <f t="shared" si="103"/>
        <v>0</v>
      </c>
      <c r="AB262" s="377">
        <f t="shared" si="104"/>
        <v>0</v>
      </c>
      <c r="AC262" s="377">
        <f t="shared" si="105"/>
        <v>0</v>
      </c>
      <c r="AD262" s="376"/>
      <c r="AE262" s="332">
        <v>247</v>
      </c>
      <c r="AF262" s="350">
        <v>5530145.8923881445</v>
      </c>
      <c r="AG262" s="350">
        <v>34159.560738092689</v>
      </c>
      <c r="AH262" s="350">
        <v>32706.580763024205</v>
      </c>
      <c r="AI262" s="350">
        <v>31214.503396943976</v>
      </c>
      <c r="AJ262" s="350">
        <v>29683.40485308777</v>
      </c>
      <c r="AK262" s="348">
        <v>5657909.9421392931</v>
      </c>
      <c r="AL262" s="369"/>
      <c r="AM262" s="350">
        <v>7217116.8996326765</v>
      </c>
      <c r="AN262" s="350">
        <v>1741971.316023174</v>
      </c>
      <c r="AO262" s="350">
        <v>1760029.3894622878</v>
      </c>
      <c r="AP262" s="350">
        <v>1776670.9642474304</v>
      </c>
      <c r="AQ262" s="350">
        <v>1791848.5261994815</v>
      </c>
      <c r="AR262" s="348">
        <v>14287637.095565051</v>
      </c>
      <c r="AS262" s="369"/>
      <c r="AT262" s="350">
        <f t="shared" si="123"/>
        <v>1686971.007244532</v>
      </c>
      <c r="AU262" s="350">
        <f t="shared" si="106"/>
        <v>1707811.7552850812</v>
      </c>
      <c r="AV262" s="350">
        <f t="shared" si="107"/>
        <v>1727322.8086992635</v>
      </c>
      <c r="AW262" s="350">
        <f t="shared" si="108"/>
        <v>1745456.4608504865</v>
      </c>
      <c r="AX262" s="350">
        <f t="shared" si="109"/>
        <v>1762165.1213463936</v>
      </c>
      <c r="AY262" s="350">
        <f t="shared" si="110"/>
        <v>8629727.1534257568</v>
      </c>
      <c r="AZ262" s="365"/>
      <c r="BA262" s="377">
        <f t="shared" si="111"/>
        <v>0</v>
      </c>
      <c r="BB262" s="377">
        <f t="shared" si="112"/>
        <v>0</v>
      </c>
      <c r="BC262" s="377">
        <f t="shared" si="113"/>
        <v>0</v>
      </c>
      <c r="BD262" s="377">
        <f t="shared" si="114"/>
        <v>0</v>
      </c>
      <c r="BE262" s="377">
        <f t="shared" si="115"/>
        <v>0</v>
      </c>
      <c r="BF262" s="377">
        <f t="shared" si="116"/>
        <v>0</v>
      </c>
      <c r="BG262" s="328"/>
    </row>
    <row r="263" spans="2:59">
      <c r="B263" s="332">
        <v>248</v>
      </c>
      <c r="C263" s="350">
        <v>5744239.9628102854</v>
      </c>
      <c r="D263" s="350">
        <v>35482.013986986276</v>
      </c>
      <c r="E263" s="350">
        <v>33972.783344548123</v>
      </c>
      <c r="F263" s="350">
        <v>32422.941694684716</v>
      </c>
      <c r="G263" s="350">
        <v>30832.568201152604</v>
      </c>
      <c r="H263" s="348">
        <v>5876950.2700376566</v>
      </c>
      <c r="I263" s="369"/>
      <c r="J263" s="350">
        <v>7303504.5956262536</v>
      </c>
      <c r="K263" s="350">
        <v>1614009.7172419271</v>
      </c>
      <c r="L263" s="350">
        <v>1630534.522399195</v>
      </c>
      <c r="M263" s="350">
        <v>1645745.5867410561</v>
      </c>
      <c r="N263" s="350">
        <v>1659599.0017069082</v>
      </c>
      <c r="O263" s="348">
        <v>13853393.42371534</v>
      </c>
      <c r="P263" s="369"/>
      <c r="Q263" s="350">
        <f t="shared" si="117"/>
        <v>1559264.6328159682</v>
      </c>
      <c r="R263" s="350">
        <f t="shared" si="118"/>
        <v>1578527.7032549407</v>
      </c>
      <c r="S263" s="350">
        <f t="shared" si="119"/>
        <v>1596561.7390546468</v>
      </c>
      <c r="T263" s="350">
        <f t="shared" si="120"/>
        <v>1613322.6450463713</v>
      </c>
      <c r="U263" s="350">
        <f t="shared" si="121"/>
        <v>1628766.4335057556</v>
      </c>
      <c r="V263" s="350">
        <f t="shared" si="122"/>
        <v>7976443.1536776833</v>
      </c>
      <c r="W263" s="365"/>
      <c r="X263" s="377">
        <f t="shared" si="100"/>
        <v>0</v>
      </c>
      <c r="Y263" s="377">
        <f t="shared" si="101"/>
        <v>0</v>
      </c>
      <c r="Z263" s="377">
        <f t="shared" si="102"/>
        <v>0</v>
      </c>
      <c r="AA263" s="377">
        <f t="shared" si="103"/>
        <v>0</v>
      </c>
      <c r="AB263" s="377">
        <f t="shared" si="104"/>
        <v>0</v>
      </c>
      <c r="AC263" s="377">
        <f t="shared" si="105"/>
        <v>0</v>
      </c>
      <c r="AD263" s="376"/>
      <c r="AE263" s="332">
        <v>248</v>
      </c>
      <c r="AF263" s="350">
        <v>5666084.2698981725</v>
      </c>
      <c r="AG263" s="350">
        <v>34999.248397974705</v>
      </c>
      <c r="AH263" s="350">
        <v>33510.552233097114</v>
      </c>
      <c r="AI263" s="350">
        <v>31981.797611080729</v>
      </c>
      <c r="AJ263" s="350">
        <v>30413.06261858275</v>
      </c>
      <c r="AK263" s="348">
        <v>5796988.9307589075</v>
      </c>
      <c r="AL263" s="369"/>
      <c r="AM263" s="350">
        <v>7655713.5225468799</v>
      </c>
      <c r="AN263" s="350">
        <v>2049208.2725842413</v>
      </c>
      <c r="AO263" s="350">
        <v>2070731.0937816277</v>
      </c>
      <c r="AP263" s="350">
        <v>2090589.3366969081</v>
      </c>
      <c r="AQ263" s="350">
        <v>2108726.9508665903</v>
      </c>
      <c r="AR263" s="348">
        <v>15974969.176476248</v>
      </c>
      <c r="AS263" s="369"/>
      <c r="AT263" s="350">
        <f t="shared" si="123"/>
        <v>1989629.2526487075</v>
      </c>
      <c r="AU263" s="350">
        <f t="shared" si="106"/>
        <v>2014209.0241862666</v>
      </c>
      <c r="AV263" s="350">
        <f t="shared" si="107"/>
        <v>2037220.5415485306</v>
      </c>
      <c r="AW263" s="350">
        <f t="shared" si="108"/>
        <v>2058607.5390858273</v>
      </c>
      <c r="AX263" s="350">
        <f t="shared" si="109"/>
        <v>2078313.8882480075</v>
      </c>
      <c r="AY263" s="350">
        <f t="shared" si="110"/>
        <v>10177980.245717339</v>
      </c>
      <c r="AZ263" s="365"/>
      <c r="BA263" s="377">
        <f t="shared" si="111"/>
        <v>0</v>
      </c>
      <c r="BB263" s="377">
        <f t="shared" si="112"/>
        <v>0</v>
      </c>
      <c r="BC263" s="377">
        <f t="shared" si="113"/>
        <v>0</v>
      </c>
      <c r="BD263" s="377">
        <f t="shared" si="114"/>
        <v>0</v>
      </c>
      <c r="BE263" s="377">
        <f t="shared" si="115"/>
        <v>0</v>
      </c>
      <c r="BF263" s="377">
        <f t="shared" si="116"/>
        <v>0</v>
      </c>
      <c r="BG263" s="328"/>
    </row>
    <row r="264" spans="2:59">
      <c r="B264" s="332">
        <v>249</v>
      </c>
      <c r="C264" s="350">
        <v>6073991.222027814</v>
      </c>
      <c r="D264" s="350">
        <v>37518.878544792227</v>
      </c>
      <c r="E264" s="350">
        <v>35923.00968598215</v>
      </c>
      <c r="F264" s="350">
        <v>34284.198522494858</v>
      </c>
      <c r="G264" s="350">
        <v>32602.528762525701</v>
      </c>
      <c r="H264" s="348">
        <v>6214319.8375436096</v>
      </c>
      <c r="I264" s="369"/>
      <c r="J264" s="350">
        <v>7867011.8870506641</v>
      </c>
      <c r="K264" s="350">
        <v>1852690.4233105467</v>
      </c>
      <c r="L264" s="350">
        <v>1871832.1497143444</v>
      </c>
      <c r="M264" s="350">
        <v>1889466.9436690544</v>
      </c>
      <c r="N264" s="350">
        <v>1905544.306770561</v>
      </c>
      <c r="O264" s="348">
        <v>15386545.710515171</v>
      </c>
      <c r="P264" s="369"/>
      <c r="Q264" s="350">
        <f t="shared" si="117"/>
        <v>1793020.66502285</v>
      </c>
      <c r="R264" s="350">
        <f t="shared" si="118"/>
        <v>1815171.5447657544</v>
      </c>
      <c r="S264" s="350">
        <f t="shared" si="119"/>
        <v>1835909.1400283622</v>
      </c>
      <c r="T264" s="350">
        <f t="shared" si="120"/>
        <v>1855182.7451465596</v>
      </c>
      <c r="U264" s="350">
        <f t="shared" si="121"/>
        <v>1872941.7780080354</v>
      </c>
      <c r="V264" s="350">
        <f t="shared" si="122"/>
        <v>9172225.8729715608</v>
      </c>
      <c r="W264" s="365"/>
      <c r="X264" s="377">
        <f t="shared" si="100"/>
        <v>0</v>
      </c>
      <c r="Y264" s="377">
        <f t="shared" si="101"/>
        <v>0</v>
      </c>
      <c r="Z264" s="377">
        <f t="shared" si="102"/>
        <v>0</v>
      </c>
      <c r="AA264" s="377">
        <f t="shared" si="103"/>
        <v>0</v>
      </c>
      <c r="AB264" s="377">
        <f t="shared" si="104"/>
        <v>0</v>
      </c>
      <c r="AC264" s="377">
        <f t="shared" si="105"/>
        <v>0</v>
      </c>
      <c r="AD264" s="376"/>
      <c r="AE264" s="332">
        <v>249</v>
      </c>
      <c r="AF264" s="350">
        <v>5256754.4456272945</v>
      </c>
      <c r="AG264" s="350">
        <v>32470.829208647741</v>
      </c>
      <c r="AH264" s="350">
        <v>31089.679580415519</v>
      </c>
      <c r="AI264" s="350">
        <v>29671.365402092488</v>
      </c>
      <c r="AJ264" s="350">
        <v>28215.959119197658</v>
      </c>
      <c r="AK264" s="348">
        <v>5378202.2789376481</v>
      </c>
      <c r="AL264" s="369"/>
      <c r="AM264" s="350">
        <v>7083758.2603114098</v>
      </c>
      <c r="AN264" s="350">
        <v>1882045.3496176633</v>
      </c>
      <c r="AO264" s="350">
        <v>1901794.8352304238</v>
      </c>
      <c r="AP264" s="350">
        <v>1920015.4191197967</v>
      </c>
      <c r="AQ264" s="350">
        <v>1936655.6329354085</v>
      </c>
      <c r="AR264" s="348">
        <v>14724269.497214701</v>
      </c>
      <c r="AS264" s="369"/>
      <c r="AT264" s="350">
        <f t="shared" si="123"/>
        <v>1827003.8146841154</v>
      </c>
      <c r="AU264" s="350">
        <f t="shared" si="106"/>
        <v>1849574.5204090155</v>
      </c>
      <c r="AV264" s="350">
        <f t="shared" si="107"/>
        <v>1870705.1556500082</v>
      </c>
      <c r="AW264" s="350">
        <f t="shared" si="108"/>
        <v>1890344.0537177043</v>
      </c>
      <c r="AX264" s="350">
        <f t="shared" si="109"/>
        <v>1908439.6738162108</v>
      </c>
      <c r="AY264" s="350">
        <f t="shared" si="110"/>
        <v>9346067.218277052</v>
      </c>
      <c r="AZ264" s="365"/>
      <c r="BA264" s="377">
        <f t="shared" si="111"/>
        <v>0</v>
      </c>
      <c r="BB264" s="377">
        <f t="shared" si="112"/>
        <v>0</v>
      </c>
      <c r="BC264" s="377">
        <f t="shared" si="113"/>
        <v>0</v>
      </c>
      <c r="BD264" s="377">
        <f t="shared" si="114"/>
        <v>0</v>
      </c>
      <c r="BE264" s="377">
        <f t="shared" si="115"/>
        <v>0</v>
      </c>
      <c r="BF264" s="377">
        <f t="shared" si="116"/>
        <v>0</v>
      </c>
      <c r="BG264" s="328"/>
    </row>
    <row r="265" spans="2:59">
      <c r="B265" s="332">
        <v>250</v>
      </c>
      <c r="C265" s="350">
        <v>4157427.1563020889</v>
      </c>
      <c r="D265" s="350">
        <v>25680.314448008892</v>
      </c>
      <c r="E265" s="350">
        <v>24587.999973227885</v>
      </c>
      <c r="F265" s="350">
        <v>23466.293045100349</v>
      </c>
      <c r="G265" s="350">
        <v>22315.250958856945</v>
      </c>
      <c r="H265" s="348">
        <v>4253477.0147272833</v>
      </c>
      <c r="I265" s="369"/>
      <c r="J265" s="350">
        <v>6155284.6269758288</v>
      </c>
      <c r="K265" s="350">
        <v>2048219.2076171166</v>
      </c>
      <c r="L265" s="350">
        <v>2070233.5758635204</v>
      </c>
      <c r="M265" s="350">
        <v>2090587.3135431185</v>
      </c>
      <c r="N265" s="350">
        <v>2109224.117278378</v>
      </c>
      <c r="O265" s="348">
        <v>14473548.841277963</v>
      </c>
      <c r="P265" s="369"/>
      <c r="Q265" s="350">
        <f t="shared" si="117"/>
        <v>1997857.4706737399</v>
      </c>
      <c r="R265" s="350">
        <f t="shared" si="118"/>
        <v>2022538.8931691078</v>
      </c>
      <c r="S265" s="350">
        <f t="shared" si="119"/>
        <v>2045645.5758902924</v>
      </c>
      <c r="T265" s="350">
        <f t="shared" si="120"/>
        <v>2067121.0204980182</v>
      </c>
      <c r="U265" s="350">
        <f t="shared" si="121"/>
        <v>2086908.8663195211</v>
      </c>
      <c r="V265" s="350">
        <f t="shared" si="122"/>
        <v>10220071.826550679</v>
      </c>
      <c r="W265" s="365"/>
      <c r="X265" s="377">
        <f t="shared" si="100"/>
        <v>0</v>
      </c>
      <c r="Y265" s="377">
        <f t="shared" si="101"/>
        <v>0</v>
      </c>
      <c r="Z265" s="377">
        <f t="shared" si="102"/>
        <v>0</v>
      </c>
      <c r="AA265" s="377">
        <f t="shared" si="103"/>
        <v>0</v>
      </c>
      <c r="AB265" s="377">
        <f t="shared" si="104"/>
        <v>0</v>
      </c>
      <c r="AC265" s="377">
        <f t="shared" si="105"/>
        <v>0</v>
      </c>
      <c r="AD265" s="376"/>
      <c r="AE265" s="332">
        <v>250</v>
      </c>
      <c r="AF265" s="350">
        <v>5907513.2263239911</v>
      </c>
      <c r="AG265" s="350">
        <v>36490.548494110488</v>
      </c>
      <c r="AH265" s="350">
        <v>34938.419746094463</v>
      </c>
      <c r="AI265" s="350">
        <v>33344.525670542687</v>
      </c>
      <c r="AJ265" s="350">
        <v>31708.947681346192</v>
      </c>
      <c r="AK265" s="348">
        <v>6043995.6679160846</v>
      </c>
      <c r="AL265" s="369"/>
      <c r="AM265" s="350">
        <v>7533479.4998916518</v>
      </c>
      <c r="AN265" s="350">
        <v>1682543.920941557</v>
      </c>
      <c r="AO265" s="350">
        <v>1699797.2812487751</v>
      </c>
      <c r="AP265" s="350">
        <v>1715681.2849485129</v>
      </c>
      <c r="AQ265" s="350">
        <v>1730150.1440398416</v>
      </c>
      <c r="AR265" s="348">
        <v>14361652.131070338</v>
      </c>
      <c r="AS265" s="369"/>
      <c r="AT265" s="350">
        <f t="shared" si="123"/>
        <v>1625966.2735676607</v>
      </c>
      <c r="AU265" s="350">
        <f t="shared" si="106"/>
        <v>1646053.3724474465</v>
      </c>
      <c r="AV265" s="350">
        <f t="shared" si="107"/>
        <v>1664858.8615026807</v>
      </c>
      <c r="AW265" s="350">
        <f t="shared" si="108"/>
        <v>1682336.7592779703</v>
      </c>
      <c r="AX265" s="350">
        <f t="shared" si="109"/>
        <v>1698441.1963584954</v>
      </c>
      <c r="AY265" s="350">
        <f t="shared" si="110"/>
        <v>8317656.4631542535</v>
      </c>
      <c r="AZ265" s="365"/>
      <c r="BA265" s="377">
        <f t="shared" si="111"/>
        <v>0</v>
      </c>
      <c r="BB265" s="377">
        <f t="shared" si="112"/>
        <v>0</v>
      </c>
      <c r="BC265" s="377">
        <f t="shared" si="113"/>
        <v>0</v>
      </c>
      <c r="BD265" s="377">
        <f t="shared" si="114"/>
        <v>0</v>
      </c>
      <c r="BE265" s="377">
        <f t="shared" si="115"/>
        <v>0</v>
      </c>
      <c r="BF265" s="377">
        <f t="shared" si="116"/>
        <v>0</v>
      </c>
      <c r="BG265" s="328"/>
    </row>
    <row r="266" spans="2:59">
      <c r="B266" s="332">
        <v>251</v>
      </c>
      <c r="C266" s="350">
        <v>6756896.0105189066</v>
      </c>
      <c r="D266" s="350">
        <v>41737.162845917948</v>
      </c>
      <c r="E266" s="350">
        <v>39961.868886601609</v>
      </c>
      <c r="F266" s="350">
        <v>38138.804577189941</v>
      </c>
      <c r="G266" s="350">
        <v>36268.063037272215</v>
      </c>
      <c r="H266" s="348">
        <v>6913001.9098658878</v>
      </c>
      <c r="I266" s="369"/>
      <c r="J266" s="350">
        <v>8723964.2222322766</v>
      </c>
      <c r="K266" s="350">
        <v>2033106.4282246076</v>
      </c>
      <c r="L266" s="350">
        <v>2054081.7166898041</v>
      </c>
      <c r="M266" s="350">
        <v>2073403.1359285705</v>
      </c>
      <c r="N266" s="350">
        <v>2091015.2869698959</v>
      </c>
      <c r="O266" s="348">
        <v>16975570.790045157</v>
      </c>
      <c r="P266" s="369"/>
      <c r="Q266" s="350">
        <f t="shared" si="117"/>
        <v>1967068.2117133699</v>
      </c>
      <c r="R266" s="350">
        <f t="shared" si="118"/>
        <v>1991369.2653786896</v>
      </c>
      <c r="S266" s="350">
        <f t="shared" si="119"/>
        <v>2014119.8478032025</v>
      </c>
      <c r="T266" s="350">
        <f t="shared" si="120"/>
        <v>2035264.3313513806</v>
      </c>
      <c r="U266" s="350">
        <f t="shared" si="121"/>
        <v>2054747.2239326236</v>
      </c>
      <c r="V266" s="350">
        <f t="shared" si="122"/>
        <v>10062568.880179269</v>
      </c>
      <c r="W266" s="365"/>
      <c r="X266" s="377">
        <f t="shared" si="100"/>
        <v>0</v>
      </c>
      <c r="Y266" s="377">
        <f t="shared" si="101"/>
        <v>0</v>
      </c>
      <c r="Z266" s="377">
        <f t="shared" si="102"/>
        <v>0</v>
      </c>
      <c r="AA266" s="377">
        <f t="shared" si="103"/>
        <v>0</v>
      </c>
      <c r="AB266" s="377">
        <f t="shared" si="104"/>
        <v>0</v>
      </c>
      <c r="AC266" s="377">
        <f t="shared" si="105"/>
        <v>0</v>
      </c>
      <c r="AD266" s="376"/>
      <c r="AE266" s="332">
        <v>251</v>
      </c>
      <c r="AF266" s="350">
        <v>6624320.9256454855</v>
      </c>
      <c r="AG266" s="350">
        <v>40918.250153157933</v>
      </c>
      <c r="AH266" s="350">
        <v>39177.788718564188</v>
      </c>
      <c r="AI266" s="350">
        <v>37390.494221973779</v>
      </c>
      <c r="AJ266" s="350">
        <v>35556.457955903184</v>
      </c>
      <c r="AK266" s="348">
        <v>6777363.9166950854</v>
      </c>
      <c r="AL266" s="369"/>
      <c r="AM266" s="350">
        <v>9498790.506892655</v>
      </c>
      <c r="AN266" s="350">
        <v>2950898.8722159266</v>
      </c>
      <c r="AO266" s="350">
        <v>2982403.7536451435</v>
      </c>
      <c r="AP266" s="350">
        <v>3011514.815600303</v>
      </c>
      <c r="AQ266" s="350">
        <v>3038151.0589849278</v>
      </c>
      <c r="AR266" s="348">
        <v>21481759.007338956</v>
      </c>
      <c r="AS266" s="369"/>
      <c r="AT266" s="350">
        <f t="shared" si="123"/>
        <v>2874469.5812471695</v>
      </c>
      <c r="AU266" s="350">
        <f t="shared" si="106"/>
        <v>2909980.6220627688</v>
      </c>
      <c r="AV266" s="350">
        <f t="shared" si="107"/>
        <v>2943225.9649265795</v>
      </c>
      <c r="AW266" s="350">
        <f t="shared" si="108"/>
        <v>2974124.3213783293</v>
      </c>
      <c r="AX266" s="350">
        <f t="shared" si="109"/>
        <v>3002594.6010290245</v>
      </c>
      <c r="AY266" s="350">
        <f t="shared" si="110"/>
        <v>14704395.090643872</v>
      </c>
      <c r="AZ266" s="365"/>
      <c r="BA266" s="377">
        <f t="shared" si="111"/>
        <v>0</v>
      </c>
      <c r="BB266" s="377">
        <f t="shared" si="112"/>
        <v>0</v>
      </c>
      <c r="BC266" s="377">
        <f t="shared" si="113"/>
        <v>0</v>
      </c>
      <c r="BD266" s="377">
        <f t="shared" si="114"/>
        <v>0</v>
      </c>
      <c r="BE266" s="377">
        <f t="shared" si="115"/>
        <v>0</v>
      </c>
      <c r="BF266" s="377">
        <f t="shared" si="116"/>
        <v>0</v>
      </c>
      <c r="BG266" s="328"/>
    </row>
    <row r="267" spans="2:59">
      <c r="B267" s="332">
        <v>252</v>
      </c>
      <c r="C267" s="350">
        <v>5219044.9345508264</v>
      </c>
      <c r="D267" s="350">
        <v>32237.89858455701</v>
      </c>
      <c r="E267" s="350">
        <v>30866.656681281685</v>
      </c>
      <c r="F267" s="350">
        <v>29458.516829108084</v>
      </c>
      <c r="G267" s="350">
        <v>28013.550953865612</v>
      </c>
      <c r="H267" s="348">
        <v>5339621.5575996386</v>
      </c>
      <c r="I267" s="369"/>
      <c r="J267" s="350">
        <v>6784852.9363984074</v>
      </c>
      <c r="K267" s="350">
        <v>1617389.807296121</v>
      </c>
      <c r="L267" s="350">
        <v>1634128.2800407012</v>
      </c>
      <c r="M267" s="350">
        <v>1649551.3824085591</v>
      </c>
      <c r="N267" s="350">
        <v>1663615.0140090853</v>
      </c>
      <c r="O267" s="348">
        <v>13349537.420152875</v>
      </c>
      <c r="P267" s="369"/>
      <c r="Q267" s="350">
        <f t="shared" si="117"/>
        <v>1565808.001847581</v>
      </c>
      <c r="R267" s="350">
        <f t="shared" si="118"/>
        <v>1585151.908711564</v>
      </c>
      <c r="S267" s="350">
        <f t="shared" si="119"/>
        <v>1603261.6233594194</v>
      </c>
      <c r="T267" s="350">
        <f t="shared" si="120"/>
        <v>1620092.865579451</v>
      </c>
      <c r="U267" s="350">
        <f t="shared" si="121"/>
        <v>1635601.4630552197</v>
      </c>
      <c r="V267" s="350">
        <f t="shared" si="122"/>
        <v>8009915.8625532361</v>
      </c>
      <c r="W267" s="365"/>
      <c r="X267" s="377">
        <f t="shared" si="100"/>
        <v>0</v>
      </c>
      <c r="Y267" s="377">
        <f t="shared" si="101"/>
        <v>0</v>
      </c>
      <c r="Z267" s="377">
        <f t="shared" si="102"/>
        <v>0</v>
      </c>
      <c r="AA267" s="377">
        <f t="shared" si="103"/>
        <v>0</v>
      </c>
      <c r="AB267" s="377">
        <f t="shared" si="104"/>
        <v>0</v>
      </c>
      <c r="AC267" s="377">
        <f t="shared" si="105"/>
        <v>0</v>
      </c>
      <c r="AD267" s="376"/>
      <c r="AE267" s="332">
        <v>252</v>
      </c>
      <c r="AF267" s="350">
        <v>5941601.5546879973</v>
      </c>
      <c r="AG267" s="350">
        <v>36701.111171093449</v>
      </c>
      <c r="AH267" s="350">
        <v>35140.026120756338</v>
      </c>
      <c r="AI267" s="350">
        <v>33536.934742965153</v>
      </c>
      <c r="AJ267" s="350">
        <v>31891.918921396056</v>
      </c>
      <c r="AK267" s="348">
        <v>6078871.5456442088</v>
      </c>
      <c r="AL267" s="369"/>
      <c r="AM267" s="350">
        <v>9077148.4639261421</v>
      </c>
      <c r="AN267" s="350">
        <v>3210984.396330419</v>
      </c>
      <c r="AO267" s="350">
        <v>3245688.2043731399</v>
      </c>
      <c r="AP267" s="350">
        <v>3277789.8516730135</v>
      </c>
      <c r="AQ267" s="350">
        <v>3307200.9645877769</v>
      </c>
      <c r="AR267" s="348">
        <v>22118811.880890492</v>
      </c>
      <c r="AS267" s="369"/>
      <c r="AT267" s="350">
        <f t="shared" si="123"/>
        <v>3135546.9092381448</v>
      </c>
      <c r="AU267" s="350">
        <f t="shared" si="106"/>
        <v>3174283.2851593257</v>
      </c>
      <c r="AV267" s="350">
        <f t="shared" si="107"/>
        <v>3210548.1782523836</v>
      </c>
      <c r="AW267" s="350">
        <f t="shared" si="108"/>
        <v>3244252.9169300483</v>
      </c>
      <c r="AX267" s="350">
        <f t="shared" si="109"/>
        <v>3275309.0456663808</v>
      </c>
      <c r="AY267" s="350">
        <f t="shared" si="110"/>
        <v>16039940.335246284</v>
      </c>
      <c r="AZ267" s="365"/>
      <c r="BA267" s="377">
        <f t="shared" si="111"/>
        <v>0</v>
      </c>
      <c r="BB267" s="377">
        <f t="shared" si="112"/>
        <v>0</v>
      </c>
      <c r="BC267" s="377">
        <f t="shared" si="113"/>
        <v>0</v>
      </c>
      <c r="BD267" s="377">
        <f t="shared" si="114"/>
        <v>0</v>
      </c>
      <c r="BE267" s="377">
        <f t="shared" si="115"/>
        <v>0</v>
      </c>
      <c r="BF267" s="377">
        <f t="shared" si="116"/>
        <v>0</v>
      </c>
      <c r="BG267" s="328"/>
    </row>
    <row r="268" spans="2:59">
      <c r="B268" s="332">
        <v>253</v>
      </c>
      <c r="C268" s="350">
        <v>6428524.6460736776</v>
      </c>
      <c r="D268" s="350">
        <v>39708.821860582619</v>
      </c>
      <c r="E268" s="350">
        <v>38019.803566719384</v>
      </c>
      <c r="F268" s="350">
        <v>36285.336464342035</v>
      </c>
      <c r="G268" s="350">
        <v>34505.509147617973</v>
      </c>
      <c r="H268" s="348">
        <v>6577044.1171129392</v>
      </c>
      <c r="I268" s="369"/>
      <c r="J268" s="350">
        <v>8361065.7166366503</v>
      </c>
      <c r="K268" s="350">
        <v>1996124.3996656218</v>
      </c>
      <c r="L268" s="350">
        <v>2016786.632158482</v>
      </c>
      <c r="M268" s="350">
        <v>2035825.508161023</v>
      </c>
      <c r="N268" s="350">
        <v>2053186.5982067017</v>
      </c>
      <c r="O268" s="348">
        <v>16462988.854828481</v>
      </c>
      <c r="P268" s="369"/>
      <c r="Q268" s="350">
        <f t="shared" si="117"/>
        <v>1932541.0705629727</v>
      </c>
      <c r="R268" s="350">
        <f t="shared" si="118"/>
        <v>1956415.5778050392</v>
      </c>
      <c r="S268" s="350">
        <f t="shared" si="119"/>
        <v>1978766.8285917626</v>
      </c>
      <c r="T268" s="350">
        <f t="shared" si="120"/>
        <v>1999540.1716966811</v>
      </c>
      <c r="U268" s="350">
        <f t="shared" si="121"/>
        <v>2018681.0890590837</v>
      </c>
      <c r="V268" s="350">
        <f t="shared" si="122"/>
        <v>9885944.7377155423</v>
      </c>
      <c r="W268" s="365"/>
      <c r="X268" s="377">
        <f t="shared" si="100"/>
        <v>0</v>
      </c>
      <c r="Y268" s="377">
        <f t="shared" si="101"/>
        <v>0</v>
      </c>
      <c r="Z268" s="377">
        <f t="shared" si="102"/>
        <v>0</v>
      </c>
      <c r="AA268" s="377">
        <f t="shared" si="103"/>
        <v>0</v>
      </c>
      <c r="AB268" s="377">
        <f t="shared" si="104"/>
        <v>0</v>
      </c>
      <c r="AC268" s="377">
        <f t="shared" si="105"/>
        <v>0</v>
      </c>
      <c r="AD268" s="376"/>
      <c r="AE268" s="332">
        <v>253</v>
      </c>
      <c r="AF268" s="350">
        <v>6368813.3205885813</v>
      </c>
      <c r="AG268" s="350">
        <v>39339.986627416132</v>
      </c>
      <c r="AH268" s="350">
        <v>37666.65677322734</v>
      </c>
      <c r="AI268" s="350">
        <v>35948.300261598008</v>
      </c>
      <c r="AJ268" s="350">
        <v>34185.004863792441</v>
      </c>
      <c r="AK268" s="348">
        <v>6515953.2691146145</v>
      </c>
      <c r="AL268" s="369"/>
      <c r="AM268" s="350">
        <v>8395350.5473093223</v>
      </c>
      <c r="AN268" s="350">
        <v>2090912.9439893502</v>
      </c>
      <c r="AO268" s="350">
        <v>2112677.999209105</v>
      </c>
      <c r="AP268" s="350">
        <v>2132743.3728167512</v>
      </c>
      <c r="AQ268" s="350">
        <v>2151051.9828388877</v>
      </c>
      <c r="AR268" s="348">
        <v>16882736.846163414</v>
      </c>
      <c r="AS268" s="369"/>
      <c r="AT268" s="350">
        <f t="shared" si="123"/>
        <v>2026537.226720741</v>
      </c>
      <c r="AU268" s="350">
        <f t="shared" si="106"/>
        <v>2051572.957361934</v>
      </c>
      <c r="AV268" s="350">
        <f t="shared" si="107"/>
        <v>2075011.3424358778</v>
      </c>
      <c r="AW268" s="350">
        <f t="shared" si="108"/>
        <v>2096795.0725551532</v>
      </c>
      <c r="AX268" s="350">
        <f t="shared" si="109"/>
        <v>2116866.9779750952</v>
      </c>
      <c r="AY268" s="350">
        <f t="shared" si="110"/>
        <v>10366783.577048801</v>
      </c>
      <c r="AZ268" s="365"/>
      <c r="BA268" s="377">
        <f t="shared" si="111"/>
        <v>0</v>
      </c>
      <c r="BB268" s="377">
        <f t="shared" si="112"/>
        <v>0</v>
      </c>
      <c r="BC268" s="377">
        <f t="shared" si="113"/>
        <v>0</v>
      </c>
      <c r="BD268" s="377">
        <f t="shared" si="114"/>
        <v>0</v>
      </c>
      <c r="BE268" s="377">
        <f t="shared" si="115"/>
        <v>0</v>
      </c>
      <c r="BF268" s="377">
        <f t="shared" si="116"/>
        <v>0</v>
      </c>
      <c r="BG268" s="328"/>
    </row>
    <row r="269" spans="2:59">
      <c r="B269" s="332">
        <v>254</v>
      </c>
      <c r="C269" s="350">
        <v>6367991.0475629969</v>
      </c>
      <c r="D269" s="350">
        <v>39334.907469305443</v>
      </c>
      <c r="E269" s="350">
        <v>37661.793657561684</v>
      </c>
      <c r="F269" s="350">
        <v>35943.659001738393</v>
      </c>
      <c r="G269" s="350">
        <v>34180.591261765876</v>
      </c>
      <c r="H269" s="348">
        <v>6515111.9989533685</v>
      </c>
      <c r="I269" s="369"/>
      <c r="J269" s="350">
        <v>8552054.2577017378</v>
      </c>
      <c r="K269" s="350">
        <v>2250379.9156778804</v>
      </c>
      <c r="L269" s="350">
        <v>2273967.0901401881</v>
      </c>
      <c r="M269" s="350">
        <v>2295725.9698247756</v>
      </c>
      <c r="N269" s="350">
        <v>2315595.0288511217</v>
      </c>
      <c r="O269" s="348">
        <v>17687722.262195706</v>
      </c>
      <c r="P269" s="369"/>
      <c r="Q269" s="350">
        <f t="shared" si="117"/>
        <v>2184063.2101387409</v>
      </c>
      <c r="R269" s="350">
        <f t="shared" si="118"/>
        <v>2211045.0082085747</v>
      </c>
      <c r="S269" s="350">
        <f t="shared" si="119"/>
        <v>2236305.2964826263</v>
      </c>
      <c r="T269" s="350">
        <f t="shared" si="120"/>
        <v>2259782.3108230373</v>
      </c>
      <c r="U269" s="350">
        <f t="shared" si="121"/>
        <v>2281414.4375893557</v>
      </c>
      <c r="V269" s="350">
        <f t="shared" si="122"/>
        <v>11172610.263242338</v>
      </c>
      <c r="W269" s="365"/>
      <c r="X269" s="377">
        <f t="shared" si="100"/>
        <v>0</v>
      </c>
      <c r="Y269" s="377">
        <f t="shared" si="101"/>
        <v>0</v>
      </c>
      <c r="Z269" s="377">
        <f t="shared" si="102"/>
        <v>0</v>
      </c>
      <c r="AA269" s="377">
        <f t="shared" si="103"/>
        <v>0</v>
      </c>
      <c r="AB269" s="377">
        <f t="shared" si="104"/>
        <v>0</v>
      </c>
      <c r="AC269" s="377">
        <f t="shared" si="105"/>
        <v>0</v>
      </c>
      <c r="AD269" s="376"/>
      <c r="AE269" s="332">
        <v>254</v>
      </c>
      <c r="AF269" s="350">
        <v>4890643.4052781221</v>
      </c>
      <c r="AG269" s="350">
        <v>30209.371271903015</v>
      </c>
      <c r="AH269" s="350">
        <v>28924.412959529789</v>
      </c>
      <c r="AI269" s="350">
        <v>27604.87845310129</v>
      </c>
      <c r="AJ269" s="350">
        <v>26250.83515260823</v>
      </c>
      <c r="AK269" s="348">
        <v>5003632.9031152641</v>
      </c>
      <c r="AL269" s="369"/>
      <c r="AM269" s="350">
        <v>6239513.2010609461</v>
      </c>
      <c r="AN269" s="350">
        <v>1395743.0311239338</v>
      </c>
      <c r="AO269" s="350">
        <v>1410058.7384550576</v>
      </c>
      <c r="AP269" s="350">
        <v>1423238.5258510057</v>
      </c>
      <c r="AQ269" s="350">
        <v>1435244.4083430339</v>
      </c>
      <c r="AR269" s="348">
        <v>11903797.904833976</v>
      </c>
      <c r="AS269" s="369"/>
      <c r="AT269" s="350">
        <f t="shared" si="123"/>
        <v>1348869.795782824</v>
      </c>
      <c r="AU269" s="350">
        <f t="shared" si="106"/>
        <v>1365533.6598520309</v>
      </c>
      <c r="AV269" s="350">
        <f t="shared" si="107"/>
        <v>1381134.3254955278</v>
      </c>
      <c r="AW269" s="350">
        <f t="shared" si="108"/>
        <v>1395633.6473979044</v>
      </c>
      <c r="AX269" s="350">
        <f t="shared" si="109"/>
        <v>1408993.5731904255</v>
      </c>
      <c r="AY269" s="350">
        <f t="shared" si="110"/>
        <v>6900165.001718712</v>
      </c>
      <c r="AZ269" s="365"/>
      <c r="BA269" s="377">
        <f t="shared" si="111"/>
        <v>0</v>
      </c>
      <c r="BB269" s="377">
        <f t="shared" si="112"/>
        <v>0</v>
      </c>
      <c r="BC269" s="377">
        <f t="shared" si="113"/>
        <v>0</v>
      </c>
      <c r="BD269" s="377">
        <f t="shared" si="114"/>
        <v>0</v>
      </c>
      <c r="BE269" s="377">
        <f t="shared" si="115"/>
        <v>0</v>
      </c>
      <c r="BF269" s="377">
        <f t="shared" si="116"/>
        <v>0</v>
      </c>
      <c r="BG269" s="328"/>
    </row>
    <row r="270" spans="2:59">
      <c r="B270" s="332">
        <v>255</v>
      </c>
      <c r="C270" s="350">
        <v>4202249.9690521033</v>
      </c>
      <c r="D270" s="350">
        <v>25957.183743029491</v>
      </c>
      <c r="E270" s="350">
        <v>24853.092607989514</v>
      </c>
      <c r="F270" s="350">
        <v>23719.292128320129</v>
      </c>
      <c r="G270" s="350">
        <v>22555.840216971719</v>
      </c>
      <c r="H270" s="348">
        <v>4299335.3777484149</v>
      </c>
      <c r="I270" s="369"/>
      <c r="J270" s="350">
        <v>5934001.123584725</v>
      </c>
      <c r="K270" s="350">
        <v>1779102.2978194454</v>
      </c>
      <c r="L270" s="350">
        <v>1798027.175250584</v>
      </c>
      <c r="M270" s="350">
        <v>1815508.3793643056</v>
      </c>
      <c r="N270" s="350">
        <v>1831497.1144082891</v>
      </c>
      <c r="O270" s="348">
        <v>13158136.09042735</v>
      </c>
      <c r="P270" s="369"/>
      <c r="Q270" s="350">
        <f t="shared" si="117"/>
        <v>1731751.1545326216</v>
      </c>
      <c r="R270" s="350">
        <f t="shared" si="118"/>
        <v>1753145.1140764158</v>
      </c>
      <c r="S270" s="350">
        <f t="shared" si="119"/>
        <v>1773174.0826425946</v>
      </c>
      <c r="T270" s="350">
        <f t="shared" si="120"/>
        <v>1791789.0872359856</v>
      </c>
      <c r="U270" s="350">
        <f t="shared" si="121"/>
        <v>1808941.2741913174</v>
      </c>
      <c r="V270" s="350">
        <f t="shared" si="122"/>
        <v>8858800.7126789354</v>
      </c>
      <c r="W270" s="365"/>
      <c r="X270" s="377">
        <f t="shared" si="100"/>
        <v>0</v>
      </c>
      <c r="Y270" s="377">
        <f t="shared" si="101"/>
        <v>0</v>
      </c>
      <c r="Z270" s="377">
        <f t="shared" si="102"/>
        <v>0</v>
      </c>
      <c r="AA270" s="377">
        <f t="shared" si="103"/>
        <v>0</v>
      </c>
      <c r="AB270" s="377">
        <f t="shared" si="104"/>
        <v>0</v>
      </c>
      <c r="AC270" s="377">
        <f t="shared" si="105"/>
        <v>0</v>
      </c>
      <c r="AD270" s="376"/>
      <c r="AE270" s="332">
        <v>255</v>
      </c>
      <c r="AF270" s="350">
        <v>5241789.8296710597</v>
      </c>
      <c r="AG270" s="350">
        <v>32378.393182974276</v>
      </c>
      <c r="AH270" s="350">
        <v>31001.175329373586</v>
      </c>
      <c r="AI270" s="350">
        <v>29586.898723511327</v>
      </c>
      <c r="AJ270" s="350">
        <v>28135.635604674597</v>
      </c>
      <c r="AK270" s="348">
        <v>5362891.9325115932</v>
      </c>
      <c r="AL270" s="369"/>
      <c r="AM270" s="350">
        <v>8047273.6828627028</v>
      </c>
      <c r="AN270" s="350">
        <v>2872521.0412591202</v>
      </c>
      <c r="AO270" s="350">
        <v>2903591.295873736</v>
      </c>
      <c r="AP270" s="350">
        <v>2932333.8317389688</v>
      </c>
      <c r="AQ270" s="350">
        <v>2958669.5768309599</v>
      </c>
      <c r="AR270" s="348">
        <v>19714389.428565487</v>
      </c>
      <c r="AS270" s="369"/>
      <c r="AT270" s="350">
        <f t="shared" si="123"/>
        <v>2805483.853191643</v>
      </c>
      <c r="AU270" s="350">
        <f t="shared" si="106"/>
        <v>2840142.6480761459</v>
      </c>
      <c r="AV270" s="350">
        <f t="shared" si="107"/>
        <v>2872590.1205443623</v>
      </c>
      <c r="AW270" s="350">
        <f t="shared" si="108"/>
        <v>2902746.9330154574</v>
      </c>
      <c r="AX270" s="350">
        <f t="shared" si="109"/>
        <v>2930533.9412262854</v>
      </c>
      <c r="AY270" s="350">
        <f t="shared" si="110"/>
        <v>14351497.496053893</v>
      </c>
      <c r="AZ270" s="365"/>
      <c r="BA270" s="377">
        <f t="shared" si="111"/>
        <v>0</v>
      </c>
      <c r="BB270" s="377">
        <f t="shared" si="112"/>
        <v>0</v>
      </c>
      <c r="BC270" s="377">
        <f t="shared" si="113"/>
        <v>0</v>
      </c>
      <c r="BD270" s="377">
        <f t="shared" si="114"/>
        <v>0</v>
      </c>
      <c r="BE270" s="377">
        <f t="shared" si="115"/>
        <v>0</v>
      </c>
      <c r="BF270" s="377">
        <f t="shared" si="116"/>
        <v>0</v>
      </c>
      <c r="BG270" s="328"/>
    </row>
    <row r="271" spans="2:59">
      <c r="B271" s="332">
        <v>256</v>
      </c>
      <c r="C271" s="350">
        <v>5234833.4151863689</v>
      </c>
      <c r="D271" s="350">
        <v>32335.423599942395</v>
      </c>
      <c r="E271" s="350">
        <v>30960.033461402123</v>
      </c>
      <c r="F271" s="350">
        <v>29547.633751522128</v>
      </c>
      <c r="G271" s="350">
        <v>28098.296613716047</v>
      </c>
      <c r="H271" s="348">
        <v>5355774.802612951</v>
      </c>
      <c r="I271" s="369"/>
      <c r="J271" s="350">
        <v>6719608.2203249345</v>
      </c>
      <c r="K271" s="350">
        <v>1535453.055899119</v>
      </c>
      <c r="L271" s="350">
        <v>1551250.1722273054</v>
      </c>
      <c r="M271" s="350">
        <v>1565797.969653985</v>
      </c>
      <c r="N271" s="350">
        <v>1579054.6339977696</v>
      </c>
      <c r="O271" s="348">
        <v>12951164.052103113</v>
      </c>
      <c r="P271" s="369"/>
      <c r="Q271" s="350">
        <f t="shared" si="117"/>
        <v>1484774.8051385656</v>
      </c>
      <c r="R271" s="350">
        <f t="shared" si="118"/>
        <v>1503117.6322991767</v>
      </c>
      <c r="S271" s="350">
        <f t="shared" si="119"/>
        <v>1520290.1387659032</v>
      </c>
      <c r="T271" s="350">
        <f t="shared" si="120"/>
        <v>1536250.3359024629</v>
      </c>
      <c r="U271" s="350">
        <f t="shared" si="121"/>
        <v>1550956.3373840535</v>
      </c>
      <c r="V271" s="350">
        <f t="shared" si="122"/>
        <v>7595389.2494901624</v>
      </c>
      <c r="W271" s="365"/>
      <c r="X271" s="377">
        <f t="shared" si="100"/>
        <v>0</v>
      </c>
      <c r="Y271" s="377">
        <f t="shared" si="101"/>
        <v>0</v>
      </c>
      <c r="Z271" s="377">
        <f t="shared" si="102"/>
        <v>0</v>
      </c>
      <c r="AA271" s="377">
        <f t="shared" si="103"/>
        <v>0</v>
      </c>
      <c r="AB271" s="377">
        <f t="shared" si="104"/>
        <v>0</v>
      </c>
      <c r="AC271" s="377">
        <f t="shared" si="105"/>
        <v>0</v>
      </c>
      <c r="AD271" s="376"/>
      <c r="AE271" s="332">
        <v>256</v>
      </c>
      <c r="AF271" s="350">
        <v>7363937.3976953886</v>
      </c>
      <c r="AG271" s="350">
        <v>45486.840980870489</v>
      </c>
      <c r="AH271" s="350">
        <v>43552.054126292147</v>
      </c>
      <c r="AI271" s="350">
        <v>41565.205220287855</v>
      </c>
      <c r="AJ271" s="350">
        <v>39526.395748338204</v>
      </c>
      <c r="AK271" s="348">
        <v>7534067.8937711781</v>
      </c>
      <c r="AL271" s="369"/>
      <c r="AM271" s="350">
        <v>10056131.745280461</v>
      </c>
      <c r="AN271" s="350">
        <v>2770940.4110619184</v>
      </c>
      <c r="AO271" s="350">
        <v>2800142.820692352</v>
      </c>
      <c r="AP271" s="350">
        <v>2827095.0084461067</v>
      </c>
      <c r="AQ271" s="350">
        <v>2851721.1275056023</v>
      </c>
      <c r="AR271" s="348">
        <v>21306031.112986438</v>
      </c>
      <c r="AS271" s="369"/>
      <c r="AT271" s="350">
        <f t="shared" si="123"/>
        <v>2692194.3475850727</v>
      </c>
      <c r="AU271" s="350">
        <f t="shared" si="106"/>
        <v>2725453.5700810477</v>
      </c>
      <c r="AV271" s="350">
        <f t="shared" si="107"/>
        <v>2756590.76656606</v>
      </c>
      <c r="AW271" s="350">
        <f t="shared" si="108"/>
        <v>2785529.803225819</v>
      </c>
      <c r="AX271" s="350">
        <f t="shared" si="109"/>
        <v>2812194.7317572641</v>
      </c>
      <c r="AY271" s="350">
        <f t="shared" si="110"/>
        <v>13771963.219215259</v>
      </c>
      <c r="AZ271" s="365"/>
      <c r="BA271" s="377">
        <f t="shared" si="111"/>
        <v>0</v>
      </c>
      <c r="BB271" s="377">
        <f t="shared" si="112"/>
        <v>0</v>
      </c>
      <c r="BC271" s="377">
        <f t="shared" si="113"/>
        <v>0</v>
      </c>
      <c r="BD271" s="377">
        <f t="shared" si="114"/>
        <v>0</v>
      </c>
      <c r="BE271" s="377">
        <f t="shared" si="115"/>
        <v>0</v>
      </c>
      <c r="BF271" s="377">
        <f t="shared" si="116"/>
        <v>0</v>
      </c>
      <c r="BG271" s="328"/>
    </row>
    <row r="272" spans="2:59">
      <c r="B272" s="332">
        <v>257</v>
      </c>
      <c r="C272" s="350">
        <v>5866306.0859953919</v>
      </c>
      <c r="D272" s="350">
        <v>36236.013109277868</v>
      </c>
      <c r="E272" s="350">
        <v>34694.711046650868</v>
      </c>
      <c r="F272" s="350">
        <v>33111.934985451247</v>
      </c>
      <c r="G272" s="350">
        <v>31487.765771679144</v>
      </c>
      <c r="H272" s="348">
        <v>6001836.5109084519</v>
      </c>
      <c r="I272" s="369"/>
      <c r="J272" s="350">
        <v>7418131.4888556199</v>
      </c>
      <c r="K272" s="350">
        <v>1607232.5825663505</v>
      </c>
      <c r="L272" s="350">
        <v>1623639.2761685366</v>
      </c>
      <c r="M272" s="350">
        <v>1638737.4400488357</v>
      </c>
      <c r="N272" s="350">
        <v>1652483.3771937222</v>
      </c>
      <c r="O272" s="348">
        <v>13940224.164833065</v>
      </c>
      <c r="P272" s="369"/>
      <c r="Q272" s="350">
        <f t="shared" si="117"/>
        <v>1551825.402860228</v>
      </c>
      <c r="R272" s="350">
        <f t="shared" si="118"/>
        <v>1570996.5694570725</v>
      </c>
      <c r="S272" s="350">
        <f t="shared" si="119"/>
        <v>1588944.5651218859</v>
      </c>
      <c r="T272" s="350">
        <f t="shared" si="120"/>
        <v>1605625.5050633845</v>
      </c>
      <c r="U272" s="350">
        <f t="shared" si="121"/>
        <v>1620995.6114220431</v>
      </c>
      <c r="V272" s="350">
        <f t="shared" si="122"/>
        <v>7938387.6539246133</v>
      </c>
      <c r="W272" s="365"/>
      <c r="X272" s="377">
        <f t="shared" ref="X272:X335" si="124">IF(Q272&lt;Q$8,1,0)</f>
        <v>0</v>
      </c>
      <c r="Y272" s="377">
        <f t="shared" ref="Y272:Y335" si="125">IF(R272&lt;R$8,1,0)</f>
        <v>0</v>
      </c>
      <c r="Z272" s="377">
        <f t="shared" ref="Z272:Z335" si="126">IF(S272&lt;S$8,1,0)</f>
        <v>0</v>
      </c>
      <c r="AA272" s="377">
        <f t="shared" ref="AA272:AA335" si="127">IF(T272&lt;T$8,1,0)</f>
        <v>0</v>
      </c>
      <c r="AB272" s="377">
        <f t="shared" ref="AB272:AB335" si="128">IF(U272&lt;U$8,1,0)</f>
        <v>0</v>
      </c>
      <c r="AC272" s="377">
        <f t="shared" ref="AC272:AC335" si="129">IF(V272&lt;V$8,1,0)</f>
        <v>0</v>
      </c>
      <c r="AD272" s="376"/>
      <c r="AE272" s="332">
        <v>257</v>
      </c>
      <c r="AF272" s="350">
        <v>7119623.1518156407</v>
      </c>
      <c r="AG272" s="350">
        <v>43977.718530268707</v>
      </c>
      <c r="AH272" s="350">
        <v>42107.122334270818</v>
      </c>
      <c r="AI272" s="350">
        <v>40186.191355855583</v>
      </c>
      <c r="AJ272" s="350">
        <v>38215.023713505208</v>
      </c>
      <c r="AK272" s="348">
        <v>7284109.20774954</v>
      </c>
      <c r="AL272" s="369"/>
      <c r="AM272" s="350">
        <v>9274035.5046546627</v>
      </c>
      <c r="AN272" s="350">
        <v>2225005.5643612556</v>
      </c>
      <c r="AO272" s="350">
        <v>2248052.3225903753</v>
      </c>
      <c r="AP272" s="350">
        <v>2269289.6818427425</v>
      </c>
      <c r="AQ272" s="350">
        <v>2288656.9630635851</v>
      </c>
      <c r="AR272" s="348">
        <v>18305040.036512621</v>
      </c>
      <c r="AS272" s="369"/>
      <c r="AT272" s="350">
        <f t="shared" si="123"/>
        <v>2154412.3528390219</v>
      </c>
      <c r="AU272" s="350">
        <f t="shared" ref="AU272:AU335" si="130">AN272-AG272</f>
        <v>2181027.8458309867</v>
      </c>
      <c r="AV272" s="350">
        <f t="shared" ref="AV272:AV335" si="131">AO272-AH272</f>
        <v>2205945.2002561046</v>
      </c>
      <c r="AW272" s="350">
        <f t="shared" ref="AW272:AW335" si="132">AP272-AI272</f>
        <v>2229103.4904868868</v>
      </c>
      <c r="AX272" s="350">
        <f t="shared" ref="AX272:AX335" si="133">AQ272-AJ272</f>
        <v>2250441.9393500797</v>
      </c>
      <c r="AY272" s="350">
        <f t="shared" ref="AY272:AY335" si="134">AR272-AK272</f>
        <v>11020930.828763081</v>
      </c>
      <c r="AZ272" s="365"/>
      <c r="BA272" s="377">
        <f t="shared" ref="BA272:BA335" si="135">IF(AT272&lt;AT$8,1,0)</f>
        <v>0</v>
      </c>
      <c r="BB272" s="377">
        <f t="shared" ref="BB272:BB335" si="136">IF(AU272&lt;AU$8,1,0)</f>
        <v>0</v>
      </c>
      <c r="BC272" s="377">
        <f t="shared" ref="BC272:BC335" si="137">IF(AV272&lt;AV$8,1,0)</f>
        <v>0</v>
      </c>
      <c r="BD272" s="377">
        <f t="shared" ref="BD272:BD335" si="138">IF(AW272&lt;AW$8,1,0)</f>
        <v>0</v>
      </c>
      <c r="BE272" s="377">
        <f t="shared" ref="BE272:BE335" si="139">IF(AX272&lt;AX$8,1,0)</f>
        <v>0</v>
      </c>
      <c r="BF272" s="377">
        <f t="shared" ref="BF272:BF335" si="140">IF(AY272&lt;AY$8,1,0)</f>
        <v>0</v>
      </c>
      <c r="BG272" s="328"/>
    </row>
    <row r="273" spans="2:59">
      <c r="B273" s="332">
        <v>258</v>
      </c>
      <c r="C273" s="350">
        <v>6968102.1333683012</v>
      </c>
      <c r="D273" s="350">
        <v>43041.777321217683</v>
      </c>
      <c r="E273" s="350">
        <v>41210.991468363085</v>
      </c>
      <c r="F273" s="350">
        <v>39330.94206640451</v>
      </c>
      <c r="G273" s="350">
        <v>37401.725145647288</v>
      </c>
      <c r="H273" s="348">
        <v>7129087.5693699345</v>
      </c>
      <c r="I273" s="369"/>
      <c r="J273" s="350">
        <v>8529186.5823108256</v>
      </c>
      <c r="K273" s="350">
        <v>1623411.7786121301</v>
      </c>
      <c r="L273" s="350">
        <v>1639636.0760633559</v>
      </c>
      <c r="M273" s="350">
        <v>1654536.4942890194</v>
      </c>
      <c r="N273" s="350">
        <v>1668069.09025705</v>
      </c>
      <c r="O273" s="348">
        <v>15114840.021532381</v>
      </c>
      <c r="P273" s="369"/>
      <c r="Q273" s="350">
        <f t="shared" ref="Q273:Q336" si="141">J273-C273</f>
        <v>1561084.4489425244</v>
      </c>
      <c r="R273" s="350">
        <f t="shared" ref="R273:R336" si="142">K273-D273</f>
        <v>1580370.0012909125</v>
      </c>
      <c r="S273" s="350">
        <f t="shared" ref="S273:S336" si="143">L273-E273</f>
        <v>1598425.0845949929</v>
      </c>
      <c r="T273" s="350">
        <f t="shared" ref="T273:T336" si="144">M273-F273</f>
        <v>1615205.5522226149</v>
      </c>
      <c r="U273" s="350">
        <f t="shared" ref="U273:U336" si="145">N273-G273</f>
        <v>1630667.3651114027</v>
      </c>
      <c r="V273" s="350">
        <f t="shared" ref="V273:V336" si="146">O273-H273</f>
        <v>7985752.4521624465</v>
      </c>
      <c r="W273" s="365"/>
      <c r="X273" s="377">
        <f t="shared" si="124"/>
        <v>0</v>
      </c>
      <c r="Y273" s="377">
        <f t="shared" si="125"/>
        <v>0</v>
      </c>
      <c r="Z273" s="377">
        <f t="shared" si="126"/>
        <v>0</v>
      </c>
      <c r="AA273" s="377">
        <f t="shared" si="127"/>
        <v>0</v>
      </c>
      <c r="AB273" s="377">
        <f t="shared" si="128"/>
        <v>0</v>
      </c>
      <c r="AC273" s="377">
        <f t="shared" si="129"/>
        <v>0</v>
      </c>
      <c r="AD273" s="376"/>
      <c r="AE273" s="332">
        <v>258</v>
      </c>
      <c r="AF273" s="350">
        <v>6684612.6235157885</v>
      </c>
      <c r="AG273" s="350">
        <v>41290.670330758294</v>
      </c>
      <c r="AH273" s="350">
        <v>39534.367970559746</v>
      </c>
      <c r="AI273" s="350">
        <v>37730.806294131879</v>
      </c>
      <c r="AJ273" s="350">
        <v>35880.077424899646</v>
      </c>
      <c r="AK273" s="348">
        <v>6839048.5455361381</v>
      </c>
      <c r="AL273" s="369"/>
      <c r="AM273" s="350">
        <v>8666894.3352220692</v>
      </c>
      <c r="AN273" s="350">
        <v>2048061.382453552</v>
      </c>
      <c r="AO273" s="350">
        <v>2069231.6177712181</v>
      </c>
      <c r="AP273" s="350">
        <v>2088736.0731688517</v>
      </c>
      <c r="AQ273" s="350">
        <v>2106518.9194979556</v>
      </c>
      <c r="AR273" s="348">
        <v>16979442.328113645</v>
      </c>
      <c r="AS273" s="369"/>
      <c r="AT273" s="350">
        <f t="shared" ref="AT273:AT336" si="147">AM273-AF273</f>
        <v>1982281.7117062807</v>
      </c>
      <c r="AU273" s="350">
        <f t="shared" si="130"/>
        <v>2006770.7121227938</v>
      </c>
      <c r="AV273" s="350">
        <f t="shared" si="131"/>
        <v>2029697.2498006583</v>
      </c>
      <c r="AW273" s="350">
        <f t="shared" si="132"/>
        <v>2051005.2668747199</v>
      </c>
      <c r="AX273" s="350">
        <f t="shared" si="133"/>
        <v>2070638.8420730559</v>
      </c>
      <c r="AY273" s="350">
        <f t="shared" si="134"/>
        <v>10140393.782577507</v>
      </c>
      <c r="AZ273" s="365"/>
      <c r="BA273" s="377">
        <f t="shared" si="135"/>
        <v>0</v>
      </c>
      <c r="BB273" s="377">
        <f t="shared" si="136"/>
        <v>0</v>
      </c>
      <c r="BC273" s="377">
        <f t="shared" si="137"/>
        <v>0</v>
      </c>
      <c r="BD273" s="377">
        <f t="shared" si="138"/>
        <v>0</v>
      </c>
      <c r="BE273" s="377">
        <f t="shared" si="139"/>
        <v>0</v>
      </c>
      <c r="BF273" s="377">
        <f t="shared" si="140"/>
        <v>0</v>
      </c>
      <c r="BG273" s="328"/>
    </row>
    <row r="274" spans="2:59">
      <c r="B274" s="332">
        <v>259</v>
      </c>
      <c r="C274" s="350">
        <v>5899935.0842470443</v>
      </c>
      <c r="D274" s="350">
        <v>36443.738516652134</v>
      </c>
      <c r="E274" s="350">
        <v>34893.600835220321</v>
      </c>
      <c r="F274" s="350">
        <v>33301.751402701208</v>
      </c>
      <c r="G274" s="350">
        <v>31668.271528549398</v>
      </c>
      <c r="H274" s="348">
        <v>6036242.446530167</v>
      </c>
      <c r="I274" s="369"/>
      <c r="J274" s="350">
        <v>8043829.6190330163</v>
      </c>
      <c r="K274" s="350">
        <v>2206823.8297426002</v>
      </c>
      <c r="L274" s="350">
        <v>2230069.4002286172</v>
      </c>
      <c r="M274" s="350">
        <v>2251522.7825017781</v>
      </c>
      <c r="N274" s="350">
        <v>2271123.5774118057</v>
      </c>
      <c r="O274" s="348">
        <v>17003369.208917815</v>
      </c>
      <c r="P274" s="369"/>
      <c r="Q274" s="350">
        <f t="shared" si="141"/>
        <v>2143894.534785972</v>
      </c>
      <c r="R274" s="350">
        <f t="shared" si="142"/>
        <v>2170380.0912259482</v>
      </c>
      <c r="S274" s="350">
        <f t="shared" si="143"/>
        <v>2195175.7993933968</v>
      </c>
      <c r="T274" s="350">
        <f t="shared" si="144"/>
        <v>2218221.0310990768</v>
      </c>
      <c r="U274" s="350">
        <f t="shared" si="145"/>
        <v>2239455.3058832563</v>
      </c>
      <c r="V274" s="350">
        <f t="shared" si="146"/>
        <v>10967126.762387648</v>
      </c>
      <c r="W274" s="365"/>
      <c r="X274" s="377">
        <f t="shared" si="124"/>
        <v>0</v>
      </c>
      <c r="Y274" s="377">
        <f t="shared" si="125"/>
        <v>0</v>
      </c>
      <c r="Z274" s="377">
        <f t="shared" si="126"/>
        <v>0</v>
      </c>
      <c r="AA274" s="377">
        <f t="shared" si="127"/>
        <v>0</v>
      </c>
      <c r="AB274" s="377">
        <f t="shared" si="128"/>
        <v>0</v>
      </c>
      <c r="AC274" s="377">
        <f t="shared" si="129"/>
        <v>0</v>
      </c>
      <c r="AD274" s="376"/>
      <c r="AE274" s="332">
        <v>259</v>
      </c>
      <c r="AF274" s="350">
        <v>6105580.0212354949</v>
      </c>
      <c r="AG274" s="350">
        <v>37714.00169817287</v>
      </c>
      <c r="AH274" s="350">
        <v>36109.833258560386</v>
      </c>
      <c r="AI274" s="350">
        <v>34462.499185689499</v>
      </c>
      <c r="AJ274" s="350">
        <v>32772.083623093662</v>
      </c>
      <c r="AK274" s="348">
        <v>6246638.4390010107</v>
      </c>
      <c r="AL274" s="369"/>
      <c r="AM274" s="350">
        <v>7879408.788922661</v>
      </c>
      <c r="AN274" s="350">
        <v>1833456.5534727301</v>
      </c>
      <c r="AO274" s="350">
        <v>1852368.0119676231</v>
      </c>
      <c r="AP274" s="350">
        <v>1869787.984748835</v>
      </c>
      <c r="AQ274" s="350">
        <v>1885666.5152617062</v>
      </c>
      <c r="AR274" s="348">
        <v>15320687.854373556</v>
      </c>
      <c r="AS274" s="369"/>
      <c r="AT274" s="350">
        <f t="shared" si="147"/>
        <v>1773828.7676871661</v>
      </c>
      <c r="AU274" s="350">
        <f t="shared" si="130"/>
        <v>1795742.5517745572</v>
      </c>
      <c r="AV274" s="350">
        <f t="shared" si="131"/>
        <v>1816258.1787090627</v>
      </c>
      <c r="AW274" s="350">
        <f t="shared" si="132"/>
        <v>1835325.4855631455</v>
      </c>
      <c r="AX274" s="350">
        <f t="shared" si="133"/>
        <v>1852894.4316386126</v>
      </c>
      <c r="AY274" s="350">
        <f t="shared" si="134"/>
        <v>9074049.4153725449</v>
      </c>
      <c r="AZ274" s="365"/>
      <c r="BA274" s="377">
        <f t="shared" si="135"/>
        <v>0</v>
      </c>
      <c r="BB274" s="377">
        <f t="shared" si="136"/>
        <v>0</v>
      </c>
      <c r="BC274" s="377">
        <f t="shared" si="137"/>
        <v>0</v>
      </c>
      <c r="BD274" s="377">
        <f t="shared" si="138"/>
        <v>0</v>
      </c>
      <c r="BE274" s="377">
        <f t="shared" si="139"/>
        <v>0</v>
      </c>
      <c r="BF274" s="377">
        <f t="shared" si="140"/>
        <v>0</v>
      </c>
      <c r="BG274" s="328"/>
    </row>
    <row r="275" spans="2:59">
      <c r="B275" s="332">
        <v>260</v>
      </c>
      <c r="C275" s="350">
        <v>5929733.2632214865</v>
      </c>
      <c r="D275" s="350">
        <v>36627.801057562945</v>
      </c>
      <c r="E275" s="350">
        <v>35069.834259471121</v>
      </c>
      <c r="F275" s="350">
        <v>33469.945041154177</v>
      </c>
      <c r="G275" s="350">
        <v>31828.215122733087</v>
      </c>
      <c r="H275" s="348">
        <v>6066729.0587024083</v>
      </c>
      <c r="I275" s="369"/>
      <c r="J275" s="350">
        <v>7257614.8345344355</v>
      </c>
      <c r="K275" s="350">
        <v>1380913.9490565215</v>
      </c>
      <c r="L275" s="350">
        <v>1394713.9037368272</v>
      </c>
      <c r="M275" s="350">
        <v>1407387.7290096313</v>
      </c>
      <c r="N275" s="350">
        <v>1418898.04631583</v>
      </c>
      <c r="O275" s="348">
        <v>12859528.462653248</v>
      </c>
      <c r="P275" s="369"/>
      <c r="Q275" s="350">
        <f t="shared" si="141"/>
        <v>1327881.5713129491</v>
      </c>
      <c r="R275" s="350">
        <f t="shared" si="142"/>
        <v>1344286.1479989586</v>
      </c>
      <c r="S275" s="350">
        <f t="shared" si="143"/>
        <v>1359644.069477356</v>
      </c>
      <c r="T275" s="350">
        <f t="shared" si="144"/>
        <v>1373917.783968477</v>
      </c>
      <c r="U275" s="350">
        <f t="shared" si="145"/>
        <v>1387069.8311930969</v>
      </c>
      <c r="V275" s="350">
        <f t="shared" si="146"/>
        <v>6792799.4039508393</v>
      </c>
      <c r="W275" s="365"/>
      <c r="X275" s="377">
        <f t="shared" si="124"/>
        <v>0</v>
      </c>
      <c r="Y275" s="377">
        <f t="shared" si="125"/>
        <v>0</v>
      </c>
      <c r="Z275" s="377">
        <f t="shared" si="126"/>
        <v>0</v>
      </c>
      <c r="AA275" s="377">
        <f t="shared" si="127"/>
        <v>0</v>
      </c>
      <c r="AB275" s="377">
        <f t="shared" si="128"/>
        <v>0</v>
      </c>
      <c r="AC275" s="377">
        <f t="shared" si="129"/>
        <v>0</v>
      </c>
      <c r="AD275" s="376"/>
      <c r="AE275" s="332">
        <v>260</v>
      </c>
      <c r="AF275" s="350">
        <v>6571426.1793121174</v>
      </c>
      <c r="AG275" s="350">
        <v>40591.520743976987</v>
      </c>
      <c r="AH275" s="350">
        <v>38864.956774063314</v>
      </c>
      <c r="AI275" s="350">
        <v>37091.933700925307</v>
      </c>
      <c r="AJ275" s="350">
        <v>35272.542088118425</v>
      </c>
      <c r="AK275" s="348">
        <v>6723247.1326192021</v>
      </c>
      <c r="AL275" s="369"/>
      <c r="AM275" s="350">
        <v>9562544.8631218839</v>
      </c>
      <c r="AN275" s="350">
        <v>3068662.3220358798</v>
      </c>
      <c r="AO275" s="350">
        <v>3101530.2331087198</v>
      </c>
      <c r="AP275" s="350">
        <v>3131909.4554045289</v>
      </c>
      <c r="AQ275" s="350">
        <v>3159715.6983616818</v>
      </c>
      <c r="AR275" s="348">
        <v>22024362.572032697</v>
      </c>
      <c r="AS275" s="369"/>
      <c r="AT275" s="350">
        <f t="shared" si="147"/>
        <v>2991118.6838097665</v>
      </c>
      <c r="AU275" s="350">
        <f t="shared" si="130"/>
        <v>3028070.801291903</v>
      </c>
      <c r="AV275" s="350">
        <f t="shared" si="131"/>
        <v>3062665.2763346564</v>
      </c>
      <c r="AW275" s="350">
        <f t="shared" si="132"/>
        <v>3094817.5217036037</v>
      </c>
      <c r="AX275" s="350">
        <f t="shared" si="133"/>
        <v>3124443.1562735634</v>
      </c>
      <c r="AY275" s="350">
        <f t="shared" si="134"/>
        <v>15301115.439413495</v>
      </c>
      <c r="AZ275" s="365"/>
      <c r="BA275" s="377">
        <f t="shared" si="135"/>
        <v>0</v>
      </c>
      <c r="BB275" s="377">
        <f t="shared" si="136"/>
        <v>0</v>
      </c>
      <c r="BC275" s="377">
        <f t="shared" si="137"/>
        <v>0</v>
      </c>
      <c r="BD275" s="377">
        <f t="shared" si="138"/>
        <v>0</v>
      </c>
      <c r="BE275" s="377">
        <f t="shared" si="139"/>
        <v>0</v>
      </c>
      <c r="BF275" s="377">
        <f t="shared" si="140"/>
        <v>0</v>
      </c>
      <c r="BG275" s="328"/>
    </row>
    <row r="276" spans="2:59">
      <c r="B276" s="332">
        <v>261</v>
      </c>
      <c r="C276" s="350">
        <v>4467753.5362111637</v>
      </c>
      <c r="D276" s="350">
        <v>27597.192054751289</v>
      </c>
      <c r="E276" s="350">
        <v>26423.343019306256</v>
      </c>
      <c r="F276" s="350">
        <v>25217.907564559555</v>
      </c>
      <c r="G276" s="350">
        <v>23980.947262477403</v>
      </c>
      <c r="H276" s="348">
        <v>4570972.9261122588</v>
      </c>
      <c r="I276" s="369"/>
      <c r="J276" s="350">
        <v>5881046.3868288482</v>
      </c>
      <c r="K276" s="350">
        <v>1458349.7856560098</v>
      </c>
      <c r="L276" s="350">
        <v>1473521.7020070856</v>
      </c>
      <c r="M276" s="350">
        <v>1487508.0871769108</v>
      </c>
      <c r="N276" s="350">
        <v>1500269.1329584271</v>
      </c>
      <c r="O276" s="348">
        <v>11800695.094627282</v>
      </c>
      <c r="P276" s="369"/>
      <c r="Q276" s="350">
        <f t="shared" si="141"/>
        <v>1413292.8506176844</v>
      </c>
      <c r="R276" s="350">
        <f t="shared" si="142"/>
        <v>1430752.5936012585</v>
      </c>
      <c r="S276" s="350">
        <f t="shared" si="143"/>
        <v>1447098.3589877794</v>
      </c>
      <c r="T276" s="350">
        <f t="shared" si="144"/>
        <v>1462290.1796123513</v>
      </c>
      <c r="U276" s="350">
        <f t="shared" si="145"/>
        <v>1476288.1856959497</v>
      </c>
      <c r="V276" s="350">
        <f t="shared" si="146"/>
        <v>7229722.1685150228</v>
      </c>
      <c r="W276" s="365"/>
      <c r="X276" s="377">
        <f t="shared" si="124"/>
        <v>0</v>
      </c>
      <c r="Y276" s="377">
        <f t="shared" si="125"/>
        <v>0</v>
      </c>
      <c r="Z276" s="377">
        <f t="shared" si="126"/>
        <v>0</v>
      </c>
      <c r="AA276" s="377">
        <f t="shared" si="127"/>
        <v>0</v>
      </c>
      <c r="AB276" s="377">
        <f t="shared" si="128"/>
        <v>0</v>
      </c>
      <c r="AC276" s="377">
        <f t="shared" si="129"/>
        <v>0</v>
      </c>
      <c r="AD276" s="376"/>
      <c r="AE276" s="332">
        <v>261</v>
      </c>
      <c r="AF276" s="350">
        <v>8167292.2782411054</v>
      </c>
      <c r="AG276" s="350">
        <v>50449.142223956143</v>
      </c>
      <c r="AH276" s="350">
        <v>48303.283441617197</v>
      </c>
      <c r="AI276" s="350">
        <v>46099.682996409516</v>
      </c>
      <c r="AJ276" s="350">
        <v>43838.453445182495</v>
      </c>
      <c r="AK276" s="348">
        <v>8355982.8403482707</v>
      </c>
      <c r="AL276" s="369"/>
      <c r="AM276" s="350">
        <v>9971058.6056680381</v>
      </c>
      <c r="AN276" s="350">
        <v>1876499.1007224929</v>
      </c>
      <c r="AO276" s="350">
        <v>1895215.1186469821</v>
      </c>
      <c r="AP276" s="350">
        <v>1912400.6309981325</v>
      </c>
      <c r="AQ276" s="350">
        <v>1928004.8650793559</v>
      </c>
      <c r="AR276" s="348">
        <v>17583178.321115002</v>
      </c>
      <c r="AS276" s="369"/>
      <c r="AT276" s="350">
        <f t="shared" si="147"/>
        <v>1803766.3274269328</v>
      </c>
      <c r="AU276" s="350">
        <f t="shared" si="130"/>
        <v>1826049.9584985368</v>
      </c>
      <c r="AV276" s="350">
        <f t="shared" si="131"/>
        <v>1846911.835205365</v>
      </c>
      <c r="AW276" s="350">
        <f t="shared" si="132"/>
        <v>1866300.948001723</v>
      </c>
      <c r="AX276" s="350">
        <f t="shared" si="133"/>
        <v>1884166.4116341735</v>
      </c>
      <c r="AY276" s="350">
        <f t="shared" si="134"/>
        <v>9227195.4807667322</v>
      </c>
      <c r="AZ276" s="365"/>
      <c r="BA276" s="377">
        <f t="shared" si="135"/>
        <v>0</v>
      </c>
      <c r="BB276" s="377">
        <f t="shared" si="136"/>
        <v>0</v>
      </c>
      <c r="BC276" s="377">
        <f t="shared" si="137"/>
        <v>0</v>
      </c>
      <c r="BD276" s="377">
        <f t="shared" si="138"/>
        <v>0</v>
      </c>
      <c r="BE276" s="377">
        <f t="shared" si="139"/>
        <v>0</v>
      </c>
      <c r="BF276" s="377">
        <f t="shared" si="140"/>
        <v>0</v>
      </c>
      <c r="BG276" s="328"/>
    </row>
    <row r="277" spans="2:59">
      <c r="B277" s="332">
        <v>262</v>
      </c>
      <c r="C277" s="350">
        <v>8520826.5022909846</v>
      </c>
      <c r="D277" s="350">
        <v>52632.913508555197</v>
      </c>
      <c r="E277" s="350">
        <v>50394.167819060909</v>
      </c>
      <c r="F277" s="350">
        <v>48095.181027071565</v>
      </c>
      <c r="G277" s="350">
        <v>45736.070561639222</v>
      </c>
      <c r="H277" s="348">
        <v>8717684.8352073114</v>
      </c>
      <c r="I277" s="369"/>
      <c r="J277" s="350">
        <v>10858928.716785286</v>
      </c>
      <c r="K277" s="350">
        <v>2419619.9155517044</v>
      </c>
      <c r="L277" s="350">
        <v>2444423.0318734166</v>
      </c>
      <c r="M277" s="350">
        <v>2467256.8612765865</v>
      </c>
      <c r="N277" s="350">
        <v>2488055.5620236499</v>
      </c>
      <c r="O277" s="348">
        <v>20678284.087510642</v>
      </c>
      <c r="P277" s="369"/>
      <c r="Q277" s="350">
        <f t="shared" si="141"/>
        <v>2338102.214494301</v>
      </c>
      <c r="R277" s="350">
        <f t="shared" si="142"/>
        <v>2366987.002043149</v>
      </c>
      <c r="S277" s="350">
        <f t="shared" si="143"/>
        <v>2394028.8640543558</v>
      </c>
      <c r="T277" s="350">
        <f t="shared" si="144"/>
        <v>2419161.680249515</v>
      </c>
      <c r="U277" s="350">
        <f t="shared" si="145"/>
        <v>2442319.4914620109</v>
      </c>
      <c r="V277" s="350">
        <f t="shared" si="146"/>
        <v>11960599.25230333</v>
      </c>
      <c r="W277" s="365"/>
      <c r="X277" s="377">
        <f t="shared" si="124"/>
        <v>0</v>
      </c>
      <c r="Y277" s="377">
        <f t="shared" si="125"/>
        <v>0</v>
      </c>
      <c r="Z277" s="377">
        <f t="shared" si="126"/>
        <v>0</v>
      </c>
      <c r="AA277" s="377">
        <f t="shared" si="127"/>
        <v>0</v>
      </c>
      <c r="AB277" s="377">
        <f t="shared" si="128"/>
        <v>0</v>
      </c>
      <c r="AC277" s="377">
        <f t="shared" si="129"/>
        <v>0</v>
      </c>
      <c r="AD277" s="376"/>
      <c r="AE277" s="332">
        <v>262</v>
      </c>
      <c r="AF277" s="350">
        <v>8231139.7718089866</v>
      </c>
      <c r="AG277" s="350">
        <v>50843.526454852356</v>
      </c>
      <c r="AH277" s="350">
        <v>48680.89250393238</v>
      </c>
      <c r="AI277" s="350">
        <v>46460.06549691617</v>
      </c>
      <c r="AJ277" s="350">
        <v>44181.158870555308</v>
      </c>
      <c r="AK277" s="348">
        <v>8421305.415135242</v>
      </c>
      <c r="AL277" s="369"/>
      <c r="AM277" s="350">
        <v>10916405.052288353</v>
      </c>
      <c r="AN277" s="350">
        <v>2769282.4281121618</v>
      </c>
      <c r="AO277" s="350">
        <v>2798176.850917812</v>
      </c>
      <c r="AP277" s="350">
        <v>2824820.5783820087</v>
      </c>
      <c r="AQ277" s="350">
        <v>2849137.9711112953</v>
      </c>
      <c r="AR277" s="348">
        <v>22157822.880811632</v>
      </c>
      <c r="AS277" s="369"/>
      <c r="AT277" s="350">
        <f t="shared" si="147"/>
        <v>2685265.2804793669</v>
      </c>
      <c r="AU277" s="350">
        <f t="shared" si="130"/>
        <v>2718438.9016573094</v>
      </c>
      <c r="AV277" s="350">
        <f t="shared" si="131"/>
        <v>2749495.9584138794</v>
      </c>
      <c r="AW277" s="350">
        <f t="shared" si="132"/>
        <v>2778360.5128850928</v>
      </c>
      <c r="AX277" s="350">
        <f t="shared" si="133"/>
        <v>2804956.8122407398</v>
      </c>
      <c r="AY277" s="350">
        <f t="shared" si="134"/>
        <v>13736517.46567639</v>
      </c>
      <c r="AZ277" s="365"/>
      <c r="BA277" s="377">
        <f t="shared" si="135"/>
        <v>0</v>
      </c>
      <c r="BB277" s="377">
        <f t="shared" si="136"/>
        <v>0</v>
      </c>
      <c r="BC277" s="377">
        <f t="shared" si="137"/>
        <v>0</v>
      </c>
      <c r="BD277" s="377">
        <f t="shared" si="138"/>
        <v>0</v>
      </c>
      <c r="BE277" s="377">
        <f t="shared" si="139"/>
        <v>0</v>
      </c>
      <c r="BF277" s="377">
        <f t="shared" si="140"/>
        <v>0</v>
      </c>
      <c r="BG277" s="328"/>
    </row>
    <row r="278" spans="2:59">
      <c r="B278" s="332">
        <v>263</v>
      </c>
      <c r="C278" s="350">
        <v>4941659.4031440048</v>
      </c>
      <c r="D278" s="350">
        <v>30524.495702908029</v>
      </c>
      <c r="E278" s="350">
        <v>29226.133544642486</v>
      </c>
      <c r="F278" s="350">
        <v>27892.834516046278</v>
      </c>
      <c r="G278" s="350">
        <v>26524.666720184552</v>
      </c>
      <c r="H278" s="348">
        <v>5055827.5336277867</v>
      </c>
      <c r="I278" s="369"/>
      <c r="J278" s="350">
        <v>6608400.3396696374</v>
      </c>
      <c r="K278" s="350">
        <v>1717856.2590760845</v>
      </c>
      <c r="L278" s="350">
        <v>1735834.9747694847</v>
      </c>
      <c r="M278" s="350">
        <v>1752417.8700556469</v>
      </c>
      <c r="N278" s="350">
        <v>1767557.9933468555</v>
      </c>
      <c r="O278" s="348">
        <v>13582067.436917709</v>
      </c>
      <c r="P278" s="369"/>
      <c r="Q278" s="350">
        <f t="shared" si="141"/>
        <v>1666740.9365256326</v>
      </c>
      <c r="R278" s="350">
        <f t="shared" si="142"/>
        <v>1687331.7633731763</v>
      </c>
      <c r="S278" s="350">
        <f t="shared" si="143"/>
        <v>1706608.8412248422</v>
      </c>
      <c r="T278" s="350">
        <f t="shared" si="144"/>
        <v>1724525.0355396005</v>
      </c>
      <c r="U278" s="350">
        <f t="shared" si="145"/>
        <v>1741033.326626671</v>
      </c>
      <c r="V278" s="350">
        <f t="shared" si="146"/>
        <v>8526239.9032899216</v>
      </c>
      <c r="W278" s="365"/>
      <c r="X278" s="377">
        <f t="shared" si="124"/>
        <v>0</v>
      </c>
      <c r="Y278" s="377">
        <f t="shared" si="125"/>
        <v>0</v>
      </c>
      <c r="Z278" s="377">
        <f t="shared" si="126"/>
        <v>0</v>
      </c>
      <c r="AA278" s="377">
        <f t="shared" si="127"/>
        <v>0</v>
      </c>
      <c r="AB278" s="377">
        <f t="shared" si="128"/>
        <v>0</v>
      </c>
      <c r="AC278" s="377">
        <f t="shared" si="129"/>
        <v>0</v>
      </c>
      <c r="AD278" s="376"/>
      <c r="AE278" s="332">
        <v>263</v>
      </c>
      <c r="AF278" s="350">
        <v>5400053.974989932</v>
      </c>
      <c r="AG278" s="350">
        <v>33355.986503275402</v>
      </c>
      <c r="AH278" s="350">
        <v>31937.186630247794</v>
      </c>
      <c r="AI278" s="350">
        <v>30480.209098645384</v>
      </c>
      <c r="AJ278" s="350">
        <v>28985.128328853276</v>
      </c>
      <c r="AK278" s="348">
        <v>5524812.485550954</v>
      </c>
      <c r="AL278" s="369"/>
      <c r="AM278" s="350">
        <v>7250232.2864815332</v>
      </c>
      <c r="AN278" s="350">
        <v>1906391.3001924814</v>
      </c>
      <c r="AO278" s="350">
        <v>1926371.1655639953</v>
      </c>
      <c r="AP278" s="350">
        <v>1944802.1942721242</v>
      </c>
      <c r="AQ278" s="350">
        <v>1961632.2661758815</v>
      </c>
      <c r="AR278" s="348">
        <v>14989429.212686013</v>
      </c>
      <c r="AS278" s="369"/>
      <c r="AT278" s="350">
        <f t="shared" si="147"/>
        <v>1850178.3114916012</v>
      </c>
      <c r="AU278" s="350">
        <f t="shared" si="130"/>
        <v>1873035.313689206</v>
      </c>
      <c r="AV278" s="350">
        <f t="shared" si="131"/>
        <v>1894433.9789337474</v>
      </c>
      <c r="AW278" s="350">
        <f t="shared" si="132"/>
        <v>1914321.9851734787</v>
      </c>
      <c r="AX278" s="350">
        <f t="shared" si="133"/>
        <v>1932647.1378470282</v>
      </c>
      <c r="AY278" s="350">
        <f t="shared" si="134"/>
        <v>9464616.7271350585</v>
      </c>
      <c r="AZ278" s="365"/>
      <c r="BA278" s="377">
        <f t="shared" si="135"/>
        <v>0</v>
      </c>
      <c r="BB278" s="377">
        <f t="shared" si="136"/>
        <v>0</v>
      </c>
      <c r="BC278" s="377">
        <f t="shared" si="137"/>
        <v>0</v>
      </c>
      <c r="BD278" s="377">
        <f t="shared" si="138"/>
        <v>0</v>
      </c>
      <c r="BE278" s="377">
        <f t="shared" si="139"/>
        <v>0</v>
      </c>
      <c r="BF278" s="377">
        <f t="shared" si="140"/>
        <v>0</v>
      </c>
      <c r="BG278" s="328"/>
    </row>
    <row r="279" spans="2:59">
      <c r="B279" s="332">
        <v>264</v>
      </c>
      <c r="C279" s="350">
        <v>4994603.4646327905</v>
      </c>
      <c r="D279" s="350">
        <v>30851.529730462749</v>
      </c>
      <c r="E279" s="350">
        <v>29539.257150546255</v>
      </c>
      <c r="F279" s="350">
        <v>28191.673392877557</v>
      </c>
      <c r="G279" s="350">
        <v>26808.847290157224</v>
      </c>
      <c r="H279" s="348">
        <v>5109994.7721968349</v>
      </c>
      <c r="I279" s="369"/>
      <c r="J279" s="350">
        <v>6752968.0416228669</v>
      </c>
      <c r="K279" s="350">
        <v>1810938.8470374164</v>
      </c>
      <c r="L279" s="350">
        <v>1829963.3467173246</v>
      </c>
      <c r="M279" s="350">
        <v>1847516.8415539176</v>
      </c>
      <c r="N279" s="350">
        <v>1863549.7959351449</v>
      </c>
      <c r="O279" s="348">
        <v>14104936.87286667</v>
      </c>
      <c r="P279" s="369"/>
      <c r="Q279" s="350">
        <f t="shared" si="141"/>
        <v>1758364.5769900763</v>
      </c>
      <c r="R279" s="350">
        <f t="shared" si="142"/>
        <v>1780087.3173069537</v>
      </c>
      <c r="S279" s="350">
        <f t="shared" si="143"/>
        <v>1800424.0895667784</v>
      </c>
      <c r="T279" s="350">
        <f t="shared" si="144"/>
        <v>1819325.1681610402</v>
      </c>
      <c r="U279" s="350">
        <f t="shared" si="145"/>
        <v>1836740.9486449878</v>
      </c>
      <c r="V279" s="350">
        <f t="shared" si="146"/>
        <v>8994942.1006698348</v>
      </c>
      <c r="W279" s="365"/>
      <c r="X279" s="377">
        <f t="shared" si="124"/>
        <v>0</v>
      </c>
      <c r="Y279" s="377">
        <f t="shared" si="125"/>
        <v>0</v>
      </c>
      <c r="Z279" s="377">
        <f t="shared" si="126"/>
        <v>0</v>
      </c>
      <c r="AA279" s="377">
        <f t="shared" si="127"/>
        <v>0</v>
      </c>
      <c r="AB279" s="377">
        <f t="shared" si="128"/>
        <v>0</v>
      </c>
      <c r="AC279" s="377">
        <f t="shared" si="129"/>
        <v>0</v>
      </c>
      <c r="AD279" s="376"/>
      <c r="AE279" s="332">
        <v>264</v>
      </c>
      <c r="AF279" s="350">
        <v>5198919.5874363752</v>
      </c>
      <c r="AG279" s="350">
        <v>32113.584862911561</v>
      </c>
      <c r="AH279" s="350">
        <v>30747.630654916884</v>
      </c>
      <c r="AI279" s="350">
        <v>29344.920781536584</v>
      </c>
      <c r="AJ279" s="350">
        <v>27905.52689124093</v>
      </c>
      <c r="AK279" s="348">
        <v>5319031.2506269813</v>
      </c>
      <c r="AL279" s="369"/>
      <c r="AM279" s="350">
        <v>7094528.642821704</v>
      </c>
      <c r="AN279" s="350">
        <v>1951140.8913841606</v>
      </c>
      <c r="AO279" s="350">
        <v>1971699.0421982422</v>
      </c>
      <c r="AP279" s="350">
        <v>1990672.6844242457</v>
      </c>
      <c r="AQ279" s="350">
        <v>2008008.4135226593</v>
      </c>
      <c r="AR279" s="348">
        <v>15016049.674351012</v>
      </c>
      <c r="AS279" s="369"/>
      <c r="AT279" s="350">
        <f t="shared" si="147"/>
        <v>1895609.0553853288</v>
      </c>
      <c r="AU279" s="350">
        <f t="shared" si="130"/>
        <v>1919027.306521249</v>
      </c>
      <c r="AV279" s="350">
        <f t="shared" si="131"/>
        <v>1940951.4115433253</v>
      </c>
      <c r="AW279" s="350">
        <f t="shared" si="132"/>
        <v>1961327.7636427092</v>
      </c>
      <c r="AX279" s="350">
        <f t="shared" si="133"/>
        <v>1980102.8866314185</v>
      </c>
      <c r="AY279" s="350">
        <f t="shared" si="134"/>
        <v>9697018.4237240311</v>
      </c>
      <c r="AZ279" s="365"/>
      <c r="BA279" s="377">
        <f t="shared" si="135"/>
        <v>0</v>
      </c>
      <c r="BB279" s="377">
        <f t="shared" si="136"/>
        <v>0</v>
      </c>
      <c r="BC279" s="377">
        <f t="shared" si="137"/>
        <v>0</v>
      </c>
      <c r="BD279" s="377">
        <f t="shared" si="138"/>
        <v>0</v>
      </c>
      <c r="BE279" s="377">
        <f t="shared" si="139"/>
        <v>0</v>
      </c>
      <c r="BF279" s="377">
        <f t="shared" si="140"/>
        <v>0</v>
      </c>
      <c r="BG279" s="328"/>
    </row>
    <row r="280" spans="2:59">
      <c r="B280" s="332">
        <v>265</v>
      </c>
      <c r="C280" s="350">
        <v>4127268.2405588003</v>
      </c>
      <c r="D280" s="350">
        <v>25494.023645890069</v>
      </c>
      <c r="E280" s="350">
        <v>24409.633067060109</v>
      </c>
      <c r="F280" s="350">
        <v>23296.063254379027</v>
      </c>
      <c r="G280" s="350">
        <v>22153.371087447475</v>
      </c>
      <c r="H280" s="348">
        <v>4222621.331613577</v>
      </c>
      <c r="I280" s="369"/>
      <c r="J280" s="350">
        <v>5538804.5660634711</v>
      </c>
      <c r="K280" s="350">
        <v>1454468.3921184561</v>
      </c>
      <c r="L280" s="350">
        <v>1469709.451428633</v>
      </c>
      <c r="M280" s="350">
        <v>1483768.8209347648</v>
      </c>
      <c r="N280" s="350">
        <v>1496606.737289981</v>
      </c>
      <c r="O280" s="348">
        <v>11443357.967835307</v>
      </c>
      <c r="P280" s="369"/>
      <c r="Q280" s="350">
        <f t="shared" si="141"/>
        <v>1411536.3255046709</v>
      </c>
      <c r="R280" s="350">
        <f t="shared" si="142"/>
        <v>1428974.3684725659</v>
      </c>
      <c r="S280" s="350">
        <f t="shared" si="143"/>
        <v>1445299.8183615729</v>
      </c>
      <c r="T280" s="350">
        <f t="shared" si="144"/>
        <v>1460472.7576803858</v>
      </c>
      <c r="U280" s="350">
        <f t="shared" si="145"/>
        <v>1474453.3662025335</v>
      </c>
      <c r="V280" s="350">
        <f t="shared" si="146"/>
        <v>7220736.6362217302</v>
      </c>
      <c r="W280" s="365"/>
      <c r="X280" s="377">
        <f t="shared" si="124"/>
        <v>0</v>
      </c>
      <c r="Y280" s="377">
        <f t="shared" si="125"/>
        <v>0</v>
      </c>
      <c r="Z280" s="377">
        <f t="shared" si="126"/>
        <v>0</v>
      </c>
      <c r="AA280" s="377">
        <f t="shared" si="127"/>
        <v>0</v>
      </c>
      <c r="AB280" s="377">
        <f t="shared" si="128"/>
        <v>0</v>
      </c>
      <c r="AC280" s="377">
        <f t="shared" si="129"/>
        <v>0</v>
      </c>
      <c r="AD280" s="376"/>
      <c r="AE280" s="332">
        <v>265</v>
      </c>
      <c r="AF280" s="350">
        <v>8284206.0134201013</v>
      </c>
      <c r="AG280" s="350">
        <v>51171.315185698455</v>
      </c>
      <c r="AH280" s="350">
        <v>48994.738711757418</v>
      </c>
      <c r="AI280" s="350">
        <v>46759.594010494977</v>
      </c>
      <c r="AJ280" s="350">
        <v>44465.995249999789</v>
      </c>
      <c r="AK280" s="348">
        <v>8475597.6565780528</v>
      </c>
      <c r="AL280" s="369"/>
      <c r="AM280" s="350">
        <v>11410718.523037836</v>
      </c>
      <c r="AN280" s="350">
        <v>3216308.5902432362</v>
      </c>
      <c r="AO280" s="350">
        <v>3250292.4174237112</v>
      </c>
      <c r="AP280" s="350">
        <v>3281664.8984921766</v>
      </c>
      <c r="AQ280" s="350">
        <v>3310337.9469562452</v>
      </c>
      <c r="AR280" s="348">
        <v>24469322.376153201</v>
      </c>
      <c r="AS280" s="369"/>
      <c r="AT280" s="350">
        <f t="shared" si="147"/>
        <v>3126512.5096177347</v>
      </c>
      <c r="AU280" s="350">
        <f t="shared" si="130"/>
        <v>3165137.2750575375</v>
      </c>
      <c r="AV280" s="350">
        <f t="shared" si="131"/>
        <v>3201297.6787119536</v>
      </c>
      <c r="AW280" s="350">
        <f t="shared" si="132"/>
        <v>3234905.3044816814</v>
      </c>
      <c r="AX280" s="350">
        <f t="shared" si="133"/>
        <v>3265871.9517062455</v>
      </c>
      <c r="AY280" s="350">
        <f t="shared" si="134"/>
        <v>15993724.719575148</v>
      </c>
      <c r="AZ280" s="365"/>
      <c r="BA280" s="377">
        <f t="shared" si="135"/>
        <v>0</v>
      </c>
      <c r="BB280" s="377">
        <f t="shared" si="136"/>
        <v>0</v>
      </c>
      <c r="BC280" s="377">
        <f t="shared" si="137"/>
        <v>0</v>
      </c>
      <c r="BD280" s="377">
        <f t="shared" si="138"/>
        <v>0</v>
      </c>
      <c r="BE280" s="377">
        <f t="shared" si="139"/>
        <v>0</v>
      </c>
      <c r="BF280" s="377">
        <f t="shared" si="140"/>
        <v>0</v>
      </c>
      <c r="BG280" s="328"/>
    </row>
    <row r="281" spans="2:59">
      <c r="B281" s="332">
        <v>266</v>
      </c>
      <c r="C281" s="350">
        <v>5907536.0929684862</v>
      </c>
      <c r="D281" s="350">
        <v>36490.689740751281</v>
      </c>
      <c r="E281" s="350">
        <v>34938.554984797767</v>
      </c>
      <c r="F281" s="350">
        <v>33344.654739642516</v>
      </c>
      <c r="G281" s="350">
        <v>31709.070419494343</v>
      </c>
      <c r="H281" s="348">
        <v>6044019.0628531715</v>
      </c>
      <c r="I281" s="369"/>
      <c r="J281" s="350">
        <v>7506436.7980487086</v>
      </c>
      <c r="K281" s="350">
        <v>1655144.1271402205</v>
      </c>
      <c r="L281" s="350">
        <v>1672084.4483463573</v>
      </c>
      <c r="M281" s="350">
        <v>1687677.5116505227</v>
      </c>
      <c r="N281" s="350">
        <v>1701878.2925868758</v>
      </c>
      <c r="O281" s="348">
        <v>14223221.177772686</v>
      </c>
      <c r="P281" s="369"/>
      <c r="Q281" s="350">
        <f t="shared" si="141"/>
        <v>1598900.7050802223</v>
      </c>
      <c r="R281" s="350">
        <f t="shared" si="142"/>
        <v>1618653.4373994693</v>
      </c>
      <c r="S281" s="350">
        <f t="shared" si="143"/>
        <v>1637145.8933615596</v>
      </c>
      <c r="T281" s="350">
        <f t="shared" si="144"/>
        <v>1654332.8569108802</v>
      </c>
      <c r="U281" s="350">
        <f t="shared" si="145"/>
        <v>1670169.2221673816</v>
      </c>
      <c r="V281" s="350">
        <f t="shared" si="146"/>
        <v>8179202.1149195144</v>
      </c>
      <c r="W281" s="365"/>
      <c r="X281" s="377">
        <f t="shared" si="124"/>
        <v>0</v>
      </c>
      <c r="Y281" s="377">
        <f t="shared" si="125"/>
        <v>0</v>
      </c>
      <c r="Z281" s="377">
        <f t="shared" si="126"/>
        <v>0</v>
      </c>
      <c r="AA281" s="377">
        <f t="shared" si="127"/>
        <v>0</v>
      </c>
      <c r="AB281" s="377">
        <f t="shared" si="128"/>
        <v>0</v>
      </c>
      <c r="AC281" s="377">
        <f t="shared" si="129"/>
        <v>0</v>
      </c>
      <c r="AD281" s="376"/>
      <c r="AE281" s="332">
        <v>266</v>
      </c>
      <c r="AF281" s="350">
        <v>4142440.2813453567</v>
      </c>
      <c r="AG281" s="350">
        <v>25587.740929096028</v>
      </c>
      <c r="AH281" s="350">
        <v>24499.364077232265</v>
      </c>
      <c r="AI281" s="350">
        <v>23381.700727220959</v>
      </c>
      <c r="AJ281" s="350">
        <v>22234.807967754172</v>
      </c>
      <c r="AK281" s="348">
        <v>4238143.8950466597</v>
      </c>
      <c r="AL281" s="369"/>
      <c r="AM281" s="350">
        <v>5816348.6172173433</v>
      </c>
      <c r="AN281" s="350">
        <v>1720175.4493101956</v>
      </c>
      <c r="AO281" s="350">
        <v>1738447.0465250991</v>
      </c>
      <c r="AP281" s="350">
        <v>1755322.6215682672</v>
      </c>
      <c r="AQ281" s="350">
        <v>1770755.0096412795</v>
      </c>
      <c r="AR281" s="348">
        <v>12801048.744262185</v>
      </c>
      <c r="AS281" s="369"/>
      <c r="AT281" s="350">
        <f t="shared" si="147"/>
        <v>1673908.3358719866</v>
      </c>
      <c r="AU281" s="350">
        <f t="shared" si="130"/>
        <v>1694587.7083810996</v>
      </c>
      <c r="AV281" s="350">
        <f t="shared" si="131"/>
        <v>1713947.6824478668</v>
      </c>
      <c r="AW281" s="350">
        <f t="shared" si="132"/>
        <v>1731940.9208410464</v>
      </c>
      <c r="AX281" s="350">
        <f t="shared" si="133"/>
        <v>1748520.2016735254</v>
      </c>
      <c r="AY281" s="350">
        <f t="shared" si="134"/>
        <v>8562904.8492155261</v>
      </c>
      <c r="AZ281" s="365"/>
      <c r="BA281" s="377">
        <f t="shared" si="135"/>
        <v>0</v>
      </c>
      <c r="BB281" s="377">
        <f t="shared" si="136"/>
        <v>0</v>
      </c>
      <c r="BC281" s="377">
        <f t="shared" si="137"/>
        <v>0</v>
      </c>
      <c r="BD281" s="377">
        <f t="shared" si="138"/>
        <v>0</v>
      </c>
      <c r="BE281" s="377">
        <f t="shared" si="139"/>
        <v>0</v>
      </c>
      <c r="BF281" s="377">
        <f t="shared" si="140"/>
        <v>0</v>
      </c>
      <c r="BG281" s="328"/>
    </row>
    <row r="282" spans="2:59">
      <c r="B282" s="332">
        <v>267</v>
      </c>
      <c r="C282" s="350">
        <v>5803027.4944969136</v>
      </c>
      <c r="D282" s="350">
        <v>35845.142970988883</v>
      </c>
      <c r="E282" s="350">
        <v>34320.466604698107</v>
      </c>
      <c r="F282" s="350">
        <v>32754.763611002822</v>
      </c>
      <c r="G282" s="350">
        <v>31148.113963837051</v>
      </c>
      <c r="H282" s="348">
        <v>5937095.9816474402</v>
      </c>
      <c r="I282" s="369"/>
      <c r="J282" s="350">
        <v>7774176.6176915728</v>
      </c>
      <c r="K282" s="350">
        <v>2031345.7351893785</v>
      </c>
      <c r="L282" s="350">
        <v>2052618.8399733326</v>
      </c>
      <c r="M282" s="350">
        <v>2072241.4872148803</v>
      </c>
      <c r="N282" s="350">
        <v>2090158.1496725651</v>
      </c>
      <c r="O282" s="348">
        <v>16020540.829741728</v>
      </c>
      <c r="P282" s="369"/>
      <c r="Q282" s="350">
        <f t="shared" si="141"/>
        <v>1971149.1231946591</v>
      </c>
      <c r="R282" s="350">
        <f t="shared" si="142"/>
        <v>1995500.5922183895</v>
      </c>
      <c r="S282" s="350">
        <f t="shared" si="143"/>
        <v>2018298.3733686344</v>
      </c>
      <c r="T282" s="350">
        <f t="shared" si="144"/>
        <v>2039486.7236038775</v>
      </c>
      <c r="U282" s="350">
        <f t="shared" si="145"/>
        <v>2059010.035708728</v>
      </c>
      <c r="V282" s="350">
        <f t="shared" si="146"/>
        <v>10083444.848094288</v>
      </c>
      <c r="W282" s="365"/>
      <c r="X282" s="377">
        <f t="shared" si="124"/>
        <v>0</v>
      </c>
      <c r="Y282" s="377">
        <f t="shared" si="125"/>
        <v>0</v>
      </c>
      <c r="Z282" s="377">
        <f t="shared" si="126"/>
        <v>0</v>
      </c>
      <c r="AA282" s="377">
        <f t="shared" si="127"/>
        <v>0</v>
      </c>
      <c r="AB282" s="377">
        <f t="shared" si="128"/>
        <v>0</v>
      </c>
      <c r="AC282" s="377">
        <f t="shared" si="129"/>
        <v>0</v>
      </c>
      <c r="AD282" s="376"/>
      <c r="AE282" s="332">
        <v>267</v>
      </c>
      <c r="AF282" s="350">
        <v>4178088.9862190229</v>
      </c>
      <c r="AG282" s="350">
        <v>25807.942009332382</v>
      </c>
      <c r="AH282" s="350">
        <v>24710.198884800699</v>
      </c>
      <c r="AI282" s="350">
        <v>23582.917230552463</v>
      </c>
      <c r="AJ282" s="350">
        <v>22426.154626565385</v>
      </c>
      <c r="AK282" s="348">
        <v>4274616.1989702731</v>
      </c>
      <c r="AL282" s="369"/>
      <c r="AM282" s="350">
        <v>5418371.0856498964</v>
      </c>
      <c r="AN282" s="350">
        <v>1281412.4190166062</v>
      </c>
      <c r="AO282" s="350">
        <v>1294659.4454149215</v>
      </c>
      <c r="AP282" s="350">
        <v>1306864.2507164578</v>
      </c>
      <c r="AQ282" s="350">
        <v>1317991.9034518828</v>
      </c>
      <c r="AR282" s="348">
        <v>10619299.104249764</v>
      </c>
      <c r="AS282" s="369"/>
      <c r="AT282" s="350">
        <f t="shared" si="147"/>
        <v>1240282.0994308735</v>
      </c>
      <c r="AU282" s="350">
        <f t="shared" si="130"/>
        <v>1255604.4770072738</v>
      </c>
      <c r="AV282" s="350">
        <f t="shared" si="131"/>
        <v>1269949.2465301207</v>
      </c>
      <c r="AW282" s="350">
        <f t="shared" si="132"/>
        <v>1283281.3334859053</v>
      </c>
      <c r="AX282" s="350">
        <f t="shared" si="133"/>
        <v>1295565.7488253175</v>
      </c>
      <c r="AY282" s="350">
        <f t="shared" si="134"/>
        <v>6344682.9052794911</v>
      </c>
      <c r="AZ282" s="365"/>
      <c r="BA282" s="377">
        <f t="shared" si="135"/>
        <v>0</v>
      </c>
      <c r="BB282" s="377">
        <f t="shared" si="136"/>
        <v>0</v>
      </c>
      <c r="BC282" s="377">
        <f t="shared" si="137"/>
        <v>0</v>
      </c>
      <c r="BD282" s="377">
        <f t="shared" si="138"/>
        <v>0</v>
      </c>
      <c r="BE282" s="377">
        <f t="shared" si="139"/>
        <v>0</v>
      </c>
      <c r="BF282" s="377">
        <f t="shared" si="140"/>
        <v>0</v>
      </c>
      <c r="BG282" s="328"/>
    </row>
    <row r="283" spans="2:59">
      <c r="B283" s="332">
        <v>268</v>
      </c>
      <c r="C283" s="350">
        <v>5541318.0572258038</v>
      </c>
      <c r="D283" s="350">
        <v>34228.570896371944</v>
      </c>
      <c r="E283" s="350">
        <v>32772.65556804221</v>
      </c>
      <c r="F283" s="350">
        <v>31277.563862990082</v>
      </c>
      <c r="G283" s="350">
        <v>29743.372148420538</v>
      </c>
      <c r="H283" s="348">
        <v>5669340.2197016282</v>
      </c>
      <c r="I283" s="369"/>
      <c r="J283" s="350">
        <v>7540353.8373799715</v>
      </c>
      <c r="K283" s="350">
        <v>2057960.3303171215</v>
      </c>
      <c r="L283" s="350">
        <v>2079624.7257208386</v>
      </c>
      <c r="M283" s="350">
        <v>2099617.7445520628</v>
      </c>
      <c r="N283" s="350">
        <v>2117883.0692644678</v>
      </c>
      <c r="O283" s="348">
        <v>15895439.707234463</v>
      </c>
      <c r="P283" s="369"/>
      <c r="Q283" s="350">
        <f t="shared" si="141"/>
        <v>1999035.7801541677</v>
      </c>
      <c r="R283" s="350">
        <f t="shared" si="142"/>
        <v>2023731.7594207495</v>
      </c>
      <c r="S283" s="350">
        <f t="shared" si="143"/>
        <v>2046852.0701527963</v>
      </c>
      <c r="T283" s="350">
        <f t="shared" si="144"/>
        <v>2068340.1806890727</v>
      </c>
      <c r="U283" s="350">
        <f t="shared" si="145"/>
        <v>2088139.6971160474</v>
      </c>
      <c r="V283" s="350">
        <f t="shared" si="146"/>
        <v>10226099.487532835</v>
      </c>
      <c r="W283" s="365"/>
      <c r="X283" s="377">
        <f t="shared" si="124"/>
        <v>0</v>
      </c>
      <c r="Y283" s="377">
        <f t="shared" si="125"/>
        <v>0</v>
      </c>
      <c r="Z283" s="377">
        <f t="shared" si="126"/>
        <v>0</v>
      </c>
      <c r="AA283" s="377">
        <f t="shared" si="127"/>
        <v>0</v>
      </c>
      <c r="AB283" s="377">
        <f t="shared" si="128"/>
        <v>0</v>
      </c>
      <c r="AC283" s="377">
        <f t="shared" si="129"/>
        <v>0</v>
      </c>
      <c r="AD283" s="376"/>
      <c r="AE283" s="332">
        <v>268</v>
      </c>
      <c r="AF283" s="350">
        <v>6163314.2748475522</v>
      </c>
      <c r="AG283" s="350">
        <v>38070.624612162486</v>
      </c>
      <c r="AH283" s="350">
        <v>36451.287184966888</v>
      </c>
      <c r="AI283" s="350">
        <v>34788.375951069698</v>
      </c>
      <c r="AJ283" s="350">
        <v>33081.975849664537</v>
      </c>
      <c r="AK283" s="348">
        <v>6305706.5384454159</v>
      </c>
      <c r="AL283" s="369"/>
      <c r="AM283" s="350">
        <v>7844264.158710612</v>
      </c>
      <c r="AN283" s="350">
        <v>1739786.8718851057</v>
      </c>
      <c r="AO283" s="350">
        <v>1757608.9491768188</v>
      </c>
      <c r="AP283" s="350">
        <v>1774014.967608405</v>
      </c>
      <c r="AQ283" s="350">
        <v>1788957.5915859477</v>
      </c>
      <c r="AR283" s="348">
        <v>14904632.538966889</v>
      </c>
      <c r="AS283" s="369"/>
      <c r="AT283" s="350">
        <f t="shared" si="147"/>
        <v>1680949.8838630598</v>
      </c>
      <c r="AU283" s="350">
        <f t="shared" si="130"/>
        <v>1701716.2472729431</v>
      </c>
      <c r="AV283" s="350">
        <f t="shared" si="131"/>
        <v>1721157.6619918519</v>
      </c>
      <c r="AW283" s="350">
        <f t="shared" si="132"/>
        <v>1739226.5916573354</v>
      </c>
      <c r="AX283" s="350">
        <f t="shared" si="133"/>
        <v>1755875.6157362831</v>
      </c>
      <c r="AY283" s="350">
        <f t="shared" si="134"/>
        <v>8598926.0005214736</v>
      </c>
      <c r="AZ283" s="365"/>
      <c r="BA283" s="377">
        <f t="shared" si="135"/>
        <v>0</v>
      </c>
      <c r="BB283" s="377">
        <f t="shared" si="136"/>
        <v>0</v>
      </c>
      <c r="BC283" s="377">
        <f t="shared" si="137"/>
        <v>0</v>
      </c>
      <c r="BD283" s="377">
        <f t="shared" si="138"/>
        <v>0</v>
      </c>
      <c r="BE283" s="377">
        <f t="shared" si="139"/>
        <v>0</v>
      </c>
      <c r="BF283" s="377">
        <f t="shared" si="140"/>
        <v>0</v>
      </c>
      <c r="BG283" s="328"/>
    </row>
    <row r="284" spans="2:59">
      <c r="B284" s="332">
        <v>269</v>
      </c>
      <c r="C284" s="350">
        <v>6954666.9241112974</v>
      </c>
      <c r="D284" s="350">
        <v>42958.788399122372</v>
      </c>
      <c r="E284" s="350">
        <v>41131.532487499317</v>
      </c>
      <c r="F284" s="350">
        <v>39255.108011904995</v>
      </c>
      <c r="G284" s="350">
        <v>37329.610817486981</v>
      </c>
      <c r="H284" s="348">
        <v>7115341.963827312</v>
      </c>
      <c r="I284" s="369"/>
      <c r="J284" s="350">
        <v>8293003.275380156</v>
      </c>
      <c r="K284" s="350">
        <v>1397828.8741367557</v>
      </c>
      <c r="L284" s="350">
        <v>1411480.4568795068</v>
      </c>
      <c r="M284" s="350">
        <v>1423990.1278086503</v>
      </c>
      <c r="N284" s="350">
        <v>1435320.2275549362</v>
      </c>
      <c r="O284" s="348">
        <v>13961622.961760005</v>
      </c>
      <c r="P284" s="369"/>
      <c r="Q284" s="350">
        <f t="shared" si="141"/>
        <v>1338336.3512688586</v>
      </c>
      <c r="R284" s="350">
        <f t="shared" si="142"/>
        <v>1354870.0857376333</v>
      </c>
      <c r="S284" s="350">
        <f t="shared" si="143"/>
        <v>1370348.9243920075</v>
      </c>
      <c r="T284" s="350">
        <f t="shared" si="144"/>
        <v>1384735.0197967452</v>
      </c>
      <c r="U284" s="350">
        <f t="shared" si="145"/>
        <v>1397990.6167374493</v>
      </c>
      <c r="V284" s="350">
        <f t="shared" si="146"/>
        <v>6846280.997932693</v>
      </c>
      <c r="W284" s="365"/>
      <c r="X284" s="377">
        <f t="shared" si="124"/>
        <v>0</v>
      </c>
      <c r="Y284" s="377">
        <f t="shared" si="125"/>
        <v>0</v>
      </c>
      <c r="Z284" s="377">
        <f t="shared" si="126"/>
        <v>0</v>
      </c>
      <c r="AA284" s="377">
        <f t="shared" si="127"/>
        <v>0</v>
      </c>
      <c r="AB284" s="377">
        <f t="shared" si="128"/>
        <v>0</v>
      </c>
      <c r="AC284" s="377">
        <f t="shared" si="129"/>
        <v>0</v>
      </c>
      <c r="AD284" s="376"/>
      <c r="AE284" s="332">
        <v>269</v>
      </c>
      <c r="AF284" s="350">
        <v>6858171.2934215283</v>
      </c>
      <c r="AG284" s="350">
        <v>42362.737513368193</v>
      </c>
      <c r="AH284" s="350">
        <v>40560.83467955063</v>
      </c>
      <c r="AI284" s="350">
        <v>38710.445492945481</v>
      </c>
      <c r="AJ284" s="350">
        <v>36811.664468862771</v>
      </c>
      <c r="AK284" s="348">
        <v>7016616.9755762555</v>
      </c>
      <c r="AL284" s="369"/>
      <c r="AM284" s="350">
        <v>9024883.3551099449</v>
      </c>
      <c r="AN284" s="350">
        <v>2235842.2421276858</v>
      </c>
      <c r="AO284" s="350">
        <v>2259099.9488468533</v>
      </c>
      <c r="AP284" s="350">
        <v>2280540.0623836406</v>
      </c>
      <c r="AQ284" s="350">
        <v>2300101.5530984765</v>
      </c>
      <c r="AR284" s="348">
        <v>18100467.161566604</v>
      </c>
      <c r="AS284" s="369"/>
      <c r="AT284" s="350">
        <f t="shared" si="147"/>
        <v>2166712.0616884166</v>
      </c>
      <c r="AU284" s="350">
        <f t="shared" si="130"/>
        <v>2193479.5046143178</v>
      </c>
      <c r="AV284" s="350">
        <f t="shared" si="131"/>
        <v>2218539.1141673028</v>
      </c>
      <c r="AW284" s="350">
        <f t="shared" si="132"/>
        <v>2241829.6168906949</v>
      </c>
      <c r="AX284" s="350">
        <f t="shared" si="133"/>
        <v>2263289.8886296139</v>
      </c>
      <c r="AY284" s="350">
        <f t="shared" si="134"/>
        <v>11083850.185990348</v>
      </c>
      <c r="AZ284" s="365"/>
      <c r="BA284" s="377">
        <f t="shared" si="135"/>
        <v>0</v>
      </c>
      <c r="BB284" s="377">
        <f t="shared" si="136"/>
        <v>0</v>
      </c>
      <c r="BC284" s="377">
        <f t="shared" si="137"/>
        <v>0</v>
      </c>
      <c r="BD284" s="377">
        <f t="shared" si="138"/>
        <v>0</v>
      </c>
      <c r="BE284" s="377">
        <f t="shared" si="139"/>
        <v>0</v>
      </c>
      <c r="BF284" s="377">
        <f t="shared" si="140"/>
        <v>0</v>
      </c>
      <c r="BG284" s="328"/>
    </row>
    <row r="285" spans="2:59">
      <c r="B285" s="332">
        <v>270</v>
      </c>
      <c r="C285" s="350">
        <v>7571045.5504817097</v>
      </c>
      <c r="D285" s="350">
        <v>46766.142406570929</v>
      </c>
      <c r="E285" s="350">
        <v>44776.940351284924</v>
      </c>
      <c r="F285" s="350">
        <v>42734.212017663944</v>
      </c>
      <c r="G285" s="350">
        <v>40638.061745431543</v>
      </c>
      <c r="H285" s="348">
        <v>7745960.9070026604</v>
      </c>
      <c r="I285" s="369"/>
      <c r="J285" s="350">
        <v>9980917.3742196038</v>
      </c>
      <c r="K285" s="350">
        <v>2486409.3915411411</v>
      </c>
      <c r="L285" s="350">
        <v>2512292.1195145063</v>
      </c>
      <c r="M285" s="350">
        <v>2536153.6759569906</v>
      </c>
      <c r="N285" s="350">
        <v>2557926.1813810165</v>
      </c>
      <c r="O285" s="348">
        <v>20073698.74261326</v>
      </c>
      <c r="P285" s="369"/>
      <c r="Q285" s="350">
        <f t="shared" si="141"/>
        <v>2409871.8237378942</v>
      </c>
      <c r="R285" s="350">
        <f t="shared" si="142"/>
        <v>2439643.2491345704</v>
      </c>
      <c r="S285" s="350">
        <f t="shared" si="143"/>
        <v>2467515.1791632213</v>
      </c>
      <c r="T285" s="350">
        <f t="shared" si="144"/>
        <v>2493419.4639393268</v>
      </c>
      <c r="U285" s="350">
        <f t="shared" si="145"/>
        <v>2517288.1196355848</v>
      </c>
      <c r="V285" s="350">
        <f t="shared" si="146"/>
        <v>12327737.835610598</v>
      </c>
      <c r="W285" s="365"/>
      <c r="X285" s="377">
        <f t="shared" si="124"/>
        <v>0</v>
      </c>
      <c r="Y285" s="377">
        <f t="shared" si="125"/>
        <v>0</v>
      </c>
      <c r="Z285" s="377">
        <f t="shared" si="126"/>
        <v>0</v>
      </c>
      <c r="AA285" s="377">
        <f t="shared" si="127"/>
        <v>0</v>
      </c>
      <c r="AB285" s="377">
        <f t="shared" si="128"/>
        <v>0</v>
      </c>
      <c r="AC285" s="377">
        <f t="shared" si="129"/>
        <v>0</v>
      </c>
      <c r="AD285" s="376"/>
      <c r="AE285" s="332">
        <v>270</v>
      </c>
      <c r="AF285" s="350">
        <v>7631238.9186003683</v>
      </c>
      <c r="AG285" s="350">
        <v>47137.95520397128</v>
      </c>
      <c r="AH285" s="350">
        <v>45132.938058050626</v>
      </c>
      <c r="AI285" s="350">
        <v>43073.969074742163</v>
      </c>
      <c r="AJ285" s="350">
        <v>40961.153423320568</v>
      </c>
      <c r="AK285" s="348">
        <v>7807544.934360452</v>
      </c>
      <c r="AL285" s="369"/>
      <c r="AM285" s="350">
        <v>9621865.9136124179</v>
      </c>
      <c r="AN285" s="350">
        <v>2062357.0478084525</v>
      </c>
      <c r="AO285" s="350">
        <v>2083375.0876448993</v>
      </c>
      <c r="AP285" s="350">
        <v>2102713.8411685931</v>
      </c>
      <c r="AQ285" s="350">
        <v>2120317.2568518054</v>
      </c>
      <c r="AR285" s="348">
        <v>17990629.14708617</v>
      </c>
      <c r="AS285" s="369"/>
      <c r="AT285" s="350">
        <f t="shared" si="147"/>
        <v>1990626.9950120496</v>
      </c>
      <c r="AU285" s="350">
        <f t="shared" si="130"/>
        <v>2015219.0926044811</v>
      </c>
      <c r="AV285" s="350">
        <f t="shared" si="131"/>
        <v>2038242.1495868487</v>
      </c>
      <c r="AW285" s="350">
        <f t="shared" si="132"/>
        <v>2059639.872093851</v>
      </c>
      <c r="AX285" s="350">
        <f t="shared" si="133"/>
        <v>2079356.1034284849</v>
      </c>
      <c r="AY285" s="350">
        <f t="shared" si="134"/>
        <v>10183084.212725718</v>
      </c>
      <c r="AZ285" s="365"/>
      <c r="BA285" s="377">
        <f t="shared" si="135"/>
        <v>0</v>
      </c>
      <c r="BB285" s="377">
        <f t="shared" si="136"/>
        <v>0</v>
      </c>
      <c r="BC285" s="377">
        <f t="shared" si="137"/>
        <v>0</v>
      </c>
      <c r="BD285" s="377">
        <f t="shared" si="138"/>
        <v>0</v>
      </c>
      <c r="BE285" s="377">
        <f t="shared" si="139"/>
        <v>0</v>
      </c>
      <c r="BF285" s="377">
        <f t="shared" si="140"/>
        <v>0</v>
      </c>
      <c r="BG285" s="328"/>
    </row>
    <row r="286" spans="2:59">
      <c r="B286" s="332">
        <v>271</v>
      </c>
      <c r="C286" s="350">
        <v>5617413.4330239343</v>
      </c>
      <c r="D286" s="350">
        <v>34698.60996261835</v>
      </c>
      <c r="E286" s="350">
        <v>33222.701480511714</v>
      </c>
      <c r="F286" s="350">
        <v>31707.078637566992</v>
      </c>
      <c r="G286" s="350">
        <v>30151.818849684678</v>
      </c>
      <c r="H286" s="348">
        <v>5747193.6419543158</v>
      </c>
      <c r="I286" s="369"/>
      <c r="J286" s="350">
        <v>7196470.9503257656</v>
      </c>
      <c r="K286" s="350">
        <v>1633263.717921491</v>
      </c>
      <c r="L286" s="350">
        <v>1650050.7644230986</v>
      </c>
      <c r="M286" s="350">
        <v>1665508.805989655</v>
      </c>
      <c r="N286" s="350">
        <v>1679593.3739443964</v>
      </c>
      <c r="O286" s="348">
        <v>13824887.612604406</v>
      </c>
      <c r="P286" s="369"/>
      <c r="Q286" s="350">
        <f t="shared" si="141"/>
        <v>1579057.5173018314</v>
      </c>
      <c r="R286" s="350">
        <f t="shared" si="142"/>
        <v>1598565.1079588726</v>
      </c>
      <c r="S286" s="350">
        <f t="shared" si="143"/>
        <v>1616828.0629425868</v>
      </c>
      <c r="T286" s="350">
        <f t="shared" si="144"/>
        <v>1633801.7273520881</v>
      </c>
      <c r="U286" s="350">
        <f t="shared" si="145"/>
        <v>1649441.5550947117</v>
      </c>
      <c r="V286" s="350">
        <f t="shared" si="146"/>
        <v>8077693.9706500899</v>
      </c>
      <c r="W286" s="365"/>
      <c r="X286" s="377">
        <f t="shared" si="124"/>
        <v>0</v>
      </c>
      <c r="Y286" s="377">
        <f t="shared" si="125"/>
        <v>0</v>
      </c>
      <c r="Z286" s="377">
        <f t="shared" si="126"/>
        <v>0</v>
      </c>
      <c r="AA286" s="377">
        <f t="shared" si="127"/>
        <v>0</v>
      </c>
      <c r="AB286" s="377">
        <f t="shared" si="128"/>
        <v>0</v>
      </c>
      <c r="AC286" s="377">
        <f t="shared" si="129"/>
        <v>0</v>
      </c>
      <c r="AD286" s="376"/>
      <c r="AE286" s="332">
        <v>271</v>
      </c>
      <c r="AF286" s="350">
        <v>6469765.368145233</v>
      </c>
      <c r="AG286" s="350">
        <v>39963.564678927716</v>
      </c>
      <c r="AH286" s="350">
        <v>38263.710876474375</v>
      </c>
      <c r="AI286" s="350">
        <v>36518.116699121063</v>
      </c>
      <c r="AJ286" s="350">
        <v>34726.871309395021</v>
      </c>
      <c r="AK286" s="348">
        <v>6619237.631709151</v>
      </c>
      <c r="AL286" s="369"/>
      <c r="AM286" s="350">
        <v>8407858.3718163799</v>
      </c>
      <c r="AN286" s="350">
        <v>2001999.6638716927</v>
      </c>
      <c r="AO286" s="350">
        <v>2022715.2730226002</v>
      </c>
      <c r="AP286" s="350">
        <v>2041802.7009981822</v>
      </c>
      <c r="AQ286" s="350">
        <v>2059207.3622771399</v>
      </c>
      <c r="AR286" s="348">
        <v>16533583.371985994</v>
      </c>
      <c r="AS286" s="369"/>
      <c r="AT286" s="350">
        <f t="shared" si="147"/>
        <v>1938093.0036711469</v>
      </c>
      <c r="AU286" s="350">
        <f t="shared" si="130"/>
        <v>1962036.0991927651</v>
      </c>
      <c r="AV286" s="350">
        <f t="shared" si="131"/>
        <v>1984451.5621461258</v>
      </c>
      <c r="AW286" s="350">
        <f t="shared" si="132"/>
        <v>2005284.5842990612</v>
      </c>
      <c r="AX286" s="350">
        <f t="shared" si="133"/>
        <v>2024480.490967745</v>
      </c>
      <c r="AY286" s="350">
        <f t="shared" si="134"/>
        <v>9914345.7402768433</v>
      </c>
      <c r="AZ286" s="365"/>
      <c r="BA286" s="377">
        <f t="shared" si="135"/>
        <v>0</v>
      </c>
      <c r="BB286" s="377">
        <f t="shared" si="136"/>
        <v>0</v>
      </c>
      <c r="BC286" s="377">
        <f t="shared" si="137"/>
        <v>0</v>
      </c>
      <c r="BD286" s="377">
        <f t="shared" si="138"/>
        <v>0</v>
      </c>
      <c r="BE286" s="377">
        <f t="shared" si="139"/>
        <v>0</v>
      </c>
      <c r="BF286" s="377">
        <f t="shared" si="140"/>
        <v>0</v>
      </c>
      <c r="BG286" s="328"/>
    </row>
    <row r="287" spans="2:59">
      <c r="B287" s="332">
        <v>272</v>
      </c>
      <c r="C287" s="350">
        <v>4836943.8736648355</v>
      </c>
      <c r="D287" s="350">
        <v>29877.670725943153</v>
      </c>
      <c r="E287" s="350">
        <v>28606.821325995486</v>
      </c>
      <c r="F287" s="350">
        <v>27301.775380492007</v>
      </c>
      <c r="G287" s="350">
        <v>25962.599549368075</v>
      </c>
      <c r="H287" s="348">
        <v>4948692.7406466343</v>
      </c>
      <c r="I287" s="369"/>
      <c r="J287" s="350">
        <v>6799668.4487787802</v>
      </c>
      <c r="K287" s="350">
        <v>2016849.638454986</v>
      </c>
      <c r="L287" s="350">
        <v>2038279.1341456883</v>
      </c>
      <c r="M287" s="350">
        <v>2058071.8809665849</v>
      </c>
      <c r="N287" s="350">
        <v>2076172.5760234154</v>
      </c>
      <c r="O287" s="348">
        <v>14989041.678369455</v>
      </c>
      <c r="P287" s="369"/>
      <c r="Q287" s="350">
        <f t="shared" si="141"/>
        <v>1962724.5751139447</v>
      </c>
      <c r="R287" s="350">
        <f t="shared" si="142"/>
        <v>1986971.967729043</v>
      </c>
      <c r="S287" s="350">
        <f t="shared" si="143"/>
        <v>2009672.3128196928</v>
      </c>
      <c r="T287" s="350">
        <f t="shared" si="144"/>
        <v>2030770.1055860929</v>
      </c>
      <c r="U287" s="350">
        <f t="shared" si="145"/>
        <v>2050209.9764740474</v>
      </c>
      <c r="V287" s="350">
        <f t="shared" si="146"/>
        <v>10040348.937722821</v>
      </c>
      <c r="W287" s="365"/>
      <c r="X287" s="377">
        <f t="shared" si="124"/>
        <v>0</v>
      </c>
      <c r="Y287" s="377">
        <f t="shared" si="125"/>
        <v>0</v>
      </c>
      <c r="Z287" s="377">
        <f t="shared" si="126"/>
        <v>0</v>
      </c>
      <c r="AA287" s="377">
        <f t="shared" si="127"/>
        <v>0</v>
      </c>
      <c r="AB287" s="377">
        <f t="shared" si="128"/>
        <v>0</v>
      </c>
      <c r="AC287" s="377">
        <f t="shared" si="129"/>
        <v>0</v>
      </c>
      <c r="AD287" s="376"/>
      <c r="AE287" s="332">
        <v>272</v>
      </c>
      <c r="AF287" s="350">
        <v>6941506.0687315194</v>
      </c>
      <c r="AG287" s="350">
        <v>42877.494153461485</v>
      </c>
      <c r="AH287" s="350">
        <v>41053.696099860776</v>
      </c>
      <c r="AI287" s="350">
        <v>39180.822527767639</v>
      </c>
      <c r="AJ287" s="350">
        <v>37258.969100964678</v>
      </c>
      <c r="AK287" s="348">
        <v>7101877.0506135738</v>
      </c>
      <c r="AL287" s="369"/>
      <c r="AM287" s="350">
        <v>9194074.7718383372</v>
      </c>
      <c r="AN287" s="350">
        <v>2323274.308463064</v>
      </c>
      <c r="AO287" s="350">
        <v>2347503.1148091205</v>
      </c>
      <c r="AP287" s="350">
        <v>2369843.6373970401</v>
      </c>
      <c r="AQ287" s="350">
        <v>2390232.4256720124</v>
      </c>
      <c r="AR287" s="348">
        <v>18624928.258179571</v>
      </c>
      <c r="AS287" s="369"/>
      <c r="AT287" s="350">
        <f t="shared" si="147"/>
        <v>2252568.7031068178</v>
      </c>
      <c r="AU287" s="350">
        <f t="shared" si="130"/>
        <v>2280396.8143096026</v>
      </c>
      <c r="AV287" s="350">
        <f t="shared" si="131"/>
        <v>2306449.4187092599</v>
      </c>
      <c r="AW287" s="350">
        <f t="shared" si="132"/>
        <v>2330662.8148692725</v>
      </c>
      <c r="AX287" s="350">
        <f t="shared" si="133"/>
        <v>2352973.4565710477</v>
      </c>
      <c r="AY287" s="350">
        <f t="shared" si="134"/>
        <v>11523051.207565997</v>
      </c>
      <c r="AZ287" s="365"/>
      <c r="BA287" s="377">
        <f t="shared" si="135"/>
        <v>0</v>
      </c>
      <c r="BB287" s="377">
        <f t="shared" si="136"/>
        <v>0</v>
      </c>
      <c r="BC287" s="377">
        <f t="shared" si="137"/>
        <v>0</v>
      </c>
      <c r="BD287" s="377">
        <f t="shared" si="138"/>
        <v>0</v>
      </c>
      <c r="BE287" s="377">
        <f t="shared" si="139"/>
        <v>0</v>
      </c>
      <c r="BF287" s="377">
        <f t="shared" si="140"/>
        <v>0</v>
      </c>
      <c r="BG287" s="328"/>
    </row>
    <row r="288" spans="2:59">
      <c r="B288" s="332">
        <v>273</v>
      </c>
      <c r="C288" s="350">
        <v>3857543.6120581892</v>
      </c>
      <c r="D288" s="350">
        <v>23827.941953089452</v>
      </c>
      <c r="E288" s="350">
        <v>22814.418308263899</v>
      </c>
      <c r="F288" s="350">
        <v>21773.622346597713</v>
      </c>
      <c r="G288" s="350">
        <v>20705.607230502435</v>
      </c>
      <c r="H288" s="348">
        <v>3946665.2018966433</v>
      </c>
      <c r="I288" s="369"/>
      <c r="J288" s="350">
        <v>5737428.9848568868</v>
      </c>
      <c r="K288" s="350">
        <v>1926937.3163685095</v>
      </c>
      <c r="L288" s="350">
        <v>1947666.0418576053</v>
      </c>
      <c r="M288" s="350">
        <v>1966832.58039553</v>
      </c>
      <c r="N288" s="350">
        <v>1984383.9525305661</v>
      </c>
      <c r="O288" s="348">
        <v>13563248.876009099</v>
      </c>
      <c r="P288" s="369"/>
      <c r="Q288" s="350">
        <f t="shared" si="141"/>
        <v>1879885.3727986976</v>
      </c>
      <c r="R288" s="350">
        <f t="shared" si="142"/>
        <v>1903109.37441542</v>
      </c>
      <c r="S288" s="350">
        <f t="shared" si="143"/>
        <v>1924851.6235493415</v>
      </c>
      <c r="T288" s="350">
        <f t="shared" si="144"/>
        <v>1945058.9580489323</v>
      </c>
      <c r="U288" s="350">
        <f t="shared" si="145"/>
        <v>1963678.3453000637</v>
      </c>
      <c r="V288" s="350">
        <f t="shared" si="146"/>
        <v>9616583.6741124559</v>
      </c>
      <c r="W288" s="365"/>
      <c r="X288" s="377">
        <f t="shared" si="124"/>
        <v>0</v>
      </c>
      <c r="Y288" s="377">
        <f t="shared" si="125"/>
        <v>0</v>
      </c>
      <c r="Z288" s="377">
        <f t="shared" si="126"/>
        <v>0</v>
      </c>
      <c r="AA288" s="377">
        <f t="shared" si="127"/>
        <v>0</v>
      </c>
      <c r="AB288" s="377">
        <f t="shared" si="128"/>
        <v>0</v>
      </c>
      <c r="AC288" s="377">
        <f t="shared" si="129"/>
        <v>0</v>
      </c>
      <c r="AD288" s="376"/>
      <c r="AE288" s="332">
        <v>273</v>
      </c>
      <c r="AF288" s="350">
        <v>7216150.3787854873</v>
      </c>
      <c r="AG288" s="350">
        <v>44573.9645853849</v>
      </c>
      <c r="AH288" s="350">
        <v>42678.007010037938</v>
      </c>
      <c r="AI288" s="350">
        <v>40731.032217702355</v>
      </c>
      <c r="AJ288" s="350">
        <v>38733.139657144027</v>
      </c>
      <c r="AK288" s="348">
        <v>7382866.5222557569</v>
      </c>
      <c r="AL288" s="369"/>
      <c r="AM288" s="350">
        <v>9450098.8950820155</v>
      </c>
      <c r="AN288" s="350">
        <v>2306120.5593099096</v>
      </c>
      <c r="AO288" s="350">
        <v>2330061.8500564462</v>
      </c>
      <c r="AP288" s="350">
        <v>2352128.1186122755</v>
      </c>
      <c r="AQ288" s="350">
        <v>2372256.4434934165</v>
      </c>
      <c r="AR288" s="348">
        <v>18810665.866554059</v>
      </c>
      <c r="AS288" s="369"/>
      <c r="AT288" s="350">
        <f t="shared" si="147"/>
        <v>2233948.5162965283</v>
      </c>
      <c r="AU288" s="350">
        <f t="shared" si="130"/>
        <v>2261546.5947245248</v>
      </c>
      <c r="AV288" s="350">
        <f t="shared" si="131"/>
        <v>2287383.8430464081</v>
      </c>
      <c r="AW288" s="350">
        <f t="shared" si="132"/>
        <v>2311397.0863945731</v>
      </c>
      <c r="AX288" s="350">
        <f t="shared" si="133"/>
        <v>2333523.3038362726</v>
      </c>
      <c r="AY288" s="350">
        <f t="shared" si="134"/>
        <v>11427799.344298303</v>
      </c>
      <c r="AZ288" s="365"/>
      <c r="BA288" s="377">
        <f t="shared" si="135"/>
        <v>0</v>
      </c>
      <c r="BB288" s="377">
        <f t="shared" si="136"/>
        <v>0</v>
      </c>
      <c r="BC288" s="377">
        <f t="shared" si="137"/>
        <v>0</v>
      </c>
      <c r="BD288" s="377">
        <f t="shared" si="138"/>
        <v>0</v>
      </c>
      <c r="BE288" s="377">
        <f t="shared" si="139"/>
        <v>0</v>
      </c>
      <c r="BF288" s="377">
        <f t="shared" si="140"/>
        <v>0</v>
      </c>
      <c r="BG288" s="328"/>
    </row>
    <row r="289" spans="2:59">
      <c r="B289" s="332">
        <v>274</v>
      </c>
      <c r="C289" s="350">
        <v>6863602.3330863202</v>
      </c>
      <c r="D289" s="350">
        <v>42396.284897634083</v>
      </c>
      <c r="E289" s="350">
        <v>40592.955122821448</v>
      </c>
      <c r="F289" s="350">
        <v>38741.100598501012</v>
      </c>
      <c r="G289" s="350">
        <v>36840.815914825675</v>
      </c>
      <c r="H289" s="348">
        <v>7022173.4896201016</v>
      </c>
      <c r="I289" s="369"/>
      <c r="J289" s="350">
        <v>8687693.2913572937</v>
      </c>
      <c r="K289" s="350">
        <v>1889021.9636238585</v>
      </c>
      <c r="L289" s="350">
        <v>1908315.5797753916</v>
      </c>
      <c r="M289" s="350">
        <v>1926071.3123331422</v>
      </c>
      <c r="N289" s="350">
        <v>1942237.7972646658</v>
      </c>
      <c r="O289" s="348">
        <v>16353339.944354352</v>
      </c>
      <c r="P289" s="369"/>
      <c r="Q289" s="350">
        <f t="shared" si="141"/>
        <v>1824090.9582709735</v>
      </c>
      <c r="R289" s="350">
        <f t="shared" si="142"/>
        <v>1846625.6787262245</v>
      </c>
      <c r="S289" s="350">
        <f t="shared" si="143"/>
        <v>1867722.6246525701</v>
      </c>
      <c r="T289" s="350">
        <f t="shared" si="144"/>
        <v>1887330.2117346411</v>
      </c>
      <c r="U289" s="350">
        <f t="shared" si="145"/>
        <v>1905396.9813498401</v>
      </c>
      <c r="V289" s="350">
        <f t="shared" si="146"/>
        <v>9331166.4547342509</v>
      </c>
      <c r="W289" s="365"/>
      <c r="X289" s="377">
        <f t="shared" si="124"/>
        <v>0</v>
      </c>
      <c r="Y289" s="377">
        <f t="shared" si="125"/>
        <v>0</v>
      </c>
      <c r="Z289" s="377">
        <f t="shared" si="126"/>
        <v>0</v>
      </c>
      <c r="AA289" s="377">
        <f t="shared" si="127"/>
        <v>0</v>
      </c>
      <c r="AB289" s="377">
        <f t="shared" si="128"/>
        <v>0</v>
      </c>
      <c r="AC289" s="377">
        <f t="shared" si="129"/>
        <v>0</v>
      </c>
      <c r="AD289" s="376"/>
      <c r="AE289" s="332">
        <v>274</v>
      </c>
      <c r="AF289" s="350">
        <v>4281248.6319787037</v>
      </c>
      <c r="AG289" s="350">
        <v>26445.156334888612</v>
      </c>
      <c r="AH289" s="350">
        <v>25320.309241955969</v>
      </c>
      <c r="AI289" s="350">
        <v>24165.194294421672</v>
      </c>
      <c r="AJ289" s="350">
        <v>22979.870493954113</v>
      </c>
      <c r="AK289" s="348">
        <v>4380159.1623439239</v>
      </c>
      <c r="AL289" s="369"/>
      <c r="AM289" s="350">
        <v>6566033.8459700476</v>
      </c>
      <c r="AN289" s="350">
        <v>2339456.4825516818</v>
      </c>
      <c r="AO289" s="350">
        <v>2364756.8473673603</v>
      </c>
      <c r="AP289" s="350">
        <v>2388161.431509403</v>
      </c>
      <c r="AQ289" s="350">
        <v>2409605.8389151725</v>
      </c>
      <c r="AR289" s="348">
        <v>16068014.446313666</v>
      </c>
      <c r="AS289" s="369"/>
      <c r="AT289" s="350">
        <f t="shared" si="147"/>
        <v>2284785.213991344</v>
      </c>
      <c r="AU289" s="350">
        <f t="shared" si="130"/>
        <v>2313011.3262167932</v>
      </c>
      <c r="AV289" s="350">
        <f t="shared" si="131"/>
        <v>2339436.5381254042</v>
      </c>
      <c r="AW289" s="350">
        <f t="shared" si="132"/>
        <v>2363996.2372149816</v>
      </c>
      <c r="AX289" s="350">
        <f t="shared" si="133"/>
        <v>2386625.9684212185</v>
      </c>
      <c r="AY289" s="350">
        <f t="shared" si="134"/>
        <v>11687855.283969741</v>
      </c>
      <c r="AZ289" s="365"/>
      <c r="BA289" s="377">
        <f t="shared" si="135"/>
        <v>0</v>
      </c>
      <c r="BB289" s="377">
        <f t="shared" si="136"/>
        <v>0</v>
      </c>
      <c r="BC289" s="377">
        <f t="shared" si="137"/>
        <v>0</v>
      </c>
      <c r="BD289" s="377">
        <f t="shared" si="138"/>
        <v>0</v>
      </c>
      <c r="BE289" s="377">
        <f t="shared" si="139"/>
        <v>0</v>
      </c>
      <c r="BF289" s="377">
        <f t="shared" si="140"/>
        <v>0</v>
      </c>
      <c r="BG289" s="328"/>
    </row>
    <row r="290" spans="2:59">
      <c r="B290" s="332">
        <v>275</v>
      </c>
      <c r="C290" s="350">
        <v>5688321.6140754633</v>
      </c>
      <c r="D290" s="350">
        <v>35136.607868026193</v>
      </c>
      <c r="E290" s="350">
        <v>33642.0691057882</v>
      </c>
      <c r="F290" s="350">
        <v>32107.314671366181</v>
      </c>
      <c r="G290" s="350">
        <v>30532.422957878094</v>
      </c>
      <c r="H290" s="348">
        <v>5819740.0286785215</v>
      </c>
      <c r="I290" s="369"/>
      <c r="J290" s="350">
        <v>7982048.18575658</v>
      </c>
      <c r="K290" s="350">
        <v>2357199.7528210208</v>
      </c>
      <c r="L290" s="350">
        <v>2382233.8393080654</v>
      </c>
      <c r="M290" s="350">
        <v>2405354.8967413437</v>
      </c>
      <c r="N290" s="350">
        <v>2426498.2962089572</v>
      </c>
      <c r="O290" s="348">
        <v>17553334.970835965</v>
      </c>
      <c r="P290" s="369"/>
      <c r="Q290" s="350">
        <f t="shared" si="141"/>
        <v>2293726.5716811167</v>
      </c>
      <c r="R290" s="350">
        <f t="shared" si="142"/>
        <v>2322063.1449529948</v>
      </c>
      <c r="S290" s="350">
        <f t="shared" si="143"/>
        <v>2348591.7702022772</v>
      </c>
      <c r="T290" s="350">
        <f t="shared" si="144"/>
        <v>2373247.5820699777</v>
      </c>
      <c r="U290" s="350">
        <f t="shared" si="145"/>
        <v>2395965.8732510791</v>
      </c>
      <c r="V290" s="350">
        <f t="shared" si="146"/>
        <v>11733594.942157444</v>
      </c>
      <c r="W290" s="365"/>
      <c r="X290" s="377">
        <f t="shared" si="124"/>
        <v>0</v>
      </c>
      <c r="Y290" s="377">
        <f t="shared" si="125"/>
        <v>0</v>
      </c>
      <c r="Z290" s="377">
        <f t="shared" si="126"/>
        <v>0</v>
      </c>
      <c r="AA290" s="377">
        <f t="shared" si="127"/>
        <v>0</v>
      </c>
      <c r="AB290" s="377">
        <f t="shared" si="128"/>
        <v>0</v>
      </c>
      <c r="AC290" s="377">
        <f t="shared" si="129"/>
        <v>0</v>
      </c>
      <c r="AD290" s="376"/>
      <c r="AE290" s="332">
        <v>275</v>
      </c>
      <c r="AF290" s="350">
        <v>5303775.4618533403</v>
      </c>
      <c r="AG290" s="350">
        <v>32761.276746740987</v>
      </c>
      <c r="AH290" s="350">
        <v>31367.772906465212</v>
      </c>
      <c r="AI290" s="350">
        <v>29936.772083810141</v>
      </c>
      <c r="AJ290" s="350">
        <v>28468.347372311913</v>
      </c>
      <c r="AK290" s="348">
        <v>5426309.6309626689</v>
      </c>
      <c r="AL290" s="369"/>
      <c r="AM290" s="350">
        <v>7627589.9204192981</v>
      </c>
      <c r="AN290" s="350">
        <v>2385284.0127021619</v>
      </c>
      <c r="AO290" s="350">
        <v>2410767.1225268622</v>
      </c>
      <c r="AP290" s="350">
        <v>2434315.3554163757</v>
      </c>
      <c r="AQ290" s="350">
        <v>2455863.2283631805</v>
      </c>
      <c r="AR290" s="348">
        <v>17313819.639427878</v>
      </c>
      <c r="AS290" s="369"/>
      <c r="AT290" s="350">
        <f t="shared" si="147"/>
        <v>2323814.4585659578</v>
      </c>
      <c r="AU290" s="350">
        <f t="shared" si="130"/>
        <v>2352522.7359554209</v>
      </c>
      <c r="AV290" s="350">
        <f t="shared" si="131"/>
        <v>2379399.3496203972</v>
      </c>
      <c r="AW290" s="350">
        <f t="shared" si="132"/>
        <v>2404378.5833325656</v>
      </c>
      <c r="AX290" s="350">
        <f t="shared" si="133"/>
        <v>2427394.8809908684</v>
      </c>
      <c r="AY290" s="350">
        <f t="shared" si="134"/>
        <v>11887510.008465208</v>
      </c>
      <c r="AZ290" s="365"/>
      <c r="BA290" s="377">
        <f t="shared" si="135"/>
        <v>0</v>
      </c>
      <c r="BB290" s="377">
        <f t="shared" si="136"/>
        <v>0</v>
      </c>
      <c r="BC290" s="377">
        <f t="shared" si="137"/>
        <v>0</v>
      </c>
      <c r="BD290" s="377">
        <f t="shared" si="138"/>
        <v>0</v>
      </c>
      <c r="BE290" s="377">
        <f t="shared" si="139"/>
        <v>0</v>
      </c>
      <c r="BF290" s="377">
        <f t="shared" si="140"/>
        <v>0</v>
      </c>
      <c r="BG290" s="328"/>
    </row>
    <row r="291" spans="2:59">
      <c r="B291" s="332">
        <v>276</v>
      </c>
      <c r="C291" s="350">
        <v>4913810.4930582801</v>
      </c>
      <c r="D291" s="350">
        <v>30352.473742895905</v>
      </c>
      <c r="E291" s="350">
        <v>29061.428554103983</v>
      </c>
      <c r="F291" s="350">
        <v>27735.643383046885</v>
      </c>
      <c r="G291" s="350">
        <v>26375.185948993832</v>
      </c>
      <c r="H291" s="348">
        <v>5027335.2246873202</v>
      </c>
      <c r="I291" s="369"/>
      <c r="J291" s="350">
        <v>7151817.8124968726</v>
      </c>
      <c r="K291" s="350">
        <v>2296008.0138426758</v>
      </c>
      <c r="L291" s="350">
        <v>2320601.160002389</v>
      </c>
      <c r="M291" s="350">
        <v>2343332.2472187672</v>
      </c>
      <c r="N291" s="350">
        <v>2364138.2077772436</v>
      </c>
      <c r="O291" s="348">
        <v>16475897.441337949</v>
      </c>
      <c r="P291" s="369"/>
      <c r="Q291" s="350">
        <f t="shared" si="141"/>
        <v>2238007.3194385925</v>
      </c>
      <c r="R291" s="350">
        <f t="shared" si="142"/>
        <v>2265655.5400997801</v>
      </c>
      <c r="S291" s="350">
        <f t="shared" si="143"/>
        <v>2291539.7314482848</v>
      </c>
      <c r="T291" s="350">
        <f t="shared" si="144"/>
        <v>2315596.6038357201</v>
      </c>
      <c r="U291" s="350">
        <f t="shared" si="145"/>
        <v>2337763.0218282496</v>
      </c>
      <c r="V291" s="350">
        <f t="shared" si="146"/>
        <v>11448562.216650628</v>
      </c>
      <c r="W291" s="365"/>
      <c r="X291" s="377">
        <f t="shared" si="124"/>
        <v>0</v>
      </c>
      <c r="Y291" s="377">
        <f t="shared" si="125"/>
        <v>0</v>
      </c>
      <c r="Z291" s="377">
        <f t="shared" si="126"/>
        <v>0</v>
      </c>
      <c r="AA291" s="377">
        <f t="shared" si="127"/>
        <v>0</v>
      </c>
      <c r="AB291" s="377">
        <f t="shared" si="128"/>
        <v>0</v>
      </c>
      <c r="AC291" s="377">
        <f t="shared" si="129"/>
        <v>0</v>
      </c>
      <c r="AD291" s="376"/>
      <c r="AE291" s="332">
        <v>276</v>
      </c>
      <c r="AF291" s="350">
        <v>6953408.6337102028</v>
      </c>
      <c r="AG291" s="350">
        <v>42951.015973543843</v>
      </c>
      <c r="AH291" s="350">
        <v>41124.090662740251</v>
      </c>
      <c r="AI291" s="350">
        <v>39248.005683907264</v>
      </c>
      <c r="AJ291" s="350">
        <v>37322.856864856323</v>
      </c>
      <c r="AK291" s="348">
        <v>7114054.6028952505</v>
      </c>
      <c r="AL291" s="369"/>
      <c r="AM291" s="350">
        <v>8799415.9713697582</v>
      </c>
      <c r="AN291" s="350">
        <v>1911763.8278469115</v>
      </c>
      <c r="AO291" s="350">
        <v>1931287.3274179655</v>
      </c>
      <c r="AP291" s="350">
        <v>1949254.4138901948</v>
      </c>
      <c r="AQ291" s="350">
        <v>1965613.1061955323</v>
      </c>
      <c r="AR291" s="348">
        <v>16557334.646720361</v>
      </c>
      <c r="AS291" s="369"/>
      <c r="AT291" s="350">
        <f t="shared" si="147"/>
        <v>1846007.3376595555</v>
      </c>
      <c r="AU291" s="350">
        <f t="shared" si="130"/>
        <v>1868812.8118733678</v>
      </c>
      <c r="AV291" s="350">
        <f t="shared" si="131"/>
        <v>1890163.2367552253</v>
      </c>
      <c r="AW291" s="350">
        <f t="shared" si="132"/>
        <v>1910006.4082062875</v>
      </c>
      <c r="AX291" s="350">
        <f t="shared" si="133"/>
        <v>1928290.2493306759</v>
      </c>
      <c r="AY291" s="350">
        <f t="shared" si="134"/>
        <v>9443280.0438251104</v>
      </c>
      <c r="AZ291" s="365"/>
      <c r="BA291" s="377">
        <f t="shared" si="135"/>
        <v>0</v>
      </c>
      <c r="BB291" s="377">
        <f t="shared" si="136"/>
        <v>0</v>
      </c>
      <c r="BC291" s="377">
        <f t="shared" si="137"/>
        <v>0</v>
      </c>
      <c r="BD291" s="377">
        <f t="shared" si="138"/>
        <v>0</v>
      </c>
      <c r="BE291" s="377">
        <f t="shared" si="139"/>
        <v>0</v>
      </c>
      <c r="BF291" s="377">
        <f t="shared" si="140"/>
        <v>0</v>
      </c>
      <c r="BG291" s="328"/>
    </row>
    <row r="292" spans="2:59">
      <c r="B292" s="332">
        <v>277</v>
      </c>
      <c r="C292" s="350">
        <v>5839950.4827838</v>
      </c>
      <c r="D292" s="350">
        <v>36073.215265204417</v>
      </c>
      <c r="E292" s="350">
        <v>34538.837823453025</v>
      </c>
      <c r="F292" s="350">
        <v>32963.172713716653</v>
      </c>
      <c r="G292" s="350">
        <v>31346.300418774845</v>
      </c>
      <c r="H292" s="348">
        <v>5974872.0090049487</v>
      </c>
      <c r="I292" s="369"/>
      <c r="J292" s="350">
        <v>8677022.7691130918</v>
      </c>
      <c r="K292" s="350">
        <v>2908194.5382633549</v>
      </c>
      <c r="L292" s="350">
        <v>2939472.9766203035</v>
      </c>
      <c r="M292" s="350">
        <v>2968393.67555431</v>
      </c>
      <c r="N292" s="350">
        <v>2994876.6801576996</v>
      </c>
      <c r="O292" s="348">
        <v>20487960.639708757</v>
      </c>
      <c r="P292" s="369"/>
      <c r="Q292" s="350">
        <f t="shared" si="141"/>
        <v>2837072.2863292918</v>
      </c>
      <c r="R292" s="350">
        <f t="shared" si="142"/>
        <v>2872121.3229981507</v>
      </c>
      <c r="S292" s="350">
        <f t="shared" si="143"/>
        <v>2904934.1387968506</v>
      </c>
      <c r="T292" s="350">
        <f t="shared" si="144"/>
        <v>2935430.5028405935</v>
      </c>
      <c r="U292" s="350">
        <f t="shared" si="145"/>
        <v>2963530.3797389246</v>
      </c>
      <c r="V292" s="350">
        <f t="shared" si="146"/>
        <v>14513088.630703809</v>
      </c>
      <c r="W292" s="365"/>
      <c r="X292" s="377">
        <f t="shared" si="124"/>
        <v>0</v>
      </c>
      <c r="Y292" s="377">
        <f t="shared" si="125"/>
        <v>0</v>
      </c>
      <c r="Z292" s="377">
        <f t="shared" si="126"/>
        <v>0</v>
      </c>
      <c r="AA292" s="377">
        <f t="shared" si="127"/>
        <v>0</v>
      </c>
      <c r="AB292" s="377">
        <f t="shared" si="128"/>
        <v>0</v>
      </c>
      <c r="AC292" s="377">
        <f t="shared" si="129"/>
        <v>0</v>
      </c>
      <c r="AD292" s="376"/>
      <c r="AE292" s="332">
        <v>277</v>
      </c>
      <c r="AF292" s="350">
        <v>6599172.9528215062</v>
      </c>
      <c r="AG292" s="350">
        <v>40762.911809137709</v>
      </c>
      <c r="AH292" s="350">
        <v>39029.057704915525</v>
      </c>
      <c r="AI292" s="350">
        <v>37248.548331500046</v>
      </c>
      <c r="AJ292" s="350">
        <v>35421.474634831931</v>
      </c>
      <c r="AK292" s="348">
        <v>6751634.9453018913</v>
      </c>
      <c r="AL292" s="369"/>
      <c r="AM292" s="350">
        <v>8285232.4478412792</v>
      </c>
      <c r="AN292" s="350">
        <v>1747651.8940970288</v>
      </c>
      <c r="AO292" s="350">
        <v>1765418.5511014999</v>
      </c>
      <c r="AP292" s="350">
        <v>1781761.8958178449</v>
      </c>
      <c r="AQ292" s="350">
        <v>1796634.4545139135</v>
      </c>
      <c r="AR292" s="348">
        <v>15376699.243371565</v>
      </c>
      <c r="AS292" s="369"/>
      <c r="AT292" s="350">
        <f t="shared" si="147"/>
        <v>1686059.495019773</v>
      </c>
      <c r="AU292" s="350">
        <f t="shared" si="130"/>
        <v>1706888.982287891</v>
      </c>
      <c r="AV292" s="350">
        <f t="shared" si="131"/>
        <v>1726389.4933965844</v>
      </c>
      <c r="AW292" s="350">
        <f t="shared" si="132"/>
        <v>1744513.3474863449</v>
      </c>
      <c r="AX292" s="350">
        <f t="shared" si="133"/>
        <v>1761212.9798790815</v>
      </c>
      <c r="AY292" s="350">
        <f t="shared" si="134"/>
        <v>8625064.2980696745</v>
      </c>
      <c r="AZ292" s="365"/>
      <c r="BA292" s="377">
        <f t="shared" si="135"/>
        <v>0</v>
      </c>
      <c r="BB292" s="377">
        <f t="shared" si="136"/>
        <v>0</v>
      </c>
      <c r="BC292" s="377">
        <f t="shared" si="137"/>
        <v>0</v>
      </c>
      <c r="BD292" s="377">
        <f t="shared" si="138"/>
        <v>0</v>
      </c>
      <c r="BE292" s="377">
        <f t="shared" si="139"/>
        <v>0</v>
      </c>
      <c r="BF292" s="377">
        <f t="shared" si="140"/>
        <v>0</v>
      </c>
      <c r="BG292" s="328"/>
    </row>
    <row r="293" spans="2:59">
      <c r="B293" s="332">
        <v>278</v>
      </c>
      <c r="C293" s="350">
        <v>6685927.9004844408</v>
      </c>
      <c r="D293" s="350">
        <v>41298.794760813405</v>
      </c>
      <c r="E293" s="350">
        <v>39542.146827255536</v>
      </c>
      <c r="F293" s="350">
        <v>37738.230278634132</v>
      </c>
      <c r="G293" s="350">
        <v>35887.137256505514</v>
      </c>
      <c r="H293" s="348">
        <v>6840394.2096076496</v>
      </c>
      <c r="I293" s="369"/>
      <c r="J293" s="350">
        <v>8486203.1314592455</v>
      </c>
      <c r="K293" s="350">
        <v>1863814.5279915943</v>
      </c>
      <c r="L293" s="350">
        <v>1882879.3796812876</v>
      </c>
      <c r="M293" s="350">
        <v>1900427.0493038346</v>
      </c>
      <c r="N293" s="350">
        <v>1916406.8422331391</v>
      </c>
      <c r="O293" s="348">
        <v>16049730.930669103</v>
      </c>
      <c r="P293" s="369"/>
      <c r="Q293" s="350">
        <f t="shared" si="141"/>
        <v>1800275.2309748046</v>
      </c>
      <c r="R293" s="350">
        <f t="shared" si="142"/>
        <v>1822515.7332307808</v>
      </c>
      <c r="S293" s="350">
        <f t="shared" si="143"/>
        <v>1843337.232854032</v>
      </c>
      <c r="T293" s="350">
        <f t="shared" si="144"/>
        <v>1862688.8190252003</v>
      </c>
      <c r="U293" s="350">
        <f t="shared" si="145"/>
        <v>1880519.7049766337</v>
      </c>
      <c r="V293" s="350">
        <f t="shared" si="146"/>
        <v>9209336.7210614532</v>
      </c>
      <c r="W293" s="365"/>
      <c r="X293" s="377">
        <f t="shared" si="124"/>
        <v>0</v>
      </c>
      <c r="Y293" s="377">
        <f t="shared" si="125"/>
        <v>0</v>
      </c>
      <c r="Z293" s="377">
        <f t="shared" si="126"/>
        <v>0</v>
      </c>
      <c r="AA293" s="377">
        <f t="shared" si="127"/>
        <v>0</v>
      </c>
      <c r="AB293" s="377">
        <f t="shared" si="128"/>
        <v>0</v>
      </c>
      <c r="AC293" s="377">
        <f t="shared" si="129"/>
        <v>0</v>
      </c>
      <c r="AD293" s="376"/>
      <c r="AE293" s="332">
        <v>278</v>
      </c>
      <c r="AF293" s="350">
        <v>6736379.0730492212</v>
      </c>
      <c r="AG293" s="350">
        <v>41610.430281299712</v>
      </c>
      <c r="AH293" s="350">
        <v>39840.526902969425</v>
      </c>
      <c r="AI293" s="350">
        <v>38022.998226541276</v>
      </c>
      <c r="AJ293" s="350">
        <v>36157.93708886001</v>
      </c>
      <c r="AK293" s="348">
        <v>6892010.9655488916</v>
      </c>
      <c r="AL293" s="369"/>
      <c r="AM293" s="350">
        <v>8798851.7503654119</v>
      </c>
      <c r="AN293" s="350">
        <v>2129562.782840203</v>
      </c>
      <c r="AO293" s="350">
        <v>2151646.8843022622</v>
      </c>
      <c r="AP293" s="350">
        <v>2171999.3644411834</v>
      </c>
      <c r="AQ293" s="350">
        <v>2190562.1325900606</v>
      </c>
      <c r="AR293" s="348">
        <v>17442622.914539121</v>
      </c>
      <c r="AS293" s="369"/>
      <c r="AT293" s="350">
        <f t="shared" si="147"/>
        <v>2062472.6773161907</v>
      </c>
      <c r="AU293" s="350">
        <f t="shared" si="130"/>
        <v>2087952.3525589034</v>
      </c>
      <c r="AV293" s="350">
        <f t="shared" si="131"/>
        <v>2111806.3573992928</v>
      </c>
      <c r="AW293" s="350">
        <f t="shared" si="132"/>
        <v>2133976.3662146423</v>
      </c>
      <c r="AX293" s="350">
        <f t="shared" si="133"/>
        <v>2154404.1955012004</v>
      </c>
      <c r="AY293" s="350">
        <f t="shared" si="134"/>
        <v>10550611.94899023</v>
      </c>
      <c r="AZ293" s="365"/>
      <c r="BA293" s="377">
        <f t="shared" si="135"/>
        <v>0</v>
      </c>
      <c r="BB293" s="377">
        <f t="shared" si="136"/>
        <v>0</v>
      </c>
      <c r="BC293" s="377">
        <f t="shared" si="137"/>
        <v>0</v>
      </c>
      <c r="BD293" s="377">
        <f t="shared" si="138"/>
        <v>0</v>
      </c>
      <c r="BE293" s="377">
        <f t="shared" si="139"/>
        <v>0</v>
      </c>
      <c r="BF293" s="377">
        <f t="shared" si="140"/>
        <v>0</v>
      </c>
      <c r="BG293" s="328"/>
    </row>
    <row r="294" spans="2:59">
      <c r="B294" s="332">
        <v>279</v>
      </c>
      <c r="C294" s="350">
        <v>4084890.7694651792</v>
      </c>
      <c r="D294" s="350">
        <v>25232.259159759513</v>
      </c>
      <c r="E294" s="350">
        <v>24159.002756788224</v>
      </c>
      <c r="F294" s="350">
        <v>23056.866723013809</v>
      </c>
      <c r="G294" s="350">
        <v>21925.907354011928</v>
      </c>
      <c r="H294" s="348">
        <v>4179264.8054587534</v>
      </c>
      <c r="I294" s="369"/>
      <c r="J294" s="350">
        <v>5180389.0071160756</v>
      </c>
      <c r="K294" s="350">
        <v>1134264.2224358749</v>
      </c>
      <c r="L294" s="350">
        <v>1145861.204310952</v>
      </c>
      <c r="M294" s="350">
        <v>1156534.8391046128</v>
      </c>
      <c r="N294" s="350">
        <v>1166254.2784965658</v>
      </c>
      <c r="O294" s="348">
        <v>9783303.5514640808</v>
      </c>
      <c r="P294" s="369"/>
      <c r="Q294" s="350">
        <f t="shared" si="141"/>
        <v>1095498.2376508964</v>
      </c>
      <c r="R294" s="350">
        <f t="shared" si="142"/>
        <v>1109031.9632761152</v>
      </c>
      <c r="S294" s="350">
        <f t="shared" si="143"/>
        <v>1121702.2015541638</v>
      </c>
      <c r="T294" s="350">
        <f t="shared" si="144"/>
        <v>1133477.972381599</v>
      </c>
      <c r="U294" s="350">
        <f t="shared" si="145"/>
        <v>1144328.3711425539</v>
      </c>
      <c r="V294" s="350">
        <f t="shared" si="146"/>
        <v>5604038.7460053274</v>
      </c>
      <c r="W294" s="365"/>
      <c r="X294" s="377">
        <f t="shared" si="124"/>
        <v>0</v>
      </c>
      <c r="Y294" s="377">
        <f t="shared" si="125"/>
        <v>0</v>
      </c>
      <c r="Z294" s="377">
        <f t="shared" si="126"/>
        <v>0</v>
      </c>
      <c r="AA294" s="377">
        <f t="shared" si="127"/>
        <v>0</v>
      </c>
      <c r="AB294" s="377">
        <f t="shared" si="128"/>
        <v>0</v>
      </c>
      <c r="AC294" s="377">
        <f t="shared" si="129"/>
        <v>0</v>
      </c>
      <c r="AD294" s="376"/>
      <c r="AE294" s="332">
        <v>279</v>
      </c>
      <c r="AF294" s="350">
        <v>6869308.1246976852</v>
      </c>
      <c r="AG294" s="350">
        <v>42431.529417200756</v>
      </c>
      <c r="AH294" s="350">
        <v>40626.700513591764</v>
      </c>
      <c r="AI294" s="350">
        <v>38773.306521291292</v>
      </c>
      <c r="AJ294" s="350">
        <v>36871.442109089476</v>
      </c>
      <c r="AK294" s="348">
        <v>7028011.1032588584</v>
      </c>
      <c r="AL294" s="369"/>
      <c r="AM294" s="350">
        <v>8894360.5553161856</v>
      </c>
      <c r="AN294" s="350">
        <v>2092501.3475866341</v>
      </c>
      <c r="AO294" s="350">
        <v>2114117.7310041832</v>
      </c>
      <c r="AP294" s="350">
        <v>2134032.1067050938</v>
      </c>
      <c r="AQ294" s="350">
        <v>2152187.4415004142</v>
      </c>
      <c r="AR294" s="348">
        <v>17387199.182112508</v>
      </c>
      <c r="AS294" s="369"/>
      <c r="AT294" s="350">
        <f t="shared" si="147"/>
        <v>2025052.4306185003</v>
      </c>
      <c r="AU294" s="350">
        <f t="shared" si="130"/>
        <v>2050069.8181694334</v>
      </c>
      <c r="AV294" s="350">
        <f t="shared" si="131"/>
        <v>2073491.0304905914</v>
      </c>
      <c r="AW294" s="350">
        <f t="shared" si="132"/>
        <v>2095258.8001838024</v>
      </c>
      <c r="AX294" s="350">
        <f t="shared" si="133"/>
        <v>2115315.9993913248</v>
      </c>
      <c r="AY294" s="350">
        <f t="shared" si="134"/>
        <v>10359188.078853648</v>
      </c>
      <c r="AZ294" s="365"/>
      <c r="BA294" s="377">
        <f t="shared" si="135"/>
        <v>0</v>
      </c>
      <c r="BB294" s="377">
        <f t="shared" si="136"/>
        <v>0</v>
      </c>
      <c r="BC294" s="377">
        <f t="shared" si="137"/>
        <v>0</v>
      </c>
      <c r="BD294" s="377">
        <f t="shared" si="138"/>
        <v>0</v>
      </c>
      <c r="BE294" s="377">
        <f t="shared" si="139"/>
        <v>0</v>
      </c>
      <c r="BF294" s="377">
        <f t="shared" si="140"/>
        <v>0</v>
      </c>
      <c r="BG294" s="328"/>
    </row>
    <row r="295" spans="2:59">
      <c r="B295" s="332">
        <v>280</v>
      </c>
      <c r="C295" s="350">
        <v>7157630.321364224</v>
      </c>
      <c r="D295" s="350">
        <v>44212.487782643278</v>
      </c>
      <c r="E295" s="350">
        <v>42331.905655472823</v>
      </c>
      <c r="F295" s="350">
        <v>40400.720040282773</v>
      </c>
      <c r="G295" s="350">
        <v>38419.029579350601</v>
      </c>
      <c r="H295" s="348">
        <v>7322994.4644219736</v>
      </c>
      <c r="I295" s="369"/>
      <c r="J295" s="350">
        <v>9191844.1575093362</v>
      </c>
      <c r="K295" s="350">
        <v>2103556.8909841198</v>
      </c>
      <c r="L295" s="350">
        <v>2125203.4795329431</v>
      </c>
      <c r="M295" s="350">
        <v>2145138.5417355569</v>
      </c>
      <c r="N295" s="350">
        <v>2163304.7899281411</v>
      </c>
      <c r="O295" s="348">
        <v>17729047.859690096</v>
      </c>
      <c r="P295" s="369"/>
      <c r="Q295" s="350">
        <f t="shared" si="141"/>
        <v>2034213.8361451123</v>
      </c>
      <c r="R295" s="350">
        <f t="shared" si="142"/>
        <v>2059344.4032014767</v>
      </c>
      <c r="S295" s="350">
        <f t="shared" si="143"/>
        <v>2082871.5738774703</v>
      </c>
      <c r="T295" s="350">
        <f t="shared" si="144"/>
        <v>2104737.8216952742</v>
      </c>
      <c r="U295" s="350">
        <f t="shared" si="145"/>
        <v>2124885.7603487903</v>
      </c>
      <c r="V295" s="350">
        <f t="shared" si="146"/>
        <v>10406053.395268124</v>
      </c>
      <c r="W295" s="365"/>
      <c r="X295" s="377">
        <f t="shared" si="124"/>
        <v>0</v>
      </c>
      <c r="Y295" s="377">
        <f t="shared" si="125"/>
        <v>0</v>
      </c>
      <c r="Z295" s="377">
        <f t="shared" si="126"/>
        <v>0</v>
      </c>
      <c r="AA295" s="377">
        <f t="shared" si="127"/>
        <v>0</v>
      </c>
      <c r="AB295" s="377">
        <f t="shared" si="128"/>
        <v>0</v>
      </c>
      <c r="AC295" s="377">
        <f t="shared" si="129"/>
        <v>0</v>
      </c>
      <c r="AD295" s="376"/>
      <c r="AE295" s="332">
        <v>280</v>
      </c>
      <c r="AF295" s="350">
        <v>5280121.2594745066</v>
      </c>
      <c r="AG295" s="350">
        <v>32615.165382122599</v>
      </c>
      <c r="AH295" s="350">
        <v>31227.876401826463</v>
      </c>
      <c r="AI295" s="350">
        <v>29803.257671194759</v>
      </c>
      <c r="AJ295" s="350">
        <v>28341.381957772126</v>
      </c>
      <c r="AK295" s="348">
        <v>5402108.9408874232</v>
      </c>
      <c r="AL295" s="369"/>
      <c r="AM295" s="350">
        <v>7985956.19801261</v>
      </c>
      <c r="AN295" s="350">
        <v>2771877.8415346942</v>
      </c>
      <c r="AO295" s="350">
        <v>2801785.5124494163</v>
      </c>
      <c r="AP295" s="350">
        <v>2829446.5563314585</v>
      </c>
      <c r="AQ295" s="350">
        <v>2854784.7128366348</v>
      </c>
      <c r="AR295" s="348">
        <v>19243850.821164813</v>
      </c>
      <c r="AS295" s="369"/>
      <c r="AT295" s="350">
        <f t="shared" si="147"/>
        <v>2705834.9385381034</v>
      </c>
      <c r="AU295" s="350">
        <f t="shared" si="130"/>
        <v>2739262.6761525716</v>
      </c>
      <c r="AV295" s="350">
        <f t="shared" si="131"/>
        <v>2770557.6360475901</v>
      </c>
      <c r="AW295" s="350">
        <f t="shared" si="132"/>
        <v>2799643.2986602639</v>
      </c>
      <c r="AX295" s="350">
        <f t="shared" si="133"/>
        <v>2826443.3308788626</v>
      </c>
      <c r="AY295" s="350">
        <f t="shared" si="134"/>
        <v>13841741.88027739</v>
      </c>
      <c r="AZ295" s="365"/>
      <c r="BA295" s="377">
        <f t="shared" si="135"/>
        <v>0</v>
      </c>
      <c r="BB295" s="377">
        <f t="shared" si="136"/>
        <v>0</v>
      </c>
      <c r="BC295" s="377">
        <f t="shared" si="137"/>
        <v>0</v>
      </c>
      <c r="BD295" s="377">
        <f t="shared" si="138"/>
        <v>0</v>
      </c>
      <c r="BE295" s="377">
        <f t="shared" si="139"/>
        <v>0</v>
      </c>
      <c r="BF295" s="377">
        <f t="shared" si="140"/>
        <v>0</v>
      </c>
      <c r="BG295" s="328"/>
    </row>
    <row r="296" spans="2:59">
      <c r="B296" s="332">
        <v>281</v>
      </c>
      <c r="C296" s="350">
        <v>5141681.4481354123</v>
      </c>
      <c r="D296" s="350">
        <v>31760.026433525298</v>
      </c>
      <c r="E296" s="350">
        <v>30409.110864987324</v>
      </c>
      <c r="F296" s="350">
        <v>29021.844297042986</v>
      </c>
      <c r="G296" s="350">
        <v>27598.297589343576</v>
      </c>
      <c r="H296" s="348">
        <v>5260470.7273203125</v>
      </c>
      <c r="I296" s="369"/>
      <c r="J296" s="350">
        <v>7388354.0181676932</v>
      </c>
      <c r="K296" s="350">
        <v>2306187.8671613773</v>
      </c>
      <c r="L296" s="350">
        <v>2330821.3629015293</v>
      </c>
      <c r="M296" s="350">
        <v>2353584.1135583622</v>
      </c>
      <c r="N296" s="350">
        <v>2374412.8101061406</v>
      </c>
      <c r="O296" s="348">
        <v>16753360.171895102</v>
      </c>
      <c r="P296" s="369"/>
      <c r="Q296" s="350">
        <f t="shared" si="141"/>
        <v>2246672.5700322809</v>
      </c>
      <c r="R296" s="350">
        <f t="shared" si="142"/>
        <v>2274427.8407278522</v>
      </c>
      <c r="S296" s="350">
        <f t="shared" si="143"/>
        <v>2300412.2520365422</v>
      </c>
      <c r="T296" s="350">
        <f t="shared" si="144"/>
        <v>2324562.2692613192</v>
      </c>
      <c r="U296" s="350">
        <f t="shared" si="145"/>
        <v>2346814.5125167971</v>
      </c>
      <c r="V296" s="350">
        <f t="shared" si="146"/>
        <v>11492889.444574788</v>
      </c>
      <c r="W296" s="365"/>
      <c r="X296" s="377">
        <f t="shared" si="124"/>
        <v>0</v>
      </c>
      <c r="Y296" s="377">
        <f t="shared" si="125"/>
        <v>0</v>
      </c>
      <c r="Z296" s="377">
        <f t="shared" si="126"/>
        <v>0</v>
      </c>
      <c r="AA296" s="377">
        <f t="shared" si="127"/>
        <v>0</v>
      </c>
      <c r="AB296" s="377">
        <f t="shared" si="128"/>
        <v>0</v>
      </c>
      <c r="AC296" s="377">
        <f t="shared" si="129"/>
        <v>0</v>
      </c>
      <c r="AD296" s="376"/>
      <c r="AE296" s="332">
        <v>281</v>
      </c>
      <c r="AF296" s="350">
        <v>5811605.412289775</v>
      </c>
      <c r="AG296" s="350">
        <v>35898.128535845433</v>
      </c>
      <c r="AH296" s="350">
        <v>34371.198423809445</v>
      </c>
      <c r="AI296" s="350">
        <v>32803.181039637857</v>
      </c>
      <c r="AJ296" s="350">
        <v>31194.156475479776</v>
      </c>
      <c r="AK296" s="348">
        <v>5945872.0767645473</v>
      </c>
      <c r="AL296" s="369"/>
      <c r="AM296" s="350">
        <v>7749909.0550762266</v>
      </c>
      <c r="AN296" s="350">
        <v>1998147.4690680853</v>
      </c>
      <c r="AO296" s="350">
        <v>2019038.4381048209</v>
      </c>
      <c r="AP296" s="350">
        <v>2038305.7070834835</v>
      </c>
      <c r="AQ296" s="350">
        <v>2055894.6754701347</v>
      </c>
      <c r="AR296" s="348">
        <v>15861295.344802752</v>
      </c>
      <c r="AS296" s="369"/>
      <c r="AT296" s="350">
        <f t="shared" si="147"/>
        <v>1938303.6427864516</v>
      </c>
      <c r="AU296" s="350">
        <f t="shared" si="130"/>
        <v>1962249.34053224</v>
      </c>
      <c r="AV296" s="350">
        <f t="shared" si="131"/>
        <v>1984667.2396810115</v>
      </c>
      <c r="AW296" s="350">
        <f t="shared" si="132"/>
        <v>2005502.5260438456</v>
      </c>
      <c r="AX296" s="350">
        <f t="shared" si="133"/>
        <v>2024700.518994655</v>
      </c>
      <c r="AY296" s="350">
        <f t="shared" si="134"/>
        <v>9915423.2680382058</v>
      </c>
      <c r="AZ296" s="365"/>
      <c r="BA296" s="377">
        <f t="shared" si="135"/>
        <v>0</v>
      </c>
      <c r="BB296" s="377">
        <f t="shared" si="136"/>
        <v>0</v>
      </c>
      <c r="BC296" s="377">
        <f t="shared" si="137"/>
        <v>0</v>
      </c>
      <c r="BD296" s="377">
        <f t="shared" si="138"/>
        <v>0</v>
      </c>
      <c r="BE296" s="377">
        <f t="shared" si="139"/>
        <v>0</v>
      </c>
      <c r="BF296" s="377">
        <f t="shared" si="140"/>
        <v>0</v>
      </c>
      <c r="BG296" s="328"/>
    </row>
    <row r="297" spans="2:59">
      <c r="B297" s="332">
        <v>282</v>
      </c>
      <c r="C297" s="350">
        <v>6434516.1777531793</v>
      </c>
      <c r="D297" s="350">
        <v>39745.831388775179</v>
      </c>
      <c r="E297" s="350">
        <v>38055.238891318833</v>
      </c>
      <c r="F297" s="350">
        <v>36319.155226017312</v>
      </c>
      <c r="G297" s="350">
        <v>34537.669069613388</v>
      </c>
      <c r="H297" s="348">
        <v>6583174.0723289037</v>
      </c>
      <c r="I297" s="369"/>
      <c r="J297" s="350">
        <v>7972069.3769454593</v>
      </c>
      <c r="K297" s="350">
        <v>1596293.8791502935</v>
      </c>
      <c r="L297" s="350">
        <v>1612386.2138446833</v>
      </c>
      <c r="M297" s="350">
        <v>1627177.6548128347</v>
      </c>
      <c r="N297" s="350">
        <v>1640624.9154987731</v>
      </c>
      <c r="O297" s="348">
        <v>14448552.040252043</v>
      </c>
      <c r="P297" s="369"/>
      <c r="Q297" s="350">
        <f t="shared" si="141"/>
        <v>1537553.1991922799</v>
      </c>
      <c r="R297" s="350">
        <f t="shared" si="142"/>
        <v>1556548.0477615183</v>
      </c>
      <c r="S297" s="350">
        <f t="shared" si="143"/>
        <v>1574330.9749533643</v>
      </c>
      <c r="T297" s="350">
        <f t="shared" si="144"/>
        <v>1590858.4995868173</v>
      </c>
      <c r="U297" s="350">
        <f t="shared" si="145"/>
        <v>1606087.2464291598</v>
      </c>
      <c r="V297" s="350">
        <f t="shared" si="146"/>
        <v>7865377.9679231392</v>
      </c>
      <c r="W297" s="365"/>
      <c r="X297" s="377">
        <f t="shared" si="124"/>
        <v>0</v>
      </c>
      <c r="Y297" s="377">
        <f t="shared" si="125"/>
        <v>0</v>
      </c>
      <c r="Z297" s="377">
        <f t="shared" si="126"/>
        <v>0</v>
      </c>
      <c r="AA297" s="377">
        <f t="shared" si="127"/>
        <v>0</v>
      </c>
      <c r="AB297" s="377">
        <f t="shared" si="128"/>
        <v>0</v>
      </c>
      <c r="AC297" s="377">
        <f t="shared" si="129"/>
        <v>0</v>
      </c>
      <c r="AD297" s="376"/>
      <c r="AE297" s="332">
        <v>282</v>
      </c>
      <c r="AF297" s="350">
        <v>7449948.7078497913</v>
      </c>
      <c r="AG297" s="350">
        <v>46018.130503887623</v>
      </c>
      <c r="AH297" s="350">
        <v>44060.745201869984</v>
      </c>
      <c r="AI297" s="350">
        <v>42050.689759978326</v>
      </c>
      <c r="AJ297" s="350">
        <v>39988.066849055715</v>
      </c>
      <c r="AK297" s="348">
        <v>7622066.3401645822</v>
      </c>
      <c r="AL297" s="369"/>
      <c r="AM297" s="350">
        <v>10001233.538419619</v>
      </c>
      <c r="AN297" s="350">
        <v>2628821.3950629435</v>
      </c>
      <c r="AO297" s="350">
        <v>2656371.4846317288</v>
      </c>
      <c r="AP297" s="350">
        <v>2681785.7959735943</v>
      </c>
      <c r="AQ297" s="350">
        <v>2704992.4585923576</v>
      </c>
      <c r="AR297" s="348">
        <v>20673204.672680244</v>
      </c>
      <c r="AS297" s="369"/>
      <c r="AT297" s="350">
        <f t="shared" si="147"/>
        <v>2551284.8305698279</v>
      </c>
      <c r="AU297" s="350">
        <f t="shared" si="130"/>
        <v>2582803.2645590557</v>
      </c>
      <c r="AV297" s="350">
        <f t="shared" si="131"/>
        <v>2612310.739429859</v>
      </c>
      <c r="AW297" s="350">
        <f t="shared" si="132"/>
        <v>2639735.1062136162</v>
      </c>
      <c r="AX297" s="350">
        <f t="shared" si="133"/>
        <v>2665004.3917433019</v>
      </c>
      <c r="AY297" s="350">
        <f t="shared" si="134"/>
        <v>13051138.332515661</v>
      </c>
      <c r="AZ297" s="365"/>
      <c r="BA297" s="377">
        <f t="shared" si="135"/>
        <v>0</v>
      </c>
      <c r="BB297" s="377">
        <f t="shared" si="136"/>
        <v>0</v>
      </c>
      <c r="BC297" s="377">
        <f t="shared" si="137"/>
        <v>0</v>
      </c>
      <c r="BD297" s="377">
        <f t="shared" si="138"/>
        <v>0</v>
      </c>
      <c r="BE297" s="377">
        <f t="shared" si="139"/>
        <v>0</v>
      </c>
      <c r="BF297" s="377">
        <f t="shared" si="140"/>
        <v>0</v>
      </c>
      <c r="BG297" s="328"/>
    </row>
    <row r="298" spans="2:59">
      <c r="B298" s="332">
        <v>283</v>
      </c>
      <c r="C298" s="350">
        <v>6145579.6933003962</v>
      </c>
      <c r="D298" s="350">
        <v>37961.078584388866</v>
      </c>
      <c r="E298" s="350">
        <v>36346.400707292647</v>
      </c>
      <c r="F298" s="350">
        <v>34688.274404615055</v>
      </c>
      <c r="G298" s="350">
        <v>32986.784371139096</v>
      </c>
      <c r="H298" s="348">
        <v>6287562.231367832</v>
      </c>
      <c r="I298" s="369"/>
      <c r="J298" s="350">
        <v>7915310.3053628169</v>
      </c>
      <c r="K298" s="350">
        <v>1829554.846342579</v>
      </c>
      <c r="L298" s="350">
        <v>1848408.3972331258</v>
      </c>
      <c r="M298" s="350">
        <v>1865773.5257360707</v>
      </c>
      <c r="N298" s="350">
        <v>1881600.391459262</v>
      </c>
      <c r="O298" s="348">
        <v>15340647.466133853</v>
      </c>
      <c r="P298" s="369"/>
      <c r="Q298" s="350">
        <f t="shared" si="141"/>
        <v>1769730.6120624207</v>
      </c>
      <c r="R298" s="350">
        <f t="shared" si="142"/>
        <v>1791593.7677581902</v>
      </c>
      <c r="S298" s="350">
        <f t="shared" si="143"/>
        <v>1812061.9965258332</v>
      </c>
      <c r="T298" s="350">
        <f t="shared" si="144"/>
        <v>1831085.2513314555</v>
      </c>
      <c r="U298" s="350">
        <f t="shared" si="145"/>
        <v>1848613.607088123</v>
      </c>
      <c r="V298" s="350">
        <f t="shared" si="146"/>
        <v>9053085.2347660214</v>
      </c>
      <c r="W298" s="365"/>
      <c r="X298" s="377">
        <f t="shared" si="124"/>
        <v>0</v>
      </c>
      <c r="Y298" s="377">
        <f t="shared" si="125"/>
        <v>0</v>
      </c>
      <c r="Z298" s="377">
        <f t="shared" si="126"/>
        <v>0</v>
      </c>
      <c r="AA298" s="377">
        <f t="shared" si="127"/>
        <v>0</v>
      </c>
      <c r="AB298" s="377">
        <f t="shared" si="128"/>
        <v>0</v>
      </c>
      <c r="AC298" s="377">
        <f t="shared" si="129"/>
        <v>0</v>
      </c>
      <c r="AD298" s="376"/>
      <c r="AE298" s="332">
        <v>283</v>
      </c>
      <c r="AF298" s="350">
        <v>5060857.5145687684</v>
      </c>
      <c r="AG298" s="350">
        <v>31260.779194575411</v>
      </c>
      <c r="AH298" s="350">
        <v>29931.099152055711</v>
      </c>
      <c r="AI298" s="350">
        <v>28565.639524518574</v>
      </c>
      <c r="AJ298" s="350">
        <v>27164.470057743678</v>
      </c>
      <c r="AK298" s="348">
        <v>5177779.5024976619</v>
      </c>
      <c r="AL298" s="369"/>
      <c r="AM298" s="350">
        <v>6685608.0933261309</v>
      </c>
      <c r="AN298" s="350">
        <v>1676083.4382041784</v>
      </c>
      <c r="AO298" s="350">
        <v>1693545.1868173527</v>
      </c>
      <c r="AP298" s="350">
        <v>1709644.5571727601</v>
      </c>
      <c r="AQ298" s="350">
        <v>1724335.7838967938</v>
      </c>
      <c r="AR298" s="348">
        <v>13489217.059417216</v>
      </c>
      <c r="AS298" s="369"/>
      <c r="AT298" s="350">
        <f t="shared" si="147"/>
        <v>1624750.5787573624</v>
      </c>
      <c r="AU298" s="350">
        <f t="shared" si="130"/>
        <v>1644822.6590096029</v>
      </c>
      <c r="AV298" s="350">
        <f t="shared" si="131"/>
        <v>1663614.0876652969</v>
      </c>
      <c r="AW298" s="350">
        <f t="shared" si="132"/>
        <v>1681078.9176482416</v>
      </c>
      <c r="AX298" s="350">
        <f t="shared" si="133"/>
        <v>1697171.3138390502</v>
      </c>
      <c r="AY298" s="350">
        <f t="shared" si="134"/>
        <v>8311437.5569195542</v>
      </c>
      <c r="AZ298" s="365"/>
      <c r="BA298" s="377">
        <f t="shared" si="135"/>
        <v>0</v>
      </c>
      <c r="BB298" s="377">
        <f t="shared" si="136"/>
        <v>0</v>
      </c>
      <c r="BC298" s="377">
        <f t="shared" si="137"/>
        <v>0</v>
      </c>
      <c r="BD298" s="377">
        <f t="shared" si="138"/>
        <v>0</v>
      </c>
      <c r="BE298" s="377">
        <f t="shared" si="139"/>
        <v>0</v>
      </c>
      <c r="BF298" s="377">
        <f t="shared" si="140"/>
        <v>0</v>
      </c>
      <c r="BG298" s="328"/>
    </row>
    <row r="299" spans="2:59">
      <c r="B299" s="332">
        <v>284</v>
      </c>
      <c r="C299" s="350">
        <v>6199679.1765869511</v>
      </c>
      <c r="D299" s="350">
        <v>38295.249620955095</v>
      </c>
      <c r="E299" s="350">
        <v>36666.357748894545</v>
      </c>
      <c r="F299" s="350">
        <v>34993.634975147696</v>
      </c>
      <c r="G299" s="350">
        <v>33277.166740063461</v>
      </c>
      <c r="H299" s="348">
        <v>6342911.5856720125</v>
      </c>
      <c r="I299" s="369"/>
      <c r="J299" s="350">
        <v>8748582.2915592976</v>
      </c>
      <c r="K299" s="350">
        <v>2618687.3749976237</v>
      </c>
      <c r="L299" s="350">
        <v>2646538.411713684</v>
      </c>
      <c r="M299" s="350">
        <v>2672264.4540968891</v>
      </c>
      <c r="N299" s="350">
        <v>2695793.6816100636</v>
      </c>
      <c r="O299" s="348">
        <v>19381866.213977557</v>
      </c>
      <c r="P299" s="369"/>
      <c r="Q299" s="350">
        <f t="shared" si="141"/>
        <v>2548903.1149723465</v>
      </c>
      <c r="R299" s="350">
        <f t="shared" si="142"/>
        <v>2580392.1253766688</v>
      </c>
      <c r="S299" s="350">
        <f t="shared" si="143"/>
        <v>2609872.0539647895</v>
      </c>
      <c r="T299" s="350">
        <f t="shared" si="144"/>
        <v>2637270.8191217412</v>
      </c>
      <c r="U299" s="350">
        <f t="shared" si="145"/>
        <v>2662516.5148700001</v>
      </c>
      <c r="V299" s="350">
        <f t="shared" si="146"/>
        <v>13038954.628305543</v>
      </c>
      <c r="W299" s="365"/>
      <c r="X299" s="377">
        <f t="shared" si="124"/>
        <v>0</v>
      </c>
      <c r="Y299" s="377">
        <f t="shared" si="125"/>
        <v>0</v>
      </c>
      <c r="Z299" s="377">
        <f t="shared" si="126"/>
        <v>0</v>
      </c>
      <c r="AA299" s="377">
        <f t="shared" si="127"/>
        <v>0</v>
      </c>
      <c r="AB299" s="377">
        <f t="shared" si="128"/>
        <v>0</v>
      </c>
      <c r="AC299" s="377">
        <f t="shared" si="129"/>
        <v>0</v>
      </c>
      <c r="AD299" s="376"/>
      <c r="AE299" s="332">
        <v>284</v>
      </c>
      <c r="AF299" s="350">
        <v>4853261.5811038688</v>
      </c>
      <c r="AG299" s="350">
        <v>29978.464760894851</v>
      </c>
      <c r="AH299" s="350">
        <v>28703.328077644361</v>
      </c>
      <c r="AI299" s="350">
        <v>27393.879484832807</v>
      </c>
      <c r="AJ299" s="350">
        <v>26050.185867272168</v>
      </c>
      <c r="AK299" s="348">
        <v>4965387.4392945133</v>
      </c>
      <c r="AL299" s="369"/>
      <c r="AM299" s="350">
        <v>6812594.6931358147</v>
      </c>
      <c r="AN299" s="350">
        <v>2013517.0714575402</v>
      </c>
      <c r="AO299" s="350">
        <v>2034903.0551141533</v>
      </c>
      <c r="AP299" s="350">
        <v>2054654.9436453232</v>
      </c>
      <c r="AQ299" s="350">
        <v>2072717.530056729</v>
      </c>
      <c r="AR299" s="348">
        <v>14988387.29340956</v>
      </c>
      <c r="AS299" s="369"/>
      <c r="AT299" s="350">
        <f t="shared" si="147"/>
        <v>1959333.112031946</v>
      </c>
      <c r="AU299" s="350">
        <f t="shared" si="130"/>
        <v>1983538.6066966453</v>
      </c>
      <c r="AV299" s="350">
        <f t="shared" si="131"/>
        <v>2006199.727036509</v>
      </c>
      <c r="AW299" s="350">
        <f t="shared" si="132"/>
        <v>2027261.0641604904</v>
      </c>
      <c r="AX299" s="350">
        <f t="shared" si="133"/>
        <v>2046667.3441894569</v>
      </c>
      <c r="AY299" s="350">
        <f t="shared" si="134"/>
        <v>10022999.854115047</v>
      </c>
      <c r="AZ299" s="365"/>
      <c r="BA299" s="377">
        <f t="shared" si="135"/>
        <v>0</v>
      </c>
      <c r="BB299" s="377">
        <f t="shared" si="136"/>
        <v>0</v>
      </c>
      <c r="BC299" s="377">
        <f t="shared" si="137"/>
        <v>0</v>
      </c>
      <c r="BD299" s="377">
        <f t="shared" si="138"/>
        <v>0</v>
      </c>
      <c r="BE299" s="377">
        <f t="shared" si="139"/>
        <v>0</v>
      </c>
      <c r="BF299" s="377">
        <f t="shared" si="140"/>
        <v>0</v>
      </c>
      <c r="BG299" s="328"/>
    </row>
    <row r="300" spans="2:59">
      <c r="B300" s="332">
        <v>285</v>
      </c>
      <c r="C300" s="350">
        <v>5942842.7006696565</v>
      </c>
      <c r="D300" s="350">
        <v>36708.777696058729</v>
      </c>
      <c r="E300" s="350">
        <v>35147.366549396291</v>
      </c>
      <c r="F300" s="350">
        <v>33543.940300541624</v>
      </c>
      <c r="G300" s="350">
        <v>31898.580850280832</v>
      </c>
      <c r="H300" s="348">
        <v>6080141.3660659343</v>
      </c>
      <c r="I300" s="369"/>
      <c r="J300" s="350">
        <v>8292089.4629899068</v>
      </c>
      <c r="K300" s="350">
        <v>2414978.0067026564</v>
      </c>
      <c r="L300" s="350">
        <v>2440587.3524130392</v>
      </c>
      <c r="M300" s="350">
        <v>2464236.5377516709</v>
      </c>
      <c r="N300" s="350">
        <v>2485859.3710588189</v>
      </c>
      <c r="O300" s="348">
        <v>18097750.730916094</v>
      </c>
      <c r="P300" s="369"/>
      <c r="Q300" s="350">
        <f t="shared" si="141"/>
        <v>2349246.7623202503</v>
      </c>
      <c r="R300" s="350">
        <f t="shared" si="142"/>
        <v>2378269.2290065978</v>
      </c>
      <c r="S300" s="350">
        <f t="shared" si="143"/>
        <v>2405439.9858636428</v>
      </c>
      <c r="T300" s="350">
        <f t="shared" si="144"/>
        <v>2430692.5974511295</v>
      </c>
      <c r="U300" s="350">
        <f t="shared" si="145"/>
        <v>2453960.7902085381</v>
      </c>
      <c r="V300" s="350">
        <f t="shared" si="146"/>
        <v>12017609.36485016</v>
      </c>
      <c r="W300" s="365"/>
      <c r="X300" s="377">
        <f t="shared" si="124"/>
        <v>0</v>
      </c>
      <c r="Y300" s="377">
        <f t="shared" si="125"/>
        <v>0</v>
      </c>
      <c r="Z300" s="377">
        <f t="shared" si="126"/>
        <v>0</v>
      </c>
      <c r="AA300" s="377">
        <f t="shared" si="127"/>
        <v>0</v>
      </c>
      <c r="AB300" s="377">
        <f t="shared" si="128"/>
        <v>0</v>
      </c>
      <c r="AC300" s="377">
        <f t="shared" si="129"/>
        <v>0</v>
      </c>
      <c r="AD300" s="376"/>
      <c r="AE300" s="332">
        <v>285</v>
      </c>
      <c r="AF300" s="350">
        <v>5402217.303307781</v>
      </c>
      <c r="AG300" s="350">
        <v>33369.34932344524</v>
      </c>
      <c r="AH300" s="350">
        <v>31949.981061664301</v>
      </c>
      <c r="AI300" s="350">
        <v>30492.419846867393</v>
      </c>
      <c r="AJ300" s="350">
        <v>28996.74012925422</v>
      </c>
      <c r="AK300" s="348">
        <v>5527025.7936690114</v>
      </c>
      <c r="AL300" s="369"/>
      <c r="AM300" s="350">
        <v>6560074.122553817</v>
      </c>
      <c r="AN300" s="350">
        <v>1205530.2687189856</v>
      </c>
      <c r="AO300" s="350">
        <v>1217502.3613354708</v>
      </c>
      <c r="AP300" s="350">
        <v>1228490.8781569665</v>
      </c>
      <c r="AQ300" s="350">
        <v>1238463.2298474659</v>
      </c>
      <c r="AR300" s="348">
        <v>11450060.860612707</v>
      </c>
      <c r="AS300" s="369"/>
      <c r="AT300" s="350">
        <f t="shared" si="147"/>
        <v>1157856.819246036</v>
      </c>
      <c r="AU300" s="350">
        <f t="shared" si="130"/>
        <v>1172160.9193955404</v>
      </c>
      <c r="AV300" s="350">
        <f t="shared" si="131"/>
        <v>1185552.3802738064</v>
      </c>
      <c r="AW300" s="350">
        <f t="shared" si="132"/>
        <v>1197998.4583100991</v>
      </c>
      <c r="AX300" s="350">
        <f t="shared" si="133"/>
        <v>1209466.4897182116</v>
      </c>
      <c r="AY300" s="350">
        <f t="shared" si="134"/>
        <v>5923035.0669436958</v>
      </c>
      <c r="AZ300" s="365"/>
      <c r="BA300" s="377">
        <f t="shared" si="135"/>
        <v>0</v>
      </c>
      <c r="BB300" s="377">
        <f t="shared" si="136"/>
        <v>0</v>
      </c>
      <c r="BC300" s="377">
        <f t="shared" si="137"/>
        <v>0</v>
      </c>
      <c r="BD300" s="377">
        <f t="shared" si="138"/>
        <v>0</v>
      </c>
      <c r="BE300" s="377">
        <f t="shared" si="139"/>
        <v>0</v>
      </c>
      <c r="BF300" s="377">
        <f t="shared" si="140"/>
        <v>0</v>
      </c>
      <c r="BG300" s="328"/>
    </row>
    <row r="301" spans="2:59">
      <c r="B301" s="332">
        <v>286</v>
      </c>
      <c r="C301" s="350">
        <v>7769166.5455797529</v>
      </c>
      <c r="D301" s="350">
        <v>47989.930403711471</v>
      </c>
      <c r="E301" s="350">
        <v>45948.674416374997</v>
      </c>
      <c r="F301" s="350">
        <v>43852.491461791462</v>
      </c>
      <c r="G301" s="350">
        <v>41701.488610080742</v>
      </c>
      <c r="H301" s="348">
        <v>7948659.130471711</v>
      </c>
      <c r="I301" s="369"/>
      <c r="J301" s="350">
        <v>9385432.8429813795</v>
      </c>
      <c r="K301" s="350">
        <v>1684223.4937073123</v>
      </c>
      <c r="L301" s="350">
        <v>1700875.5394570676</v>
      </c>
      <c r="M301" s="350">
        <v>1716152.9869294199</v>
      </c>
      <c r="N301" s="350">
        <v>1730010.3474214131</v>
      </c>
      <c r="O301" s="348">
        <v>16216695.210496593</v>
      </c>
      <c r="P301" s="369"/>
      <c r="Q301" s="350">
        <f t="shared" si="141"/>
        <v>1616266.2974016266</v>
      </c>
      <c r="R301" s="350">
        <f t="shared" si="142"/>
        <v>1636233.5633036008</v>
      </c>
      <c r="S301" s="350">
        <f t="shared" si="143"/>
        <v>1654926.8650406925</v>
      </c>
      <c r="T301" s="350">
        <f t="shared" si="144"/>
        <v>1672300.4954676284</v>
      </c>
      <c r="U301" s="350">
        <f t="shared" si="145"/>
        <v>1688308.8588113324</v>
      </c>
      <c r="V301" s="350">
        <f t="shared" si="146"/>
        <v>8268036.0800248822</v>
      </c>
      <c r="W301" s="365"/>
      <c r="X301" s="377">
        <f t="shared" si="124"/>
        <v>0</v>
      </c>
      <c r="Y301" s="377">
        <f t="shared" si="125"/>
        <v>0</v>
      </c>
      <c r="Z301" s="377">
        <f t="shared" si="126"/>
        <v>0</v>
      </c>
      <c r="AA301" s="377">
        <f t="shared" si="127"/>
        <v>0</v>
      </c>
      <c r="AB301" s="377">
        <f t="shared" si="128"/>
        <v>0</v>
      </c>
      <c r="AC301" s="377">
        <f t="shared" si="129"/>
        <v>0</v>
      </c>
      <c r="AD301" s="376"/>
      <c r="AE301" s="332">
        <v>286</v>
      </c>
      <c r="AF301" s="350">
        <v>6274494.8200828657</v>
      </c>
      <c r="AG301" s="350">
        <v>38757.383815584762</v>
      </c>
      <c r="AH301" s="350">
        <v>37108.835024168104</v>
      </c>
      <c r="AI301" s="350">
        <v>35415.926394486167</v>
      </c>
      <c r="AJ301" s="350">
        <v>33678.744397951225</v>
      </c>
      <c r="AK301" s="348">
        <v>6419455.7097150553</v>
      </c>
      <c r="AL301" s="369"/>
      <c r="AM301" s="350">
        <v>7915557.5898598135</v>
      </c>
      <c r="AN301" s="350">
        <v>1700093.7537651334</v>
      </c>
      <c r="AO301" s="350">
        <v>1717425.2960479793</v>
      </c>
      <c r="AP301" s="350">
        <v>1733372.5610180004</v>
      </c>
      <c r="AQ301" s="350">
        <v>1747889.3398512157</v>
      </c>
      <c r="AR301" s="348">
        <v>14814338.540542144</v>
      </c>
      <c r="AS301" s="369"/>
      <c r="AT301" s="350">
        <f t="shared" si="147"/>
        <v>1641062.7697769478</v>
      </c>
      <c r="AU301" s="350">
        <f t="shared" si="130"/>
        <v>1661336.3699495487</v>
      </c>
      <c r="AV301" s="350">
        <f t="shared" si="131"/>
        <v>1680316.4610238113</v>
      </c>
      <c r="AW301" s="350">
        <f t="shared" si="132"/>
        <v>1697956.6346235143</v>
      </c>
      <c r="AX301" s="350">
        <f t="shared" si="133"/>
        <v>1714210.5954532644</v>
      </c>
      <c r="AY301" s="350">
        <f t="shared" si="134"/>
        <v>8394882.830827089</v>
      </c>
      <c r="AZ301" s="365"/>
      <c r="BA301" s="377">
        <f t="shared" si="135"/>
        <v>0</v>
      </c>
      <c r="BB301" s="377">
        <f t="shared" si="136"/>
        <v>0</v>
      </c>
      <c r="BC301" s="377">
        <f t="shared" si="137"/>
        <v>0</v>
      </c>
      <c r="BD301" s="377">
        <f t="shared" si="138"/>
        <v>0</v>
      </c>
      <c r="BE301" s="377">
        <f t="shared" si="139"/>
        <v>0</v>
      </c>
      <c r="BF301" s="377">
        <f t="shared" si="140"/>
        <v>0</v>
      </c>
      <c r="BG301" s="328"/>
    </row>
    <row r="302" spans="2:59">
      <c r="B302" s="332">
        <v>287</v>
      </c>
      <c r="C302" s="350">
        <v>7661338.3691651225</v>
      </c>
      <c r="D302" s="350">
        <v>47323.87869130027</v>
      </c>
      <c r="E302" s="350">
        <v>45310.953273195788</v>
      </c>
      <c r="F302" s="350">
        <v>43243.863218619401</v>
      </c>
      <c r="G302" s="350">
        <v>41122.714111655463</v>
      </c>
      <c r="H302" s="348">
        <v>7838339.7784598926</v>
      </c>
      <c r="I302" s="369"/>
      <c r="J302" s="350">
        <v>8884457.1136952769</v>
      </c>
      <c r="K302" s="350">
        <v>1285552.9656452185</v>
      </c>
      <c r="L302" s="350">
        <v>1297686.3029986322</v>
      </c>
      <c r="M302" s="350">
        <v>1308766.8069203019</v>
      </c>
      <c r="N302" s="350">
        <v>1318760.0781328171</v>
      </c>
      <c r="O302" s="348">
        <v>14095223.267392246</v>
      </c>
      <c r="P302" s="369"/>
      <c r="Q302" s="350">
        <f t="shared" si="141"/>
        <v>1223118.7445301544</v>
      </c>
      <c r="R302" s="350">
        <f t="shared" si="142"/>
        <v>1238229.0869539182</v>
      </c>
      <c r="S302" s="350">
        <f t="shared" si="143"/>
        <v>1252375.3497254364</v>
      </c>
      <c r="T302" s="350">
        <f t="shared" si="144"/>
        <v>1265522.9437016824</v>
      </c>
      <c r="U302" s="350">
        <f t="shared" si="145"/>
        <v>1277637.3640211616</v>
      </c>
      <c r="V302" s="350">
        <f t="shared" si="146"/>
        <v>6256883.4889323534</v>
      </c>
      <c r="W302" s="365"/>
      <c r="X302" s="377">
        <f t="shared" si="124"/>
        <v>0</v>
      </c>
      <c r="Y302" s="377">
        <f t="shared" si="125"/>
        <v>0</v>
      </c>
      <c r="Z302" s="377">
        <f t="shared" si="126"/>
        <v>0</v>
      </c>
      <c r="AA302" s="377">
        <f t="shared" si="127"/>
        <v>0</v>
      </c>
      <c r="AB302" s="377">
        <f t="shared" si="128"/>
        <v>0</v>
      </c>
      <c r="AC302" s="377">
        <f t="shared" si="129"/>
        <v>0</v>
      </c>
      <c r="AD302" s="376"/>
      <c r="AE302" s="332">
        <v>287</v>
      </c>
      <c r="AF302" s="350">
        <v>5603821.9650073228</v>
      </c>
      <c r="AG302" s="350">
        <v>34614.655834415222</v>
      </c>
      <c r="AH302" s="350">
        <v>33142.318348670808</v>
      </c>
      <c r="AI302" s="350">
        <v>31630.362591944853</v>
      </c>
      <c r="AJ302" s="350">
        <v>30078.865792834029</v>
      </c>
      <c r="AK302" s="348">
        <v>5733288.167575187</v>
      </c>
      <c r="AL302" s="369"/>
      <c r="AM302" s="350">
        <v>6857050.2985835131</v>
      </c>
      <c r="AN302" s="350">
        <v>1303325.3040592717</v>
      </c>
      <c r="AO302" s="350">
        <v>1316347.4687621037</v>
      </c>
      <c r="AP302" s="350">
        <v>1328306.7621077842</v>
      </c>
      <c r="AQ302" s="350">
        <v>1339167.9070551244</v>
      </c>
      <c r="AR302" s="348">
        <v>12144197.740567798</v>
      </c>
      <c r="AS302" s="369"/>
      <c r="AT302" s="350">
        <f t="shared" si="147"/>
        <v>1253228.3335761903</v>
      </c>
      <c r="AU302" s="350">
        <f t="shared" si="130"/>
        <v>1268710.6482248565</v>
      </c>
      <c r="AV302" s="350">
        <f t="shared" si="131"/>
        <v>1283205.1504134329</v>
      </c>
      <c r="AW302" s="350">
        <f t="shared" si="132"/>
        <v>1296676.3995158393</v>
      </c>
      <c r="AX302" s="350">
        <f t="shared" si="133"/>
        <v>1309089.0412622904</v>
      </c>
      <c r="AY302" s="350">
        <f t="shared" si="134"/>
        <v>6410909.5729926107</v>
      </c>
      <c r="AZ302" s="365"/>
      <c r="BA302" s="377">
        <f t="shared" si="135"/>
        <v>0</v>
      </c>
      <c r="BB302" s="377">
        <f t="shared" si="136"/>
        <v>0</v>
      </c>
      <c r="BC302" s="377">
        <f t="shared" si="137"/>
        <v>0</v>
      </c>
      <c r="BD302" s="377">
        <f t="shared" si="138"/>
        <v>0</v>
      </c>
      <c r="BE302" s="377">
        <f t="shared" si="139"/>
        <v>0</v>
      </c>
      <c r="BF302" s="377">
        <f t="shared" si="140"/>
        <v>0</v>
      </c>
      <c r="BG302" s="328"/>
    </row>
    <row r="303" spans="2:59">
      <c r="B303" s="332">
        <v>288</v>
      </c>
      <c r="C303" s="350">
        <v>5137770.2867327789</v>
      </c>
      <c r="D303" s="350">
        <v>31735.867295938708</v>
      </c>
      <c r="E303" s="350">
        <v>30385.979338480996</v>
      </c>
      <c r="F303" s="350">
        <v>28999.768033006225</v>
      </c>
      <c r="G303" s="350">
        <v>27577.304185259851</v>
      </c>
      <c r="H303" s="348">
        <v>5256469.2055854648</v>
      </c>
      <c r="I303" s="369"/>
      <c r="J303" s="350">
        <v>6706583.6922234269</v>
      </c>
      <c r="K303" s="350">
        <v>1619930.3082436631</v>
      </c>
      <c r="L303" s="350">
        <v>1636724.8946251022</v>
      </c>
      <c r="M303" s="350">
        <v>1652202.2313374495</v>
      </c>
      <c r="N303" s="350">
        <v>1666318.1320858968</v>
      </c>
      <c r="O303" s="348">
        <v>13281759.258515541</v>
      </c>
      <c r="P303" s="369"/>
      <c r="Q303" s="350">
        <f t="shared" si="141"/>
        <v>1568813.405490648</v>
      </c>
      <c r="R303" s="350">
        <f t="shared" si="142"/>
        <v>1588194.4409477243</v>
      </c>
      <c r="S303" s="350">
        <f t="shared" si="143"/>
        <v>1606338.9152866211</v>
      </c>
      <c r="T303" s="350">
        <f t="shared" si="144"/>
        <v>1623202.4633044433</v>
      </c>
      <c r="U303" s="350">
        <f t="shared" si="145"/>
        <v>1638740.8279006369</v>
      </c>
      <c r="V303" s="350">
        <f t="shared" si="146"/>
        <v>8025290.0529300757</v>
      </c>
      <c r="W303" s="365"/>
      <c r="X303" s="377">
        <f t="shared" si="124"/>
        <v>0</v>
      </c>
      <c r="Y303" s="377">
        <f t="shared" si="125"/>
        <v>0</v>
      </c>
      <c r="Z303" s="377">
        <f t="shared" si="126"/>
        <v>0</v>
      </c>
      <c r="AA303" s="377">
        <f t="shared" si="127"/>
        <v>0</v>
      </c>
      <c r="AB303" s="377">
        <f t="shared" si="128"/>
        <v>0</v>
      </c>
      <c r="AC303" s="377">
        <f t="shared" si="129"/>
        <v>0</v>
      </c>
      <c r="AD303" s="376"/>
      <c r="AE303" s="332">
        <v>288</v>
      </c>
      <c r="AF303" s="350">
        <v>6374928.3805507701</v>
      </c>
      <c r="AG303" s="350">
        <v>39377.759186451331</v>
      </c>
      <c r="AH303" s="350">
        <v>37702.822673081704</v>
      </c>
      <c r="AI303" s="350">
        <v>35982.81626961712</v>
      </c>
      <c r="AJ303" s="350">
        <v>34217.82783159164</v>
      </c>
      <c r="AK303" s="348">
        <v>6522209.6065115118</v>
      </c>
      <c r="AL303" s="369"/>
      <c r="AM303" s="350">
        <v>8480158.2535890341</v>
      </c>
      <c r="AN303" s="350">
        <v>2170615.5275370888</v>
      </c>
      <c r="AO303" s="350">
        <v>2193289.1141018206</v>
      </c>
      <c r="AP303" s="350">
        <v>2214198.7237688731</v>
      </c>
      <c r="AQ303" s="350">
        <v>2233285.0546857049</v>
      </c>
      <c r="AR303" s="348">
        <v>17291546.673682522</v>
      </c>
      <c r="AS303" s="369"/>
      <c r="AT303" s="350">
        <f t="shared" si="147"/>
        <v>2105229.873038264</v>
      </c>
      <c r="AU303" s="350">
        <f t="shared" si="130"/>
        <v>2131237.7683506375</v>
      </c>
      <c r="AV303" s="350">
        <f t="shared" si="131"/>
        <v>2155586.2914287387</v>
      </c>
      <c r="AW303" s="350">
        <f t="shared" si="132"/>
        <v>2178215.9074992561</v>
      </c>
      <c r="AX303" s="350">
        <f t="shared" si="133"/>
        <v>2199067.2268541134</v>
      </c>
      <c r="AY303" s="350">
        <f t="shared" si="134"/>
        <v>10769337.067171011</v>
      </c>
      <c r="AZ303" s="365"/>
      <c r="BA303" s="377">
        <f t="shared" si="135"/>
        <v>0</v>
      </c>
      <c r="BB303" s="377">
        <f t="shared" si="136"/>
        <v>0</v>
      </c>
      <c r="BC303" s="377">
        <f t="shared" si="137"/>
        <v>0</v>
      </c>
      <c r="BD303" s="377">
        <f t="shared" si="138"/>
        <v>0</v>
      </c>
      <c r="BE303" s="377">
        <f t="shared" si="139"/>
        <v>0</v>
      </c>
      <c r="BF303" s="377">
        <f t="shared" si="140"/>
        <v>0</v>
      </c>
      <c r="BG303" s="328"/>
    </row>
    <row r="304" spans="2:59">
      <c r="B304" s="332">
        <v>289</v>
      </c>
      <c r="C304" s="350">
        <v>4379889.7129161414</v>
      </c>
      <c r="D304" s="350">
        <v>27054.459608459925</v>
      </c>
      <c r="E304" s="350">
        <v>25903.695746218993</v>
      </c>
      <c r="F304" s="350">
        <v>24721.966650146082</v>
      </c>
      <c r="G304" s="350">
        <v>23509.332681315766</v>
      </c>
      <c r="H304" s="348">
        <v>4481079.167602282</v>
      </c>
      <c r="I304" s="369"/>
      <c r="J304" s="350">
        <v>6104788.8982958365</v>
      </c>
      <c r="K304" s="350">
        <v>1773262.9556778299</v>
      </c>
      <c r="L304" s="350">
        <v>1792061.9123475323</v>
      </c>
      <c r="M304" s="350">
        <v>1809421.5344005188</v>
      </c>
      <c r="N304" s="350">
        <v>1825293.2218304616</v>
      </c>
      <c r="O304" s="348">
        <v>13304828.522552179</v>
      </c>
      <c r="P304" s="369"/>
      <c r="Q304" s="350">
        <f t="shared" si="141"/>
        <v>1724899.1853796951</v>
      </c>
      <c r="R304" s="350">
        <f t="shared" si="142"/>
        <v>1746208.4960693701</v>
      </c>
      <c r="S304" s="350">
        <f t="shared" si="143"/>
        <v>1766158.2166013133</v>
      </c>
      <c r="T304" s="350">
        <f t="shared" si="144"/>
        <v>1784699.5677503727</v>
      </c>
      <c r="U304" s="350">
        <f t="shared" si="145"/>
        <v>1801783.8891491459</v>
      </c>
      <c r="V304" s="350">
        <f t="shared" si="146"/>
        <v>8823749.3549498972</v>
      </c>
      <c r="W304" s="365"/>
      <c r="X304" s="377">
        <f t="shared" si="124"/>
        <v>0</v>
      </c>
      <c r="Y304" s="377">
        <f t="shared" si="125"/>
        <v>0</v>
      </c>
      <c r="Z304" s="377">
        <f t="shared" si="126"/>
        <v>0</v>
      </c>
      <c r="AA304" s="377">
        <f t="shared" si="127"/>
        <v>0</v>
      </c>
      <c r="AB304" s="377">
        <f t="shared" si="128"/>
        <v>0</v>
      </c>
      <c r="AC304" s="377">
        <f t="shared" si="129"/>
        <v>0</v>
      </c>
      <c r="AD304" s="376"/>
      <c r="AE304" s="332">
        <v>289</v>
      </c>
      <c r="AF304" s="350">
        <v>5465313.6548781339</v>
      </c>
      <c r="AG304" s="350">
        <v>33759.093770653439</v>
      </c>
      <c r="AH304" s="350">
        <v>32323.1476939104</v>
      </c>
      <c r="AI304" s="350">
        <v>30848.562581391125</v>
      </c>
      <c r="AJ304" s="350">
        <v>29335.413752854613</v>
      </c>
      <c r="AK304" s="348">
        <v>5591579.8726769434</v>
      </c>
      <c r="AL304" s="369"/>
      <c r="AM304" s="350">
        <v>9115921.0443649888</v>
      </c>
      <c r="AN304" s="350">
        <v>3729465.8883288056</v>
      </c>
      <c r="AO304" s="350">
        <v>3770251.8864731602</v>
      </c>
      <c r="AP304" s="350">
        <v>3808018.5475097168</v>
      </c>
      <c r="AQ304" s="350">
        <v>3842662.9610890988</v>
      </c>
      <c r="AR304" s="348">
        <v>24266320.32776577</v>
      </c>
      <c r="AS304" s="369"/>
      <c r="AT304" s="350">
        <f t="shared" si="147"/>
        <v>3650607.3894868549</v>
      </c>
      <c r="AU304" s="350">
        <f t="shared" si="130"/>
        <v>3695706.7945581521</v>
      </c>
      <c r="AV304" s="350">
        <f t="shared" si="131"/>
        <v>3737928.7387792501</v>
      </c>
      <c r="AW304" s="350">
        <f t="shared" si="132"/>
        <v>3777169.9849283257</v>
      </c>
      <c r="AX304" s="350">
        <f t="shared" si="133"/>
        <v>3813327.547336244</v>
      </c>
      <c r="AY304" s="350">
        <f t="shared" si="134"/>
        <v>18674740.455088828</v>
      </c>
      <c r="AZ304" s="365"/>
      <c r="BA304" s="377">
        <f t="shared" si="135"/>
        <v>0</v>
      </c>
      <c r="BB304" s="377">
        <f t="shared" si="136"/>
        <v>0</v>
      </c>
      <c r="BC304" s="377">
        <f t="shared" si="137"/>
        <v>0</v>
      </c>
      <c r="BD304" s="377">
        <f t="shared" si="138"/>
        <v>0</v>
      </c>
      <c r="BE304" s="377">
        <f t="shared" si="139"/>
        <v>0</v>
      </c>
      <c r="BF304" s="377">
        <f t="shared" si="140"/>
        <v>0</v>
      </c>
      <c r="BG304" s="328"/>
    </row>
    <row r="305" spans="2:59">
      <c r="B305" s="332">
        <v>290</v>
      </c>
      <c r="C305" s="350">
        <v>5983433.3211028334</v>
      </c>
      <c r="D305" s="350">
        <v>36959.504854268991</v>
      </c>
      <c r="E305" s="350">
        <v>35387.429005478589</v>
      </c>
      <c r="F305" s="350">
        <v>33773.051084244311</v>
      </c>
      <c r="G305" s="350">
        <v>32116.453550749895</v>
      </c>
      <c r="H305" s="348">
        <v>6121669.7595975753</v>
      </c>
      <c r="I305" s="369"/>
      <c r="J305" s="350">
        <v>7581366.9147767639</v>
      </c>
      <c r="K305" s="350">
        <v>1654633.883205751</v>
      </c>
      <c r="L305" s="350">
        <v>1671543.0779683692</v>
      </c>
      <c r="M305" s="350">
        <v>1687105.2678861783</v>
      </c>
      <c r="N305" s="350">
        <v>1701275.4568220712</v>
      </c>
      <c r="O305" s="348">
        <v>14295924.600659134</v>
      </c>
      <c r="P305" s="369"/>
      <c r="Q305" s="350">
        <f t="shared" si="141"/>
        <v>1597933.5936739305</v>
      </c>
      <c r="R305" s="350">
        <f t="shared" si="142"/>
        <v>1617674.3783514819</v>
      </c>
      <c r="S305" s="350">
        <f t="shared" si="143"/>
        <v>1636155.6489628907</v>
      </c>
      <c r="T305" s="350">
        <f t="shared" si="144"/>
        <v>1653332.2168019339</v>
      </c>
      <c r="U305" s="350">
        <f t="shared" si="145"/>
        <v>1669159.0032713213</v>
      </c>
      <c r="V305" s="350">
        <f t="shared" si="146"/>
        <v>8174254.8410615586</v>
      </c>
      <c r="W305" s="365"/>
      <c r="X305" s="377">
        <f t="shared" si="124"/>
        <v>0</v>
      </c>
      <c r="Y305" s="377">
        <f t="shared" si="125"/>
        <v>0</v>
      </c>
      <c r="Z305" s="377">
        <f t="shared" si="126"/>
        <v>0</v>
      </c>
      <c r="AA305" s="377">
        <f t="shared" si="127"/>
        <v>0</v>
      </c>
      <c r="AB305" s="377">
        <f t="shared" si="128"/>
        <v>0</v>
      </c>
      <c r="AC305" s="377">
        <f t="shared" si="129"/>
        <v>0</v>
      </c>
      <c r="AD305" s="376"/>
      <c r="AE305" s="332">
        <v>290</v>
      </c>
      <c r="AF305" s="350">
        <v>4963200.2660490442</v>
      </c>
      <c r="AG305" s="350">
        <v>30657.553027086527</v>
      </c>
      <c r="AH305" s="350">
        <v>29353.531263619992</v>
      </c>
      <c r="AI305" s="350">
        <v>28014.420338809508</v>
      </c>
      <c r="AJ305" s="350">
        <v>26640.288652577019</v>
      </c>
      <c r="AK305" s="348">
        <v>5077866.0593311377</v>
      </c>
      <c r="AL305" s="369"/>
      <c r="AM305" s="350">
        <v>6694758.6281767925</v>
      </c>
      <c r="AN305" s="350">
        <v>1783607.4929517494</v>
      </c>
      <c r="AO305" s="350">
        <v>1802330.2099693068</v>
      </c>
      <c r="AP305" s="350">
        <v>1819604.0312665221</v>
      </c>
      <c r="AQ305" s="350">
        <v>1835380.1770168282</v>
      </c>
      <c r="AR305" s="348">
        <v>13935680.539381199</v>
      </c>
      <c r="AS305" s="369"/>
      <c r="AT305" s="350">
        <f t="shared" si="147"/>
        <v>1731558.3621277483</v>
      </c>
      <c r="AU305" s="350">
        <f t="shared" si="130"/>
        <v>1752949.9399246629</v>
      </c>
      <c r="AV305" s="350">
        <f t="shared" si="131"/>
        <v>1772976.6787056869</v>
      </c>
      <c r="AW305" s="350">
        <f t="shared" si="132"/>
        <v>1791589.6109277126</v>
      </c>
      <c r="AX305" s="350">
        <f t="shared" si="133"/>
        <v>1808739.8883642512</v>
      </c>
      <c r="AY305" s="350">
        <f t="shared" si="134"/>
        <v>8857814.4800500609</v>
      </c>
      <c r="AZ305" s="365"/>
      <c r="BA305" s="377">
        <f t="shared" si="135"/>
        <v>0</v>
      </c>
      <c r="BB305" s="377">
        <f t="shared" si="136"/>
        <v>0</v>
      </c>
      <c r="BC305" s="377">
        <f t="shared" si="137"/>
        <v>0</v>
      </c>
      <c r="BD305" s="377">
        <f t="shared" si="138"/>
        <v>0</v>
      </c>
      <c r="BE305" s="377">
        <f t="shared" si="139"/>
        <v>0</v>
      </c>
      <c r="BF305" s="377">
        <f t="shared" si="140"/>
        <v>0</v>
      </c>
      <c r="BG305" s="328"/>
    </row>
    <row r="306" spans="2:59">
      <c r="B306" s="332">
        <v>291</v>
      </c>
      <c r="C306" s="350">
        <v>6176546.1728137527</v>
      </c>
      <c r="D306" s="350">
        <v>38152.35768594531</v>
      </c>
      <c r="E306" s="350">
        <v>36529.543735136547</v>
      </c>
      <c r="F306" s="350">
        <v>34863.062429881262</v>
      </c>
      <c r="G306" s="350">
        <v>33152.998891724172</v>
      </c>
      <c r="H306" s="348">
        <v>6319244.1355564399</v>
      </c>
      <c r="I306" s="369"/>
      <c r="J306" s="350">
        <v>8448979.9620305598</v>
      </c>
      <c r="K306" s="350">
        <v>2338659.670298541</v>
      </c>
      <c r="L306" s="350">
        <v>2363319.2149959812</v>
      </c>
      <c r="M306" s="350">
        <v>2386079.6643809285</v>
      </c>
      <c r="N306" s="350">
        <v>2406876.99695118</v>
      </c>
      <c r="O306" s="348">
        <v>17943915.508657191</v>
      </c>
      <c r="P306" s="369"/>
      <c r="Q306" s="350">
        <f t="shared" si="141"/>
        <v>2272433.7892168071</v>
      </c>
      <c r="R306" s="350">
        <f t="shared" si="142"/>
        <v>2300507.3126125955</v>
      </c>
      <c r="S306" s="350">
        <f t="shared" si="143"/>
        <v>2326789.6712608445</v>
      </c>
      <c r="T306" s="350">
        <f t="shared" si="144"/>
        <v>2351216.6019510473</v>
      </c>
      <c r="U306" s="350">
        <f t="shared" si="145"/>
        <v>2373723.9980594558</v>
      </c>
      <c r="V306" s="350">
        <f t="shared" si="146"/>
        <v>11624671.37310075</v>
      </c>
      <c r="W306" s="365"/>
      <c r="X306" s="377">
        <f t="shared" si="124"/>
        <v>0</v>
      </c>
      <c r="Y306" s="377">
        <f t="shared" si="125"/>
        <v>0</v>
      </c>
      <c r="Z306" s="377">
        <f t="shared" si="126"/>
        <v>0</v>
      </c>
      <c r="AA306" s="377">
        <f t="shared" si="127"/>
        <v>0</v>
      </c>
      <c r="AB306" s="377">
        <f t="shared" si="128"/>
        <v>0</v>
      </c>
      <c r="AC306" s="377">
        <f t="shared" si="129"/>
        <v>0</v>
      </c>
      <c r="AD306" s="376"/>
      <c r="AE306" s="332">
        <v>291</v>
      </c>
      <c r="AF306" s="350">
        <v>5020342.0015676701</v>
      </c>
      <c r="AG306" s="350">
        <v>31010.515972931524</v>
      </c>
      <c r="AH306" s="350">
        <v>29691.480898954222</v>
      </c>
      <c r="AI306" s="350">
        <v>28336.952679213926</v>
      </c>
      <c r="AJ306" s="350">
        <v>26947.000501128332</v>
      </c>
      <c r="AK306" s="348">
        <v>5136327.951619898</v>
      </c>
      <c r="AL306" s="369"/>
      <c r="AM306" s="350">
        <v>6473367.4758820683</v>
      </c>
      <c r="AN306" s="350">
        <v>1501986.5879423223</v>
      </c>
      <c r="AO306" s="350">
        <v>1517472.8551051747</v>
      </c>
      <c r="AP306" s="350">
        <v>1531737.242921887</v>
      </c>
      <c r="AQ306" s="350">
        <v>1544738.8299213967</v>
      </c>
      <c r="AR306" s="348">
        <v>12569302.991772849</v>
      </c>
      <c r="AS306" s="369"/>
      <c r="AT306" s="350">
        <f t="shared" si="147"/>
        <v>1453025.4743143981</v>
      </c>
      <c r="AU306" s="350">
        <f t="shared" si="130"/>
        <v>1470976.0719693906</v>
      </c>
      <c r="AV306" s="350">
        <f t="shared" si="131"/>
        <v>1487781.3742062205</v>
      </c>
      <c r="AW306" s="350">
        <f t="shared" si="132"/>
        <v>1503400.2902426731</v>
      </c>
      <c r="AX306" s="350">
        <f t="shared" si="133"/>
        <v>1517791.8294202683</v>
      </c>
      <c r="AY306" s="350">
        <f t="shared" si="134"/>
        <v>7432975.0401529511</v>
      </c>
      <c r="AZ306" s="365"/>
      <c r="BA306" s="377">
        <f t="shared" si="135"/>
        <v>0</v>
      </c>
      <c r="BB306" s="377">
        <f t="shared" si="136"/>
        <v>0</v>
      </c>
      <c r="BC306" s="377">
        <f t="shared" si="137"/>
        <v>0</v>
      </c>
      <c r="BD306" s="377">
        <f t="shared" si="138"/>
        <v>0</v>
      </c>
      <c r="BE306" s="377">
        <f t="shared" si="139"/>
        <v>0</v>
      </c>
      <c r="BF306" s="377">
        <f t="shared" si="140"/>
        <v>0</v>
      </c>
      <c r="BG306" s="328"/>
    </row>
    <row r="307" spans="2:59">
      <c r="B307" s="332">
        <v>292</v>
      </c>
      <c r="C307" s="350">
        <v>7263648.7338112248</v>
      </c>
      <c r="D307" s="350">
        <v>44867.360632259166</v>
      </c>
      <c r="E307" s="350">
        <v>42958.92342978478</v>
      </c>
      <c r="F307" s="350">
        <v>40999.13320330868</v>
      </c>
      <c r="G307" s="350">
        <v>38988.090056197536</v>
      </c>
      <c r="H307" s="348">
        <v>7431462.2411327753</v>
      </c>
      <c r="I307" s="369"/>
      <c r="J307" s="350">
        <v>9866995.3428376</v>
      </c>
      <c r="K307" s="350">
        <v>2680375.5720263906</v>
      </c>
      <c r="L307" s="350">
        <v>2708576.7422363823</v>
      </c>
      <c r="M307" s="350">
        <v>2734600.9432192473</v>
      </c>
      <c r="N307" s="350">
        <v>2758374.8332195347</v>
      </c>
      <c r="O307" s="348">
        <v>20748923.433539156</v>
      </c>
      <c r="P307" s="369"/>
      <c r="Q307" s="350">
        <f t="shared" si="141"/>
        <v>2603346.6090263752</v>
      </c>
      <c r="R307" s="350">
        <f t="shared" si="142"/>
        <v>2635508.2113941312</v>
      </c>
      <c r="S307" s="350">
        <f t="shared" si="143"/>
        <v>2665617.8188065975</v>
      </c>
      <c r="T307" s="350">
        <f t="shared" si="144"/>
        <v>2693601.8100159387</v>
      </c>
      <c r="U307" s="350">
        <f t="shared" si="145"/>
        <v>2719386.743163337</v>
      </c>
      <c r="V307" s="350">
        <f t="shared" si="146"/>
        <v>13317461.192406381</v>
      </c>
      <c r="W307" s="365"/>
      <c r="X307" s="377">
        <f t="shared" si="124"/>
        <v>0</v>
      </c>
      <c r="Y307" s="377">
        <f t="shared" si="125"/>
        <v>0</v>
      </c>
      <c r="Z307" s="377">
        <f t="shared" si="126"/>
        <v>0</v>
      </c>
      <c r="AA307" s="377">
        <f t="shared" si="127"/>
        <v>0</v>
      </c>
      <c r="AB307" s="377">
        <f t="shared" si="128"/>
        <v>0</v>
      </c>
      <c r="AC307" s="377">
        <f t="shared" si="129"/>
        <v>0</v>
      </c>
      <c r="AD307" s="376"/>
      <c r="AE307" s="332">
        <v>292</v>
      </c>
      <c r="AF307" s="350">
        <v>4667865.9755219892</v>
      </c>
      <c r="AG307" s="350">
        <v>28833.281148620023</v>
      </c>
      <c r="AH307" s="350">
        <v>27606.854952872887</v>
      </c>
      <c r="AI307" s="350">
        <v>26347.427569671207</v>
      </c>
      <c r="AJ307" s="350">
        <v>25055.063328814045</v>
      </c>
      <c r="AK307" s="348">
        <v>4775708.6025219671</v>
      </c>
      <c r="AL307" s="369"/>
      <c r="AM307" s="350">
        <v>7024324.9118270166</v>
      </c>
      <c r="AN307" s="350">
        <v>2414403.7829450117</v>
      </c>
      <c r="AO307" s="350">
        <v>2440431.5276728487</v>
      </c>
      <c r="AP307" s="350">
        <v>2464502.237248783</v>
      </c>
      <c r="AQ307" s="350">
        <v>2486549.4989826344</v>
      </c>
      <c r="AR307" s="348">
        <v>16830211.958676293</v>
      </c>
      <c r="AS307" s="369"/>
      <c r="AT307" s="350">
        <f t="shared" si="147"/>
        <v>2356458.9363050275</v>
      </c>
      <c r="AU307" s="350">
        <f t="shared" si="130"/>
        <v>2385570.5017963918</v>
      </c>
      <c r="AV307" s="350">
        <f t="shared" si="131"/>
        <v>2412824.6727199759</v>
      </c>
      <c r="AW307" s="350">
        <f t="shared" si="132"/>
        <v>2438154.8096791119</v>
      </c>
      <c r="AX307" s="350">
        <f t="shared" si="133"/>
        <v>2461494.4356538202</v>
      </c>
      <c r="AY307" s="350">
        <f t="shared" si="134"/>
        <v>12054503.356154326</v>
      </c>
      <c r="AZ307" s="365"/>
      <c r="BA307" s="377">
        <f t="shared" si="135"/>
        <v>0</v>
      </c>
      <c r="BB307" s="377">
        <f t="shared" si="136"/>
        <v>0</v>
      </c>
      <c r="BC307" s="377">
        <f t="shared" si="137"/>
        <v>0</v>
      </c>
      <c r="BD307" s="377">
        <f t="shared" si="138"/>
        <v>0</v>
      </c>
      <c r="BE307" s="377">
        <f t="shared" si="139"/>
        <v>0</v>
      </c>
      <c r="BF307" s="377">
        <f t="shared" si="140"/>
        <v>0</v>
      </c>
      <c r="BG307" s="328"/>
    </row>
    <row r="308" spans="2:59">
      <c r="B308" s="332">
        <v>293</v>
      </c>
      <c r="C308" s="350">
        <v>7771739.2137190495</v>
      </c>
      <c r="D308" s="350">
        <v>48005.821704823415</v>
      </c>
      <c r="E308" s="350">
        <v>45963.889779567893</v>
      </c>
      <c r="F308" s="350">
        <v>43867.012698654784</v>
      </c>
      <c r="G308" s="350">
        <v>41715.29756764062</v>
      </c>
      <c r="H308" s="348">
        <v>7951291.2354697362</v>
      </c>
      <c r="I308" s="369"/>
      <c r="J308" s="350">
        <v>10048030.860578595</v>
      </c>
      <c r="K308" s="350">
        <v>2352418.6517235804</v>
      </c>
      <c r="L308" s="350">
        <v>2376703.6973915398</v>
      </c>
      <c r="M308" s="350">
        <v>2399075.2200291925</v>
      </c>
      <c r="N308" s="350">
        <v>2419469.1112860232</v>
      </c>
      <c r="O308" s="348">
        <v>19595697.541008931</v>
      </c>
      <c r="P308" s="369"/>
      <c r="Q308" s="350">
        <f t="shared" si="141"/>
        <v>2276291.6468595453</v>
      </c>
      <c r="R308" s="350">
        <f t="shared" si="142"/>
        <v>2304412.8300187569</v>
      </c>
      <c r="S308" s="350">
        <f t="shared" si="143"/>
        <v>2330739.8076119721</v>
      </c>
      <c r="T308" s="350">
        <f t="shared" si="144"/>
        <v>2355208.207330538</v>
      </c>
      <c r="U308" s="350">
        <f t="shared" si="145"/>
        <v>2377753.8137183827</v>
      </c>
      <c r="V308" s="350">
        <f t="shared" si="146"/>
        <v>11644406.305539194</v>
      </c>
      <c r="W308" s="365"/>
      <c r="X308" s="377">
        <f t="shared" si="124"/>
        <v>0</v>
      </c>
      <c r="Y308" s="377">
        <f t="shared" si="125"/>
        <v>0</v>
      </c>
      <c r="Z308" s="377">
        <f t="shared" si="126"/>
        <v>0</v>
      </c>
      <c r="AA308" s="377">
        <f t="shared" si="127"/>
        <v>0</v>
      </c>
      <c r="AB308" s="377">
        <f t="shared" si="128"/>
        <v>0</v>
      </c>
      <c r="AC308" s="377">
        <f t="shared" si="129"/>
        <v>0</v>
      </c>
      <c r="AD308" s="376"/>
      <c r="AE308" s="332">
        <v>293</v>
      </c>
      <c r="AF308" s="350">
        <v>5155268.8209358994</v>
      </c>
      <c r="AG308" s="350">
        <v>31843.95526568999</v>
      </c>
      <c r="AH308" s="350">
        <v>30489.46977675951</v>
      </c>
      <c r="AI308" s="350">
        <v>29098.537227518274</v>
      </c>
      <c r="AJ308" s="350">
        <v>27671.228664865765</v>
      </c>
      <c r="AK308" s="348">
        <v>5274372.0118707325</v>
      </c>
      <c r="AL308" s="369"/>
      <c r="AM308" s="350">
        <v>7185731.7974834749</v>
      </c>
      <c r="AN308" s="350">
        <v>2087391.1609542319</v>
      </c>
      <c r="AO308" s="350">
        <v>2109520.4647069713</v>
      </c>
      <c r="AP308" s="350">
        <v>2129955.4610945825</v>
      </c>
      <c r="AQ308" s="350">
        <v>2148638.9406717098</v>
      </c>
      <c r="AR308" s="348">
        <v>15661237.824910972</v>
      </c>
      <c r="AS308" s="369"/>
      <c r="AT308" s="350">
        <f t="shared" si="147"/>
        <v>2030462.9765475756</v>
      </c>
      <c r="AU308" s="350">
        <f t="shared" si="130"/>
        <v>2055547.2056885418</v>
      </c>
      <c r="AV308" s="350">
        <f t="shared" si="131"/>
        <v>2079030.9949302117</v>
      </c>
      <c r="AW308" s="350">
        <f t="shared" si="132"/>
        <v>2100856.9238670641</v>
      </c>
      <c r="AX308" s="350">
        <f t="shared" si="133"/>
        <v>2120967.7120068441</v>
      </c>
      <c r="AY308" s="350">
        <f t="shared" si="134"/>
        <v>10386865.81304024</v>
      </c>
      <c r="AZ308" s="365"/>
      <c r="BA308" s="377">
        <f t="shared" si="135"/>
        <v>0</v>
      </c>
      <c r="BB308" s="377">
        <f t="shared" si="136"/>
        <v>0</v>
      </c>
      <c r="BC308" s="377">
        <f t="shared" si="137"/>
        <v>0</v>
      </c>
      <c r="BD308" s="377">
        <f t="shared" si="138"/>
        <v>0</v>
      </c>
      <c r="BE308" s="377">
        <f t="shared" si="139"/>
        <v>0</v>
      </c>
      <c r="BF308" s="377">
        <f t="shared" si="140"/>
        <v>0</v>
      </c>
      <c r="BG308" s="328"/>
    </row>
    <row r="309" spans="2:59">
      <c r="B309" s="332">
        <v>294</v>
      </c>
      <c r="C309" s="350">
        <v>5905816.9288013577</v>
      </c>
      <c r="D309" s="350">
        <v>36480.070510457779</v>
      </c>
      <c r="E309" s="350">
        <v>34928.387444415988</v>
      </c>
      <c r="F309" s="350">
        <v>33334.951043432098</v>
      </c>
      <c r="G309" s="350">
        <v>31699.842698025273</v>
      </c>
      <c r="H309" s="348">
        <v>6042260.1804976892</v>
      </c>
      <c r="I309" s="369"/>
      <c r="J309" s="350">
        <v>8079735.9357476868</v>
      </c>
      <c r="K309" s="350">
        <v>2237255.554592296</v>
      </c>
      <c r="L309" s="350">
        <v>2260846.8346717292</v>
      </c>
      <c r="M309" s="350">
        <v>2282621.3701609569</v>
      </c>
      <c r="N309" s="350">
        <v>2302517.9149836777</v>
      </c>
      <c r="O309" s="348">
        <v>17162977.610156346</v>
      </c>
      <c r="P309" s="369"/>
      <c r="Q309" s="350">
        <f t="shared" si="141"/>
        <v>2173919.006946329</v>
      </c>
      <c r="R309" s="350">
        <f t="shared" si="142"/>
        <v>2200775.4840818383</v>
      </c>
      <c r="S309" s="350">
        <f t="shared" si="143"/>
        <v>2225918.4472273132</v>
      </c>
      <c r="T309" s="350">
        <f t="shared" si="144"/>
        <v>2249286.4191175248</v>
      </c>
      <c r="U309" s="350">
        <f t="shared" si="145"/>
        <v>2270818.0722856526</v>
      </c>
      <c r="V309" s="350">
        <f t="shared" si="146"/>
        <v>11120717.429658657</v>
      </c>
      <c r="W309" s="365"/>
      <c r="X309" s="377">
        <f t="shared" si="124"/>
        <v>0</v>
      </c>
      <c r="Y309" s="377">
        <f t="shared" si="125"/>
        <v>0</v>
      </c>
      <c r="Z309" s="377">
        <f t="shared" si="126"/>
        <v>0</v>
      </c>
      <c r="AA309" s="377">
        <f t="shared" si="127"/>
        <v>0</v>
      </c>
      <c r="AB309" s="377">
        <f t="shared" si="128"/>
        <v>0</v>
      </c>
      <c r="AC309" s="377">
        <f t="shared" si="129"/>
        <v>0</v>
      </c>
      <c r="AD309" s="376"/>
      <c r="AE309" s="332">
        <v>294</v>
      </c>
      <c r="AF309" s="350">
        <v>7841067.4504937874</v>
      </c>
      <c r="AG309" s="350">
        <v>48434.060337411116</v>
      </c>
      <c r="AH309" s="350">
        <v>46373.913243571704</v>
      </c>
      <c r="AI309" s="350">
        <v>44258.330852716019</v>
      </c>
      <c r="AJ309" s="350">
        <v>42087.421225854217</v>
      </c>
      <c r="AK309" s="348">
        <v>8022221.1761533404</v>
      </c>
      <c r="AL309" s="369"/>
      <c r="AM309" s="350">
        <v>10040140.745327914</v>
      </c>
      <c r="AN309" s="350">
        <v>2274674.5870110421</v>
      </c>
      <c r="AO309" s="350">
        <v>2298048.3307979321</v>
      </c>
      <c r="AP309" s="350">
        <v>2319571.1097140098</v>
      </c>
      <c r="AQ309" s="350">
        <v>2339180.9947369685</v>
      </c>
      <c r="AR309" s="348">
        <v>19271615.767587867</v>
      </c>
      <c r="AS309" s="369"/>
      <c r="AT309" s="350">
        <f t="shared" si="147"/>
        <v>2199073.2948341267</v>
      </c>
      <c r="AU309" s="350">
        <f t="shared" si="130"/>
        <v>2226240.5266736308</v>
      </c>
      <c r="AV309" s="350">
        <f t="shared" si="131"/>
        <v>2251674.4175543603</v>
      </c>
      <c r="AW309" s="350">
        <f t="shared" si="132"/>
        <v>2275312.7788612936</v>
      </c>
      <c r="AX309" s="350">
        <f t="shared" si="133"/>
        <v>2297093.5735111143</v>
      </c>
      <c r="AY309" s="350">
        <f t="shared" si="134"/>
        <v>11249394.591434527</v>
      </c>
      <c r="AZ309" s="365"/>
      <c r="BA309" s="377">
        <f t="shared" si="135"/>
        <v>0</v>
      </c>
      <c r="BB309" s="377">
        <f t="shared" si="136"/>
        <v>0</v>
      </c>
      <c r="BC309" s="377">
        <f t="shared" si="137"/>
        <v>0</v>
      </c>
      <c r="BD309" s="377">
        <f t="shared" si="138"/>
        <v>0</v>
      </c>
      <c r="BE309" s="377">
        <f t="shared" si="139"/>
        <v>0</v>
      </c>
      <c r="BF309" s="377">
        <f t="shared" si="140"/>
        <v>0</v>
      </c>
      <c r="BG309" s="328"/>
    </row>
    <row r="310" spans="2:59">
      <c r="B310" s="332">
        <v>295</v>
      </c>
      <c r="C310" s="350">
        <v>6411716.6269216873</v>
      </c>
      <c r="D310" s="350">
        <v>39604.999183518165</v>
      </c>
      <c r="E310" s="350">
        <v>37920.396996521216</v>
      </c>
      <c r="F310" s="350">
        <v>36190.464831455429</v>
      </c>
      <c r="G310" s="350">
        <v>34415.291050848551</v>
      </c>
      <c r="H310" s="348">
        <v>6559847.7789840307</v>
      </c>
      <c r="I310" s="369"/>
      <c r="J310" s="350">
        <v>8276618.9124383042</v>
      </c>
      <c r="K310" s="350">
        <v>1927546.1860717596</v>
      </c>
      <c r="L310" s="350">
        <v>1947430.542656838</v>
      </c>
      <c r="M310" s="350">
        <v>1965746.8882264516</v>
      </c>
      <c r="N310" s="350">
        <v>1982442.7012102469</v>
      </c>
      <c r="O310" s="348">
        <v>16099785.230603602</v>
      </c>
      <c r="P310" s="369"/>
      <c r="Q310" s="350">
        <f t="shared" si="141"/>
        <v>1864902.2855166169</v>
      </c>
      <c r="R310" s="350">
        <f t="shared" si="142"/>
        <v>1887941.1868882414</v>
      </c>
      <c r="S310" s="350">
        <f t="shared" si="143"/>
        <v>1909510.1456603168</v>
      </c>
      <c r="T310" s="350">
        <f t="shared" si="144"/>
        <v>1929556.4233949962</v>
      </c>
      <c r="U310" s="350">
        <f t="shared" si="145"/>
        <v>1948027.4101593983</v>
      </c>
      <c r="V310" s="350">
        <f t="shared" si="146"/>
        <v>9539937.4516195711</v>
      </c>
      <c r="W310" s="365"/>
      <c r="X310" s="377">
        <f t="shared" si="124"/>
        <v>0</v>
      </c>
      <c r="Y310" s="377">
        <f t="shared" si="125"/>
        <v>0</v>
      </c>
      <c r="Z310" s="377">
        <f t="shared" si="126"/>
        <v>0</v>
      </c>
      <c r="AA310" s="377">
        <f t="shared" si="127"/>
        <v>0</v>
      </c>
      <c r="AB310" s="377">
        <f t="shared" si="128"/>
        <v>0</v>
      </c>
      <c r="AC310" s="377">
        <f t="shared" si="129"/>
        <v>0</v>
      </c>
      <c r="AD310" s="376"/>
      <c r="AE310" s="332">
        <v>295</v>
      </c>
      <c r="AF310" s="350">
        <v>8572429.5855287071</v>
      </c>
      <c r="AG310" s="350">
        <v>52951.664349930361</v>
      </c>
      <c r="AH310" s="350">
        <v>50699.360564854302</v>
      </c>
      <c r="AI310" s="350">
        <v>48386.450850393638</v>
      </c>
      <c r="AJ310" s="350">
        <v>46013.053346762259</v>
      </c>
      <c r="AK310" s="348">
        <v>8770480.1146406475</v>
      </c>
      <c r="AL310" s="369"/>
      <c r="AM310" s="350">
        <v>11425627.376506094</v>
      </c>
      <c r="AN310" s="350">
        <v>2941397.7056032536</v>
      </c>
      <c r="AO310" s="350">
        <v>2972144.7208710373</v>
      </c>
      <c r="AP310" s="350">
        <v>3000501.5120809148</v>
      </c>
      <c r="AQ310" s="350">
        <v>3026387.7070731735</v>
      </c>
      <c r="AR310" s="348">
        <v>23366059.022134475</v>
      </c>
      <c r="AS310" s="369"/>
      <c r="AT310" s="350">
        <f t="shared" si="147"/>
        <v>2853197.7909773868</v>
      </c>
      <c r="AU310" s="350">
        <f t="shared" si="130"/>
        <v>2888446.0412533232</v>
      </c>
      <c r="AV310" s="350">
        <f t="shared" si="131"/>
        <v>2921445.3603061829</v>
      </c>
      <c r="AW310" s="350">
        <f t="shared" si="132"/>
        <v>2952115.0612305212</v>
      </c>
      <c r="AX310" s="350">
        <f t="shared" si="133"/>
        <v>2980374.6537264111</v>
      </c>
      <c r="AY310" s="350">
        <f t="shared" si="134"/>
        <v>14595578.907493828</v>
      </c>
      <c r="AZ310" s="365"/>
      <c r="BA310" s="377">
        <f t="shared" si="135"/>
        <v>0</v>
      </c>
      <c r="BB310" s="377">
        <f t="shared" si="136"/>
        <v>0</v>
      </c>
      <c r="BC310" s="377">
        <f t="shared" si="137"/>
        <v>0</v>
      </c>
      <c r="BD310" s="377">
        <f t="shared" si="138"/>
        <v>0</v>
      </c>
      <c r="BE310" s="377">
        <f t="shared" si="139"/>
        <v>0</v>
      </c>
      <c r="BF310" s="377">
        <f t="shared" si="140"/>
        <v>0</v>
      </c>
      <c r="BG310" s="328"/>
    </row>
    <row r="311" spans="2:59">
      <c r="B311" s="332">
        <v>296</v>
      </c>
      <c r="C311" s="350">
        <v>9043212.0505769458</v>
      </c>
      <c r="D311" s="350">
        <v>55859.674829612377</v>
      </c>
      <c r="E311" s="350">
        <v>53483.678558366373</v>
      </c>
      <c r="F311" s="350">
        <v>51043.747988737836</v>
      </c>
      <c r="G311" s="350">
        <v>48540.007748995595</v>
      </c>
      <c r="H311" s="348">
        <v>9252139.1597026568</v>
      </c>
      <c r="I311" s="369"/>
      <c r="J311" s="350">
        <v>11916205.154603843</v>
      </c>
      <c r="K311" s="350">
        <v>2964345.5793528599</v>
      </c>
      <c r="L311" s="350">
        <v>2995197.8494065972</v>
      </c>
      <c r="M311" s="350">
        <v>3023640.4042842896</v>
      </c>
      <c r="N311" s="350">
        <v>3049592.3198774736</v>
      </c>
      <c r="O311" s="348">
        <v>23948981.307525061</v>
      </c>
      <c r="P311" s="369"/>
      <c r="Q311" s="350">
        <f t="shared" si="141"/>
        <v>2872993.1040268969</v>
      </c>
      <c r="R311" s="350">
        <f t="shared" si="142"/>
        <v>2908485.9045232474</v>
      </c>
      <c r="S311" s="350">
        <f t="shared" si="143"/>
        <v>2941714.1708482308</v>
      </c>
      <c r="T311" s="350">
        <f t="shared" si="144"/>
        <v>2972596.6562955519</v>
      </c>
      <c r="U311" s="350">
        <f t="shared" si="145"/>
        <v>3001052.3121284782</v>
      </c>
      <c r="V311" s="350">
        <f t="shared" si="146"/>
        <v>14696842.147822404</v>
      </c>
      <c r="W311" s="365"/>
      <c r="X311" s="377">
        <f t="shared" si="124"/>
        <v>0</v>
      </c>
      <c r="Y311" s="377">
        <f t="shared" si="125"/>
        <v>0</v>
      </c>
      <c r="Z311" s="377">
        <f t="shared" si="126"/>
        <v>0</v>
      </c>
      <c r="AA311" s="377">
        <f t="shared" si="127"/>
        <v>0</v>
      </c>
      <c r="AB311" s="377">
        <f t="shared" si="128"/>
        <v>0</v>
      </c>
      <c r="AC311" s="377">
        <f t="shared" si="129"/>
        <v>0</v>
      </c>
      <c r="AD311" s="376"/>
      <c r="AE311" s="332">
        <v>296</v>
      </c>
      <c r="AF311" s="350">
        <v>7036299.7420965079</v>
      </c>
      <c r="AG311" s="350">
        <v>43463.032095118913</v>
      </c>
      <c r="AH311" s="350">
        <v>41614.328132733208</v>
      </c>
      <c r="AI311" s="350">
        <v>39715.878473277888</v>
      </c>
      <c r="AJ311" s="350">
        <v>37767.780086925173</v>
      </c>
      <c r="AK311" s="348">
        <v>7198860.7608845634</v>
      </c>
      <c r="AL311" s="369"/>
      <c r="AM311" s="350">
        <v>9304862.234597262</v>
      </c>
      <c r="AN311" s="350">
        <v>2340051.2222026549</v>
      </c>
      <c r="AO311" s="350">
        <v>2364440.1025108434</v>
      </c>
      <c r="AP311" s="350">
        <v>2386926.9700534358</v>
      </c>
      <c r="AQ311" s="350">
        <v>2407447.9243883034</v>
      </c>
      <c r="AR311" s="348">
        <v>18803728.453752499</v>
      </c>
      <c r="AS311" s="369"/>
      <c r="AT311" s="350">
        <f t="shared" si="147"/>
        <v>2268562.4925007541</v>
      </c>
      <c r="AU311" s="350">
        <f t="shared" si="130"/>
        <v>2296588.190107536</v>
      </c>
      <c r="AV311" s="350">
        <f t="shared" si="131"/>
        <v>2322825.7743781102</v>
      </c>
      <c r="AW311" s="350">
        <f t="shared" si="132"/>
        <v>2347211.0915801581</v>
      </c>
      <c r="AX311" s="350">
        <f t="shared" si="133"/>
        <v>2369680.1443013782</v>
      </c>
      <c r="AY311" s="350">
        <f t="shared" si="134"/>
        <v>11604867.692867935</v>
      </c>
      <c r="AZ311" s="365"/>
      <c r="BA311" s="377">
        <f t="shared" si="135"/>
        <v>0</v>
      </c>
      <c r="BB311" s="377">
        <f t="shared" si="136"/>
        <v>0</v>
      </c>
      <c r="BC311" s="377">
        <f t="shared" si="137"/>
        <v>0</v>
      </c>
      <c r="BD311" s="377">
        <f t="shared" si="138"/>
        <v>0</v>
      </c>
      <c r="BE311" s="377">
        <f t="shared" si="139"/>
        <v>0</v>
      </c>
      <c r="BF311" s="377">
        <f t="shared" si="140"/>
        <v>0</v>
      </c>
      <c r="BG311" s="328"/>
    </row>
    <row r="312" spans="2:59">
      <c r="B312" s="332">
        <v>297</v>
      </c>
      <c r="C312" s="350">
        <v>6427102.1626641592</v>
      </c>
      <c r="D312" s="350">
        <v>39700.03521925785</v>
      </c>
      <c r="E312" s="350">
        <v>38011.390665971543</v>
      </c>
      <c r="F312" s="350">
        <v>36277.307360936553</v>
      </c>
      <c r="G312" s="350">
        <v>34497.87387871652</v>
      </c>
      <c r="H312" s="348">
        <v>6575588.769789042</v>
      </c>
      <c r="I312" s="369"/>
      <c r="J312" s="350">
        <v>8284153.1396389101</v>
      </c>
      <c r="K312" s="350">
        <v>1919692.9189270723</v>
      </c>
      <c r="L312" s="350">
        <v>1939482.4270207556</v>
      </c>
      <c r="M312" s="350">
        <v>1957710.2258695529</v>
      </c>
      <c r="N312" s="350">
        <v>1974324.0156049316</v>
      </c>
      <c r="O312" s="348">
        <v>16075362.727061221</v>
      </c>
      <c r="P312" s="369"/>
      <c r="Q312" s="350">
        <f t="shared" si="141"/>
        <v>1857050.9769747509</v>
      </c>
      <c r="R312" s="350">
        <f t="shared" si="142"/>
        <v>1879992.8837078144</v>
      </c>
      <c r="S312" s="350">
        <f t="shared" si="143"/>
        <v>1901471.0363547842</v>
      </c>
      <c r="T312" s="350">
        <f t="shared" si="144"/>
        <v>1921432.9185086163</v>
      </c>
      <c r="U312" s="350">
        <f t="shared" si="145"/>
        <v>1939826.1417262151</v>
      </c>
      <c r="V312" s="350">
        <f t="shared" si="146"/>
        <v>9499773.9572721794</v>
      </c>
      <c r="W312" s="365"/>
      <c r="X312" s="377">
        <f t="shared" si="124"/>
        <v>0</v>
      </c>
      <c r="Y312" s="377">
        <f t="shared" si="125"/>
        <v>0</v>
      </c>
      <c r="Z312" s="377">
        <f t="shared" si="126"/>
        <v>0</v>
      </c>
      <c r="AA312" s="377">
        <f t="shared" si="127"/>
        <v>0</v>
      </c>
      <c r="AB312" s="377">
        <f t="shared" si="128"/>
        <v>0</v>
      </c>
      <c r="AC312" s="377">
        <f t="shared" si="129"/>
        <v>0</v>
      </c>
      <c r="AD312" s="376"/>
      <c r="AE312" s="332">
        <v>297</v>
      </c>
      <c r="AF312" s="350">
        <v>6891959.5250217421</v>
      </c>
      <c r="AG312" s="350">
        <v>42571.446500805629</v>
      </c>
      <c r="AH312" s="350">
        <v>40760.666211515287</v>
      </c>
      <c r="AI312" s="350">
        <v>38901.160691167817</v>
      </c>
      <c r="AJ312" s="350">
        <v>36993.024920715616</v>
      </c>
      <c r="AK312" s="348">
        <v>7051185.8233459471</v>
      </c>
      <c r="AL312" s="369"/>
      <c r="AM312" s="350">
        <v>9572557.7711073682</v>
      </c>
      <c r="AN312" s="350">
        <v>2756285.6574753923</v>
      </c>
      <c r="AO312" s="350">
        <v>2785477.9562768126</v>
      </c>
      <c r="AP312" s="350">
        <v>2812432.8381661777</v>
      </c>
      <c r="AQ312" s="350">
        <v>2837074.7769538667</v>
      </c>
      <c r="AR312" s="348">
        <v>20763828.999979615</v>
      </c>
      <c r="AS312" s="369"/>
      <c r="AT312" s="350">
        <f t="shared" si="147"/>
        <v>2680598.2460856261</v>
      </c>
      <c r="AU312" s="350">
        <f t="shared" si="130"/>
        <v>2713714.2109745867</v>
      </c>
      <c r="AV312" s="350">
        <f t="shared" si="131"/>
        <v>2744717.2900652974</v>
      </c>
      <c r="AW312" s="350">
        <f t="shared" si="132"/>
        <v>2773531.67747501</v>
      </c>
      <c r="AX312" s="350">
        <f t="shared" si="133"/>
        <v>2800081.7520331512</v>
      </c>
      <c r="AY312" s="350">
        <f t="shared" si="134"/>
        <v>13712643.176633667</v>
      </c>
      <c r="AZ312" s="365"/>
      <c r="BA312" s="377">
        <f t="shared" si="135"/>
        <v>0</v>
      </c>
      <c r="BB312" s="377">
        <f t="shared" si="136"/>
        <v>0</v>
      </c>
      <c r="BC312" s="377">
        <f t="shared" si="137"/>
        <v>0</v>
      </c>
      <c r="BD312" s="377">
        <f t="shared" si="138"/>
        <v>0</v>
      </c>
      <c r="BE312" s="377">
        <f t="shared" si="139"/>
        <v>0</v>
      </c>
      <c r="BF312" s="377">
        <f t="shared" si="140"/>
        <v>0</v>
      </c>
      <c r="BG312" s="328"/>
    </row>
    <row r="313" spans="2:59">
      <c r="B313" s="332">
        <v>298</v>
      </c>
      <c r="C313" s="350">
        <v>5114968.5248882649</v>
      </c>
      <c r="D313" s="350">
        <v>31595.021433312038</v>
      </c>
      <c r="E313" s="350">
        <v>30251.12436723441</v>
      </c>
      <c r="F313" s="350">
        <v>28871.065158542526</v>
      </c>
      <c r="G313" s="350">
        <v>27454.914298742762</v>
      </c>
      <c r="H313" s="348">
        <v>5233140.6501460969</v>
      </c>
      <c r="I313" s="369"/>
      <c r="J313" s="350">
        <v>7047432.6828246238</v>
      </c>
      <c r="K313" s="350">
        <v>1987932.7364373321</v>
      </c>
      <c r="L313" s="350">
        <v>2008939.2006072025</v>
      </c>
      <c r="M313" s="350">
        <v>2028331.657751332</v>
      </c>
      <c r="N313" s="350">
        <v>2046055.6624702662</v>
      </c>
      <c r="O313" s="348">
        <v>15118691.940090757</v>
      </c>
      <c r="P313" s="369"/>
      <c r="Q313" s="350">
        <f t="shared" si="141"/>
        <v>1932464.1579363588</v>
      </c>
      <c r="R313" s="350">
        <f t="shared" si="142"/>
        <v>1956337.7150040201</v>
      </c>
      <c r="S313" s="350">
        <f t="shared" si="143"/>
        <v>1978688.0762399682</v>
      </c>
      <c r="T313" s="350">
        <f t="shared" si="144"/>
        <v>1999460.5925927896</v>
      </c>
      <c r="U313" s="350">
        <f t="shared" si="145"/>
        <v>2018600.7481715234</v>
      </c>
      <c r="V313" s="350">
        <f t="shared" si="146"/>
        <v>9885551.2899446599</v>
      </c>
      <c r="W313" s="365"/>
      <c r="X313" s="377">
        <f t="shared" si="124"/>
        <v>0</v>
      </c>
      <c r="Y313" s="377">
        <f t="shared" si="125"/>
        <v>0</v>
      </c>
      <c r="Z313" s="377">
        <f t="shared" si="126"/>
        <v>0</v>
      </c>
      <c r="AA313" s="377">
        <f t="shared" si="127"/>
        <v>0</v>
      </c>
      <c r="AB313" s="377">
        <f t="shared" si="128"/>
        <v>0</v>
      </c>
      <c r="AC313" s="377">
        <f t="shared" si="129"/>
        <v>0</v>
      </c>
      <c r="AD313" s="376"/>
      <c r="AE313" s="332">
        <v>298</v>
      </c>
      <c r="AF313" s="350">
        <v>5254167.9448962295</v>
      </c>
      <c r="AG313" s="350">
        <v>32454.85246399284</v>
      </c>
      <c r="AH313" s="350">
        <v>31074.382408026504</v>
      </c>
      <c r="AI313" s="350">
        <v>29656.766088180819</v>
      </c>
      <c r="AJ313" s="350">
        <v>28202.075914333735</v>
      </c>
      <c r="AK313" s="348">
        <v>5375556.0217707641</v>
      </c>
      <c r="AL313" s="369"/>
      <c r="AM313" s="350">
        <v>7607567.8002740331</v>
      </c>
      <c r="AN313" s="350">
        <v>2414928.48161382</v>
      </c>
      <c r="AO313" s="350">
        <v>2440766.8019733499</v>
      </c>
      <c r="AP313" s="350">
        <v>2464646.4398249639</v>
      </c>
      <c r="AQ313" s="350">
        <v>2486501.0768569601</v>
      </c>
      <c r="AR313" s="348">
        <v>17414410.600543126</v>
      </c>
      <c r="AS313" s="369"/>
      <c r="AT313" s="350">
        <f t="shared" si="147"/>
        <v>2353399.8553778036</v>
      </c>
      <c r="AU313" s="350">
        <f t="shared" si="130"/>
        <v>2382473.6291498272</v>
      </c>
      <c r="AV313" s="350">
        <f t="shared" si="131"/>
        <v>2409692.4195653233</v>
      </c>
      <c r="AW313" s="350">
        <f t="shared" si="132"/>
        <v>2434989.6737367832</v>
      </c>
      <c r="AX313" s="350">
        <f t="shared" si="133"/>
        <v>2458299.0009426265</v>
      </c>
      <c r="AY313" s="350">
        <f t="shared" si="134"/>
        <v>12038854.578772362</v>
      </c>
      <c r="AZ313" s="365"/>
      <c r="BA313" s="377">
        <f t="shared" si="135"/>
        <v>0</v>
      </c>
      <c r="BB313" s="377">
        <f t="shared" si="136"/>
        <v>0</v>
      </c>
      <c r="BC313" s="377">
        <f t="shared" si="137"/>
        <v>0</v>
      </c>
      <c r="BD313" s="377">
        <f t="shared" si="138"/>
        <v>0</v>
      </c>
      <c r="BE313" s="377">
        <f t="shared" si="139"/>
        <v>0</v>
      </c>
      <c r="BF313" s="377">
        <f t="shared" si="140"/>
        <v>0</v>
      </c>
      <c r="BG313" s="328"/>
    </row>
    <row r="314" spans="2:59">
      <c r="B314" s="332">
        <v>299</v>
      </c>
      <c r="C314" s="350">
        <v>5073586.0927183805</v>
      </c>
      <c r="D314" s="350">
        <v>31339.40327554461</v>
      </c>
      <c r="E314" s="350">
        <v>30006.378950698967</v>
      </c>
      <c r="F314" s="350">
        <v>28637.485051493313</v>
      </c>
      <c r="G314" s="350">
        <v>27232.791499126546</v>
      </c>
      <c r="H314" s="348">
        <v>5190802.1514952444</v>
      </c>
      <c r="I314" s="369"/>
      <c r="J314" s="350">
        <v>6874868.3591056317</v>
      </c>
      <c r="K314" s="350">
        <v>1854874.6127794669</v>
      </c>
      <c r="L314" s="350">
        <v>1874374.7351788827</v>
      </c>
      <c r="M314" s="350">
        <v>1892368.2523137485</v>
      </c>
      <c r="N314" s="350">
        <v>1908804.4189285804</v>
      </c>
      <c r="O314" s="348">
        <v>14405290.378306309</v>
      </c>
      <c r="P314" s="369"/>
      <c r="Q314" s="350">
        <f t="shared" si="141"/>
        <v>1801282.2663872512</v>
      </c>
      <c r="R314" s="350">
        <f t="shared" si="142"/>
        <v>1823535.2095039224</v>
      </c>
      <c r="S314" s="350">
        <f t="shared" si="143"/>
        <v>1844368.3562281837</v>
      </c>
      <c r="T314" s="350">
        <f t="shared" si="144"/>
        <v>1863730.7672622551</v>
      </c>
      <c r="U314" s="350">
        <f t="shared" si="145"/>
        <v>1881571.6274294539</v>
      </c>
      <c r="V314" s="350">
        <f t="shared" si="146"/>
        <v>9214488.2268110644</v>
      </c>
      <c r="W314" s="365"/>
      <c r="X314" s="377">
        <f t="shared" si="124"/>
        <v>0</v>
      </c>
      <c r="Y314" s="377">
        <f t="shared" si="125"/>
        <v>0</v>
      </c>
      <c r="Z314" s="377">
        <f t="shared" si="126"/>
        <v>0</v>
      </c>
      <c r="AA314" s="377">
        <f t="shared" si="127"/>
        <v>0</v>
      </c>
      <c r="AB314" s="377">
        <f t="shared" si="128"/>
        <v>0</v>
      </c>
      <c r="AC314" s="377">
        <f t="shared" si="129"/>
        <v>0</v>
      </c>
      <c r="AD314" s="376"/>
      <c r="AE314" s="332">
        <v>299</v>
      </c>
      <c r="AF314" s="350">
        <v>6822080.2416159026</v>
      </c>
      <c r="AG314" s="350">
        <v>42139.804068165722</v>
      </c>
      <c r="AH314" s="350">
        <v>40347.383728404777</v>
      </c>
      <c r="AI314" s="350">
        <v>38506.732194761025</v>
      </c>
      <c r="AJ314" s="350">
        <v>36617.94348515477</v>
      </c>
      <c r="AK314" s="348">
        <v>6979692.1050923886</v>
      </c>
      <c r="AL314" s="369"/>
      <c r="AM314" s="350">
        <v>9037578.5405109115</v>
      </c>
      <c r="AN314" s="350">
        <v>2285008.2484092126</v>
      </c>
      <c r="AO314" s="350">
        <v>2308839.6861340757</v>
      </c>
      <c r="AP314" s="350">
        <v>2330813.9521783041</v>
      </c>
      <c r="AQ314" s="350">
        <v>2350868.6401179843</v>
      </c>
      <c r="AR314" s="348">
        <v>18313109.067350488</v>
      </c>
      <c r="AS314" s="369"/>
      <c r="AT314" s="350">
        <f t="shared" si="147"/>
        <v>2215498.2988950089</v>
      </c>
      <c r="AU314" s="350">
        <f t="shared" si="130"/>
        <v>2242868.4443410467</v>
      </c>
      <c r="AV314" s="350">
        <f t="shared" si="131"/>
        <v>2268492.3024056708</v>
      </c>
      <c r="AW314" s="350">
        <f t="shared" si="132"/>
        <v>2292307.2199835433</v>
      </c>
      <c r="AX314" s="350">
        <f t="shared" si="133"/>
        <v>2314250.6966328295</v>
      </c>
      <c r="AY314" s="350">
        <f t="shared" si="134"/>
        <v>11333416.962258101</v>
      </c>
      <c r="AZ314" s="365"/>
      <c r="BA314" s="377">
        <f t="shared" si="135"/>
        <v>0</v>
      </c>
      <c r="BB314" s="377">
        <f t="shared" si="136"/>
        <v>0</v>
      </c>
      <c r="BC314" s="377">
        <f t="shared" si="137"/>
        <v>0</v>
      </c>
      <c r="BD314" s="377">
        <f t="shared" si="138"/>
        <v>0</v>
      </c>
      <c r="BE314" s="377">
        <f t="shared" si="139"/>
        <v>0</v>
      </c>
      <c r="BF314" s="377">
        <f t="shared" si="140"/>
        <v>0</v>
      </c>
      <c r="BG314" s="328"/>
    </row>
    <row r="315" spans="2:59">
      <c r="B315" s="332">
        <v>300</v>
      </c>
      <c r="C315" s="350">
        <v>6089139.7893481338</v>
      </c>
      <c r="D315" s="350">
        <v>37612.450833036943</v>
      </c>
      <c r="E315" s="350">
        <v>36012.601868565042</v>
      </c>
      <c r="F315" s="350">
        <v>34369.703501076947</v>
      </c>
      <c r="G315" s="350">
        <v>32683.839647531164</v>
      </c>
      <c r="H315" s="348">
        <v>6229818.3851983445</v>
      </c>
      <c r="I315" s="369"/>
      <c r="J315" s="350">
        <v>8427512.7966721542</v>
      </c>
      <c r="K315" s="350">
        <v>2404873.5910657933</v>
      </c>
      <c r="L315" s="350">
        <v>2430318.736029638</v>
      </c>
      <c r="M315" s="350">
        <v>2453811.5646737758</v>
      </c>
      <c r="N315" s="350">
        <v>2475286.1941093183</v>
      </c>
      <c r="O315" s="348">
        <v>18191802.882550679</v>
      </c>
      <c r="P315" s="369"/>
      <c r="Q315" s="350">
        <f t="shared" si="141"/>
        <v>2338373.0073240204</v>
      </c>
      <c r="R315" s="350">
        <f t="shared" si="142"/>
        <v>2367261.1402327563</v>
      </c>
      <c r="S315" s="350">
        <f t="shared" si="143"/>
        <v>2394306.1341610728</v>
      </c>
      <c r="T315" s="350">
        <f t="shared" si="144"/>
        <v>2419441.8611726989</v>
      </c>
      <c r="U315" s="350">
        <f t="shared" si="145"/>
        <v>2442602.3544617873</v>
      </c>
      <c r="V315" s="350">
        <f t="shared" si="146"/>
        <v>11961984.497352336</v>
      </c>
      <c r="W315" s="365"/>
      <c r="X315" s="377">
        <f t="shared" si="124"/>
        <v>0</v>
      </c>
      <c r="Y315" s="377">
        <f t="shared" si="125"/>
        <v>0</v>
      </c>
      <c r="Z315" s="377">
        <f t="shared" si="126"/>
        <v>0</v>
      </c>
      <c r="AA315" s="377">
        <f t="shared" si="127"/>
        <v>0</v>
      </c>
      <c r="AB315" s="377">
        <f t="shared" si="128"/>
        <v>0</v>
      </c>
      <c r="AC315" s="377">
        <f t="shared" si="129"/>
        <v>0</v>
      </c>
      <c r="AD315" s="376"/>
      <c r="AE315" s="332">
        <v>300</v>
      </c>
      <c r="AF315" s="350">
        <v>7337662.0917932549</v>
      </c>
      <c r="AG315" s="350">
        <v>45324.539131094411</v>
      </c>
      <c r="AH315" s="350">
        <v>43396.655800228349</v>
      </c>
      <c r="AI315" s="350">
        <v>41416.896180834934</v>
      </c>
      <c r="AJ315" s="350">
        <v>39385.361396278131</v>
      </c>
      <c r="AK315" s="348">
        <v>7507185.5443016905</v>
      </c>
      <c r="AL315" s="369"/>
      <c r="AM315" s="350">
        <v>9176769.0202325284</v>
      </c>
      <c r="AN315" s="350">
        <v>1907151.694504105</v>
      </c>
      <c r="AO315" s="350">
        <v>1926494.4277760582</v>
      </c>
      <c r="AP315" s="350">
        <v>1944283.6654696036</v>
      </c>
      <c r="AQ315" s="350">
        <v>1960467.6264766138</v>
      </c>
      <c r="AR315" s="348">
        <v>16915166.434458908</v>
      </c>
      <c r="AS315" s="369"/>
      <c r="AT315" s="350">
        <f t="shared" si="147"/>
        <v>1839106.9284392735</v>
      </c>
      <c r="AU315" s="350">
        <f t="shared" si="130"/>
        <v>1861827.1553730106</v>
      </c>
      <c r="AV315" s="350">
        <f t="shared" si="131"/>
        <v>1883097.77197583</v>
      </c>
      <c r="AW315" s="350">
        <f t="shared" si="132"/>
        <v>1902866.7692887688</v>
      </c>
      <c r="AX315" s="350">
        <f t="shared" si="133"/>
        <v>1921082.2650803358</v>
      </c>
      <c r="AY315" s="350">
        <f t="shared" si="134"/>
        <v>9407980.8901572172</v>
      </c>
      <c r="AZ315" s="365"/>
      <c r="BA315" s="377">
        <f t="shared" si="135"/>
        <v>0</v>
      </c>
      <c r="BB315" s="377">
        <f t="shared" si="136"/>
        <v>0</v>
      </c>
      <c r="BC315" s="377">
        <f t="shared" si="137"/>
        <v>0</v>
      </c>
      <c r="BD315" s="377">
        <f t="shared" si="138"/>
        <v>0</v>
      </c>
      <c r="BE315" s="377">
        <f t="shared" si="139"/>
        <v>0</v>
      </c>
      <c r="BF315" s="377">
        <f t="shared" si="140"/>
        <v>0</v>
      </c>
      <c r="BG315" s="328"/>
    </row>
    <row r="316" spans="2:59">
      <c r="B316" s="332">
        <v>301</v>
      </c>
      <c r="C316" s="350">
        <v>4103728.8610302936</v>
      </c>
      <c r="D316" s="350">
        <v>25348.62153889512</v>
      </c>
      <c r="E316" s="350">
        <v>24270.415651707182</v>
      </c>
      <c r="F316" s="350">
        <v>23163.196950931062</v>
      </c>
      <c r="G316" s="350">
        <v>22027.021991757269</v>
      </c>
      <c r="H316" s="348">
        <v>4198538.1171635846</v>
      </c>
      <c r="I316" s="369"/>
      <c r="J316" s="350">
        <v>6053232.8623706577</v>
      </c>
      <c r="K316" s="350">
        <v>1998936.6892452477</v>
      </c>
      <c r="L316" s="350">
        <v>2020405.9228445522</v>
      </c>
      <c r="M316" s="350">
        <v>2040254.3858217115</v>
      </c>
      <c r="N316" s="350">
        <v>2058427.1381374728</v>
      </c>
      <c r="O316" s="348">
        <v>14171256.998419641</v>
      </c>
      <c r="P316" s="369"/>
      <c r="Q316" s="350">
        <f t="shared" si="141"/>
        <v>1949504.0013403641</v>
      </c>
      <c r="R316" s="350">
        <f t="shared" si="142"/>
        <v>1973588.0677063526</v>
      </c>
      <c r="S316" s="350">
        <f t="shared" si="143"/>
        <v>1996135.507192845</v>
      </c>
      <c r="T316" s="350">
        <f t="shared" si="144"/>
        <v>2017091.1888707804</v>
      </c>
      <c r="U316" s="350">
        <f t="shared" si="145"/>
        <v>2036400.1161457156</v>
      </c>
      <c r="V316" s="350">
        <f t="shared" si="146"/>
        <v>9972718.8812560551</v>
      </c>
      <c r="W316" s="365"/>
      <c r="X316" s="377">
        <f t="shared" si="124"/>
        <v>0</v>
      </c>
      <c r="Y316" s="377">
        <f t="shared" si="125"/>
        <v>0</v>
      </c>
      <c r="Z316" s="377">
        <f t="shared" si="126"/>
        <v>0</v>
      </c>
      <c r="AA316" s="377">
        <f t="shared" si="127"/>
        <v>0</v>
      </c>
      <c r="AB316" s="377">
        <f t="shared" si="128"/>
        <v>0</v>
      </c>
      <c r="AC316" s="377">
        <f t="shared" si="129"/>
        <v>0</v>
      </c>
      <c r="AD316" s="376"/>
      <c r="AE316" s="332">
        <v>301</v>
      </c>
      <c r="AF316" s="350">
        <v>5884867.8447535075</v>
      </c>
      <c r="AG316" s="350">
        <v>36350.668588181528</v>
      </c>
      <c r="AH316" s="350">
        <v>34804.489644492576</v>
      </c>
      <c r="AI316" s="350">
        <v>33216.705473080583</v>
      </c>
      <c r="AJ316" s="350">
        <v>31587.397175755021</v>
      </c>
      <c r="AK316" s="348">
        <v>6020827.1056350181</v>
      </c>
      <c r="AL316" s="369"/>
      <c r="AM316" s="350">
        <v>7219912.4838959835</v>
      </c>
      <c r="AN316" s="350">
        <v>1387888.3765669132</v>
      </c>
      <c r="AO316" s="350">
        <v>1401782.9652195652</v>
      </c>
      <c r="AP316" s="350">
        <v>1414545.8930571924</v>
      </c>
      <c r="AQ316" s="350">
        <v>1426139.578828241</v>
      </c>
      <c r="AR316" s="348">
        <v>12850269.297567895</v>
      </c>
      <c r="AS316" s="369"/>
      <c r="AT316" s="350">
        <f t="shared" si="147"/>
        <v>1335044.639142476</v>
      </c>
      <c r="AU316" s="350">
        <f t="shared" si="130"/>
        <v>1351537.7079787317</v>
      </c>
      <c r="AV316" s="350">
        <f t="shared" si="131"/>
        <v>1366978.4755750727</v>
      </c>
      <c r="AW316" s="350">
        <f t="shared" si="132"/>
        <v>1381329.1875841119</v>
      </c>
      <c r="AX316" s="350">
        <f t="shared" si="133"/>
        <v>1394552.1816524859</v>
      </c>
      <c r="AY316" s="350">
        <f t="shared" si="134"/>
        <v>6829442.1919328766</v>
      </c>
      <c r="AZ316" s="365"/>
      <c r="BA316" s="377">
        <f t="shared" si="135"/>
        <v>0</v>
      </c>
      <c r="BB316" s="377">
        <f t="shared" si="136"/>
        <v>0</v>
      </c>
      <c r="BC316" s="377">
        <f t="shared" si="137"/>
        <v>0</v>
      </c>
      <c r="BD316" s="377">
        <f t="shared" si="138"/>
        <v>0</v>
      </c>
      <c r="BE316" s="377">
        <f t="shared" si="139"/>
        <v>0</v>
      </c>
      <c r="BF316" s="377">
        <f t="shared" si="140"/>
        <v>0</v>
      </c>
      <c r="BG316" s="328"/>
    </row>
    <row r="317" spans="2:59">
      <c r="B317" s="332">
        <v>302</v>
      </c>
      <c r="C317" s="350">
        <v>5822249.6058610268</v>
      </c>
      <c r="D317" s="350">
        <v>35963.877429977227</v>
      </c>
      <c r="E317" s="350">
        <v>34434.15068284054</v>
      </c>
      <c r="F317" s="350">
        <v>32863.261410544692</v>
      </c>
      <c r="G317" s="350">
        <v>31251.289851932648</v>
      </c>
      <c r="H317" s="348">
        <v>5956762.1852363218</v>
      </c>
      <c r="I317" s="369"/>
      <c r="J317" s="350">
        <v>7130846.8708490748</v>
      </c>
      <c r="K317" s="350">
        <v>1360727.4818328985</v>
      </c>
      <c r="L317" s="350">
        <v>1374332.6394585164</v>
      </c>
      <c r="M317" s="350">
        <v>1386828.1730870446</v>
      </c>
      <c r="N317" s="350">
        <v>1398177.2466991344</v>
      </c>
      <c r="O317" s="348">
        <v>12650912.41192667</v>
      </c>
      <c r="P317" s="369"/>
      <c r="Q317" s="350">
        <f t="shared" si="141"/>
        <v>1308597.264988048</v>
      </c>
      <c r="R317" s="350">
        <f t="shared" si="142"/>
        <v>1324763.6044029212</v>
      </c>
      <c r="S317" s="350">
        <f t="shared" si="143"/>
        <v>1339898.4887756759</v>
      </c>
      <c r="T317" s="350">
        <f t="shared" si="144"/>
        <v>1353964.9116765</v>
      </c>
      <c r="U317" s="350">
        <f t="shared" si="145"/>
        <v>1366925.9568472018</v>
      </c>
      <c r="V317" s="350">
        <f t="shared" si="146"/>
        <v>6694150.2266903482</v>
      </c>
      <c r="W317" s="365"/>
      <c r="X317" s="377">
        <f t="shared" si="124"/>
        <v>0</v>
      </c>
      <c r="Y317" s="377">
        <f t="shared" si="125"/>
        <v>0</v>
      </c>
      <c r="Z317" s="377">
        <f t="shared" si="126"/>
        <v>0</v>
      </c>
      <c r="AA317" s="377">
        <f t="shared" si="127"/>
        <v>0</v>
      </c>
      <c r="AB317" s="377">
        <f t="shared" si="128"/>
        <v>0</v>
      </c>
      <c r="AC317" s="377">
        <f t="shared" si="129"/>
        <v>0</v>
      </c>
      <c r="AD317" s="376"/>
      <c r="AE317" s="332">
        <v>302</v>
      </c>
      <c r="AF317" s="350">
        <v>5514416.6166739454</v>
      </c>
      <c r="AG317" s="350">
        <v>34062.401429896498</v>
      </c>
      <c r="AH317" s="350">
        <v>32613.554134703703</v>
      </c>
      <c r="AI317" s="350">
        <v>31125.720652371016</v>
      </c>
      <c r="AJ317" s="350">
        <v>29598.97697936483</v>
      </c>
      <c r="AK317" s="348">
        <v>5641817.2698702803</v>
      </c>
      <c r="AL317" s="369"/>
      <c r="AM317" s="350">
        <v>8039432.713986123</v>
      </c>
      <c r="AN317" s="350">
        <v>2590272.4102298394</v>
      </c>
      <c r="AO317" s="350">
        <v>2618027.2206944767</v>
      </c>
      <c r="AP317" s="350">
        <v>2643681.3851411324</v>
      </c>
      <c r="AQ317" s="350">
        <v>2667163.7474548407</v>
      </c>
      <c r="AR317" s="348">
        <v>18558577.477506414</v>
      </c>
      <c r="AS317" s="369"/>
      <c r="AT317" s="350">
        <f t="shared" si="147"/>
        <v>2525016.0973121775</v>
      </c>
      <c r="AU317" s="350">
        <f t="shared" si="130"/>
        <v>2556210.0087999427</v>
      </c>
      <c r="AV317" s="350">
        <f t="shared" si="131"/>
        <v>2585413.666559773</v>
      </c>
      <c r="AW317" s="350">
        <f t="shared" si="132"/>
        <v>2612555.6644887612</v>
      </c>
      <c r="AX317" s="350">
        <f t="shared" si="133"/>
        <v>2637564.770475476</v>
      </c>
      <c r="AY317" s="350">
        <f t="shared" si="134"/>
        <v>12916760.207636133</v>
      </c>
      <c r="AZ317" s="365"/>
      <c r="BA317" s="377">
        <f t="shared" si="135"/>
        <v>0</v>
      </c>
      <c r="BB317" s="377">
        <f t="shared" si="136"/>
        <v>0</v>
      </c>
      <c r="BC317" s="377">
        <f t="shared" si="137"/>
        <v>0</v>
      </c>
      <c r="BD317" s="377">
        <f t="shared" si="138"/>
        <v>0</v>
      </c>
      <c r="BE317" s="377">
        <f t="shared" si="139"/>
        <v>0</v>
      </c>
      <c r="BF317" s="377">
        <f t="shared" si="140"/>
        <v>0</v>
      </c>
      <c r="BG317" s="328"/>
    </row>
    <row r="318" spans="2:59">
      <c r="B318" s="332">
        <v>303</v>
      </c>
      <c r="C318" s="350">
        <v>7464924.9236099524</v>
      </c>
      <c r="D318" s="350">
        <v>46110.638181233939</v>
      </c>
      <c r="E318" s="350">
        <v>44149.318056874792</v>
      </c>
      <c r="F318" s="350">
        <v>42135.221912803863</v>
      </c>
      <c r="G318" s="350">
        <v>40068.45262625203</v>
      </c>
      <c r="H318" s="348">
        <v>7637388.5543871168</v>
      </c>
      <c r="I318" s="369"/>
      <c r="J318" s="350">
        <v>10384317.523711383</v>
      </c>
      <c r="K318" s="350">
        <v>3001569.2556290664</v>
      </c>
      <c r="L318" s="350">
        <v>3033372.8459346639</v>
      </c>
      <c r="M318" s="350">
        <v>3062739.9944449184</v>
      </c>
      <c r="N318" s="350">
        <v>3089588.4463446708</v>
      </c>
      <c r="O318" s="348">
        <v>22571588.0660647</v>
      </c>
      <c r="P318" s="369"/>
      <c r="Q318" s="350">
        <f t="shared" si="141"/>
        <v>2919392.6001014309</v>
      </c>
      <c r="R318" s="350">
        <f t="shared" si="142"/>
        <v>2955458.6174478326</v>
      </c>
      <c r="S318" s="350">
        <f t="shared" si="143"/>
        <v>2989223.527877789</v>
      </c>
      <c r="T318" s="350">
        <f t="shared" si="144"/>
        <v>3020604.7725321143</v>
      </c>
      <c r="U318" s="350">
        <f t="shared" si="145"/>
        <v>3049519.9937184188</v>
      </c>
      <c r="V318" s="350">
        <f t="shared" si="146"/>
        <v>14934199.511677584</v>
      </c>
      <c r="W318" s="365"/>
      <c r="X318" s="377">
        <f t="shared" si="124"/>
        <v>0</v>
      </c>
      <c r="Y318" s="377">
        <f t="shared" si="125"/>
        <v>0</v>
      </c>
      <c r="Z318" s="377">
        <f t="shared" si="126"/>
        <v>0</v>
      </c>
      <c r="AA318" s="377">
        <f t="shared" si="127"/>
        <v>0</v>
      </c>
      <c r="AB318" s="377">
        <f t="shared" si="128"/>
        <v>0</v>
      </c>
      <c r="AC318" s="377">
        <f t="shared" si="129"/>
        <v>0</v>
      </c>
      <c r="AD318" s="376"/>
      <c r="AE318" s="332">
        <v>303</v>
      </c>
      <c r="AF318" s="350">
        <v>5169455.9952205755</v>
      </c>
      <c r="AG318" s="350">
        <v>31931.589055305751</v>
      </c>
      <c r="AH318" s="350">
        <v>30573.376055287445</v>
      </c>
      <c r="AI318" s="350">
        <v>29178.615693533218</v>
      </c>
      <c r="AJ318" s="350">
        <v>27747.379212464602</v>
      </c>
      <c r="AK318" s="348">
        <v>5288886.9552371651</v>
      </c>
      <c r="AL318" s="369"/>
      <c r="AM318" s="350">
        <v>7637680.8906222349</v>
      </c>
      <c r="AN318" s="350">
        <v>2530648.8005261631</v>
      </c>
      <c r="AO318" s="350">
        <v>2557837.4135033474</v>
      </c>
      <c r="AP318" s="350">
        <v>2582974.1889486653</v>
      </c>
      <c r="AQ318" s="350">
        <v>2605989.5681045623</v>
      </c>
      <c r="AR318" s="348">
        <v>17915130.861704972</v>
      </c>
      <c r="AS318" s="369"/>
      <c r="AT318" s="350">
        <f t="shared" si="147"/>
        <v>2468224.8954016594</v>
      </c>
      <c r="AU318" s="350">
        <f t="shared" si="130"/>
        <v>2498717.2114708573</v>
      </c>
      <c r="AV318" s="350">
        <f t="shared" si="131"/>
        <v>2527264.0374480598</v>
      </c>
      <c r="AW318" s="350">
        <f t="shared" si="132"/>
        <v>2553795.573255132</v>
      </c>
      <c r="AX318" s="350">
        <f t="shared" si="133"/>
        <v>2578242.1888920977</v>
      </c>
      <c r="AY318" s="350">
        <f t="shared" si="134"/>
        <v>12626243.906467807</v>
      </c>
      <c r="AZ318" s="365"/>
      <c r="BA318" s="377">
        <f t="shared" si="135"/>
        <v>0</v>
      </c>
      <c r="BB318" s="377">
        <f t="shared" si="136"/>
        <v>0</v>
      </c>
      <c r="BC318" s="377">
        <f t="shared" si="137"/>
        <v>0</v>
      </c>
      <c r="BD318" s="377">
        <f t="shared" si="138"/>
        <v>0</v>
      </c>
      <c r="BE318" s="377">
        <f t="shared" si="139"/>
        <v>0</v>
      </c>
      <c r="BF318" s="377">
        <f t="shared" si="140"/>
        <v>0</v>
      </c>
      <c r="BG318" s="328"/>
    </row>
    <row r="319" spans="2:59">
      <c r="B319" s="332">
        <v>304</v>
      </c>
      <c r="C319" s="350">
        <v>5099837.5272839572</v>
      </c>
      <c r="D319" s="350">
        <v>31501.557672725932</v>
      </c>
      <c r="E319" s="350">
        <v>30161.63609607525</v>
      </c>
      <c r="F319" s="350">
        <v>28785.659350936068</v>
      </c>
      <c r="G319" s="350">
        <v>27373.69772029066</v>
      </c>
      <c r="H319" s="348">
        <v>5217660.0781239858</v>
      </c>
      <c r="I319" s="369"/>
      <c r="J319" s="350">
        <v>6262421.9848428145</v>
      </c>
      <c r="K319" s="350">
        <v>1208448.5203675895</v>
      </c>
      <c r="L319" s="350">
        <v>1220554.7382637078</v>
      </c>
      <c r="M319" s="350">
        <v>1231675.6580622881</v>
      </c>
      <c r="N319" s="350">
        <v>1241778.5528907946</v>
      </c>
      <c r="O319" s="348">
        <v>11164879.454427196</v>
      </c>
      <c r="P319" s="369"/>
      <c r="Q319" s="350">
        <f t="shared" si="141"/>
        <v>1162584.4575588573</v>
      </c>
      <c r="R319" s="350">
        <f t="shared" si="142"/>
        <v>1176946.9626948636</v>
      </c>
      <c r="S319" s="350">
        <f t="shared" si="143"/>
        <v>1190393.1021676327</v>
      </c>
      <c r="T319" s="350">
        <f t="shared" si="144"/>
        <v>1202889.998711352</v>
      </c>
      <c r="U319" s="350">
        <f t="shared" si="145"/>
        <v>1214404.855170504</v>
      </c>
      <c r="V319" s="350">
        <f t="shared" si="146"/>
        <v>5947219.3763032099</v>
      </c>
      <c r="W319" s="365"/>
      <c r="X319" s="377">
        <f t="shared" si="124"/>
        <v>0</v>
      </c>
      <c r="Y319" s="377">
        <f t="shared" si="125"/>
        <v>0</v>
      </c>
      <c r="Z319" s="377">
        <f t="shared" si="126"/>
        <v>0</v>
      </c>
      <c r="AA319" s="377">
        <f t="shared" si="127"/>
        <v>0</v>
      </c>
      <c r="AB319" s="377">
        <f t="shared" si="128"/>
        <v>0</v>
      </c>
      <c r="AC319" s="377">
        <f t="shared" si="129"/>
        <v>0</v>
      </c>
      <c r="AD319" s="376"/>
      <c r="AE319" s="332">
        <v>304</v>
      </c>
      <c r="AF319" s="350">
        <v>5743499.887890731</v>
      </c>
      <c r="AG319" s="350">
        <v>35477.442564341778</v>
      </c>
      <c r="AH319" s="350">
        <v>33968.406367774107</v>
      </c>
      <c r="AI319" s="350">
        <v>32418.764396013441</v>
      </c>
      <c r="AJ319" s="350">
        <v>30828.595802614211</v>
      </c>
      <c r="AK319" s="348">
        <v>5876193.0970214754</v>
      </c>
      <c r="AL319" s="369"/>
      <c r="AM319" s="350">
        <v>7342079.6942340191</v>
      </c>
      <c r="AN319" s="350">
        <v>1653806.0168613405</v>
      </c>
      <c r="AO319" s="350">
        <v>1670785.7251982891</v>
      </c>
      <c r="AP319" s="350">
        <v>1686419.5973590857</v>
      </c>
      <c r="AQ319" s="350">
        <v>1700662.615669965</v>
      </c>
      <c r="AR319" s="348">
        <v>14053753.6493227</v>
      </c>
      <c r="AS319" s="369"/>
      <c r="AT319" s="350">
        <f t="shared" si="147"/>
        <v>1598579.8063432882</v>
      </c>
      <c r="AU319" s="350">
        <f t="shared" si="130"/>
        <v>1618328.5742969988</v>
      </c>
      <c r="AV319" s="350">
        <f t="shared" si="131"/>
        <v>1636817.318830515</v>
      </c>
      <c r="AW319" s="350">
        <f t="shared" si="132"/>
        <v>1654000.8329630722</v>
      </c>
      <c r="AX319" s="350">
        <f t="shared" si="133"/>
        <v>1669834.0198673508</v>
      </c>
      <c r="AY319" s="350">
        <f t="shared" si="134"/>
        <v>8177560.5523012243</v>
      </c>
      <c r="AZ319" s="365"/>
      <c r="BA319" s="377">
        <f t="shared" si="135"/>
        <v>0</v>
      </c>
      <c r="BB319" s="377">
        <f t="shared" si="136"/>
        <v>0</v>
      </c>
      <c r="BC319" s="377">
        <f t="shared" si="137"/>
        <v>0</v>
      </c>
      <c r="BD319" s="377">
        <f t="shared" si="138"/>
        <v>0</v>
      </c>
      <c r="BE319" s="377">
        <f t="shared" si="139"/>
        <v>0</v>
      </c>
      <c r="BF319" s="377">
        <f t="shared" si="140"/>
        <v>0</v>
      </c>
      <c r="BG319" s="328"/>
    </row>
    <row r="320" spans="2:59">
      <c r="B320" s="332">
        <v>305</v>
      </c>
      <c r="C320" s="350">
        <v>5414161.0199921355</v>
      </c>
      <c r="D320" s="350">
        <v>33443.12533649298</v>
      </c>
      <c r="E320" s="350">
        <v>32020.619005391338</v>
      </c>
      <c r="F320" s="350">
        <v>30559.83528079516</v>
      </c>
      <c r="G320" s="350">
        <v>29060.848777505129</v>
      </c>
      <c r="H320" s="348">
        <v>5539245.4483923214</v>
      </c>
      <c r="I320" s="369"/>
      <c r="J320" s="350">
        <v>7523838.8472963283</v>
      </c>
      <c r="K320" s="350">
        <v>2169183.7977380622</v>
      </c>
      <c r="L320" s="350">
        <v>2192161.2583290241</v>
      </c>
      <c r="M320" s="350">
        <v>2213377.9027921045</v>
      </c>
      <c r="N320" s="350">
        <v>2232774.2905547591</v>
      </c>
      <c r="O320" s="348">
        <v>16331336.09671028</v>
      </c>
      <c r="P320" s="369"/>
      <c r="Q320" s="350">
        <f t="shared" si="141"/>
        <v>2109677.8273041928</v>
      </c>
      <c r="R320" s="350">
        <f t="shared" si="142"/>
        <v>2135740.6724015693</v>
      </c>
      <c r="S320" s="350">
        <f t="shared" si="143"/>
        <v>2160140.6393236327</v>
      </c>
      <c r="T320" s="350">
        <f t="shared" si="144"/>
        <v>2182818.0675113094</v>
      </c>
      <c r="U320" s="350">
        <f t="shared" si="145"/>
        <v>2203713.441777254</v>
      </c>
      <c r="V320" s="350">
        <f t="shared" si="146"/>
        <v>10792090.648317959</v>
      </c>
      <c r="W320" s="365"/>
      <c r="X320" s="377">
        <f t="shared" si="124"/>
        <v>0</v>
      </c>
      <c r="Y320" s="377">
        <f t="shared" si="125"/>
        <v>0</v>
      </c>
      <c r="Z320" s="377">
        <f t="shared" si="126"/>
        <v>0</v>
      </c>
      <c r="AA320" s="377">
        <f t="shared" si="127"/>
        <v>0</v>
      </c>
      <c r="AB320" s="377">
        <f t="shared" si="128"/>
        <v>0</v>
      </c>
      <c r="AC320" s="377">
        <f t="shared" si="129"/>
        <v>0</v>
      </c>
      <c r="AD320" s="376"/>
      <c r="AE320" s="332">
        <v>305</v>
      </c>
      <c r="AF320" s="350">
        <v>4534188.74022156</v>
      </c>
      <c r="AG320" s="350">
        <v>28007.560502654436</v>
      </c>
      <c r="AH320" s="350">
        <v>26816.256408528418</v>
      </c>
      <c r="AI320" s="350">
        <v>25592.896207103931</v>
      </c>
      <c r="AJ320" s="350">
        <v>24337.542385917997</v>
      </c>
      <c r="AK320" s="348">
        <v>4638942.9957257649</v>
      </c>
      <c r="AL320" s="369"/>
      <c r="AM320" s="350">
        <v>6056747.0230372548</v>
      </c>
      <c r="AN320" s="350">
        <v>1569375.4455064996</v>
      </c>
      <c r="AO320" s="350">
        <v>1585793.6414302452</v>
      </c>
      <c r="AP320" s="350">
        <v>1600936.6219436158</v>
      </c>
      <c r="AQ320" s="350">
        <v>1614761.4973163798</v>
      </c>
      <c r="AR320" s="348">
        <v>12427614.229233995</v>
      </c>
      <c r="AS320" s="369"/>
      <c r="AT320" s="350">
        <f t="shared" si="147"/>
        <v>1522558.2828156948</v>
      </c>
      <c r="AU320" s="350">
        <f t="shared" si="130"/>
        <v>1541367.8850038452</v>
      </c>
      <c r="AV320" s="350">
        <f t="shared" si="131"/>
        <v>1558977.3850217168</v>
      </c>
      <c r="AW320" s="350">
        <f t="shared" si="132"/>
        <v>1575343.7257365119</v>
      </c>
      <c r="AX320" s="350">
        <f t="shared" si="133"/>
        <v>1590423.9549304617</v>
      </c>
      <c r="AY320" s="350">
        <f t="shared" si="134"/>
        <v>7788671.2335082302</v>
      </c>
      <c r="AZ320" s="365"/>
      <c r="BA320" s="377">
        <f t="shared" si="135"/>
        <v>0</v>
      </c>
      <c r="BB320" s="377">
        <f t="shared" si="136"/>
        <v>0</v>
      </c>
      <c r="BC320" s="377">
        <f t="shared" si="137"/>
        <v>0</v>
      </c>
      <c r="BD320" s="377">
        <f t="shared" si="138"/>
        <v>0</v>
      </c>
      <c r="BE320" s="377">
        <f t="shared" si="139"/>
        <v>0</v>
      </c>
      <c r="BF320" s="377">
        <f t="shared" si="140"/>
        <v>0</v>
      </c>
      <c r="BG320" s="328"/>
    </row>
    <row r="321" spans="2:59">
      <c r="B321" s="332">
        <v>306</v>
      </c>
      <c r="C321" s="350">
        <v>5547405.8215822056</v>
      </c>
      <c r="D321" s="350">
        <v>34266.174851192496</v>
      </c>
      <c r="E321" s="350">
        <v>32808.660035278546</v>
      </c>
      <c r="F321" s="350">
        <v>31311.92580296069</v>
      </c>
      <c r="G321" s="350">
        <v>29776.048605344709</v>
      </c>
      <c r="H321" s="348">
        <v>5675568.6308769817</v>
      </c>
      <c r="I321" s="369"/>
      <c r="J321" s="350">
        <v>7434865.0193629768</v>
      </c>
      <c r="K321" s="350">
        <v>1945042.9408704471</v>
      </c>
      <c r="L321" s="350">
        <v>1965415.2720132617</v>
      </c>
      <c r="M321" s="350">
        <v>1984207.2851246737</v>
      </c>
      <c r="N321" s="350">
        <v>2001365.8103798346</v>
      </c>
      <c r="O321" s="348">
        <v>15330896.327751195</v>
      </c>
      <c r="P321" s="369"/>
      <c r="Q321" s="350">
        <f t="shared" si="141"/>
        <v>1887459.1977807712</v>
      </c>
      <c r="R321" s="350">
        <f t="shared" si="142"/>
        <v>1910776.7660192547</v>
      </c>
      <c r="S321" s="350">
        <f t="shared" si="143"/>
        <v>1932606.611977983</v>
      </c>
      <c r="T321" s="350">
        <f t="shared" si="144"/>
        <v>1952895.359321713</v>
      </c>
      <c r="U321" s="350">
        <f t="shared" si="145"/>
        <v>1971589.7617744899</v>
      </c>
      <c r="V321" s="350">
        <f t="shared" si="146"/>
        <v>9655327.6968742125</v>
      </c>
      <c r="W321" s="365"/>
      <c r="X321" s="377">
        <f t="shared" si="124"/>
        <v>0</v>
      </c>
      <c r="Y321" s="377">
        <f t="shared" si="125"/>
        <v>0</v>
      </c>
      <c r="Z321" s="377">
        <f t="shared" si="126"/>
        <v>0</v>
      </c>
      <c r="AA321" s="377">
        <f t="shared" si="127"/>
        <v>0</v>
      </c>
      <c r="AB321" s="377">
        <f t="shared" si="128"/>
        <v>0</v>
      </c>
      <c r="AC321" s="377">
        <f t="shared" si="129"/>
        <v>0</v>
      </c>
      <c r="AD321" s="376"/>
      <c r="AE321" s="332">
        <v>306</v>
      </c>
      <c r="AF321" s="350">
        <v>5680251.9555067932</v>
      </c>
      <c r="AG321" s="350">
        <v>35086.761806568953</v>
      </c>
      <c r="AH321" s="350">
        <v>33594.343251020349</v>
      </c>
      <c r="AI321" s="350">
        <v>32061.766074691204</v>
      </c>
      <c r="AJ321" s="350">
        <v>30489.108559492059</v>
      </c>
      <c r="AK321" s="348">
        <v>5811483.9351985659</v>
      </c>
      <c r="AL321" s="369"/>
      <c r="AM321" s="350">
        <v>8670309.8535492197</v>
      </c>
      <c r="AN321" s="350">
        <v>3062083.672441476</v>
      </c>
      <c r="AO321" s="350">
        <v>3095173.4601655072</v>
      </c>
      <c r="AP321" s="350">
        <v>3125781.7257198906</v>
      </c>
      <c r="AQ321" s="350">
        <v>3153824.1961867092</v>
      </c>
      <c r="AR321" s="348">
        <v>21107172.908062804</v>
      </c>
      <c r="AS321" s="369"/>
      <c r="AT321" s="350">
        <f t="shared" si="147"/>
        <v>2990057.8980424264</v>
      </c>
      <c r="AU321" s="350">
        <f t="shared" si="130"/>
        <v>3026996.910634907</v>
      </c>
      <c r="AV321" s="350">
        <f t="shared" si="131"/>
        <v>3061579.116914487</v>
      </c>
      <c r="AW321" s="350">
        <f t="shared" si="132"/>
        <v>3093719.9596451991</v>
      </c>
      <c r="AX321" s="350">
        <f t="shared" si="133"/>
        <v>3123335.0876272172</v>
      </c>
      <c r="AY321" s="350">
        <f t="shared" si="134"/>
        <v>15295688.972864239</v>
      </c>
      <c r="AZ321" s="365"/>
      <c r="BA321" s="377">
        <f t="shared" si="135"/>
        <v>0</v>
      </c>
      <c r="BB321" s="377">
        <f t="shared" si="136"/>
        <v>0</v>
      </c>
      <c r="BC321" s="377">
        <f t="shared" si="137"/>
        <v>0</v>
      </c>
      <c r="BD321" s="377">
        <f t="shared" si="138"/>
        <v>0</v>
      </c>
      <c r="BE321" s="377">
        <f t="shared" si="139"/>
        <v>0</v>
      </c>
      <c r="BF321" s="377">
        <f t="shared" si="140"/>
        <v>0</v>
      </c>
      <c r="BG321" s="328"/>
    </row>
    <row r="322" spans="2:59">
      <c r="B322" s="332">
        <v>307</v>
      </c>
      <c r="C322" s="350">
        <v>5774062.0299308654</v>
      </c>
      <c r="D322" s="350">
        <v>35666.22408432576</v>
      </c>
      <c r="E322" s="350">
        <v>34149.158048901154</v>
      </c>
      <c r="F322" s="350">
        <v>32591.270168030231</v>
      </c>
      <c r="G322" s="350">
        <v>30992.640016458074</v>
      </c>
      <c r="H322" s="348">
        <v>5907461.3222485809</v>
      </c>
      <c r="I322" s="369"/>
      <c r="J322" s="350">
        <v>7988278.6193429325</v>
      </c>
      <c r="K322" s="350">
        <v>2277237.1247732146</v>
      </c>
      <c r="L322" s="350">
        <v>2301329.0928949034</v>
      </c>
      <c r="M322" s="350">
        <v>2323572.3451921614</v>
      </c>
      <c r="N322" s="350">
        <v>2343904.4969556411</v>
      </c>
      <c r="O322" s="348">
        <v>17234321.679158852</v>
      </c>
      <c r="P322" s="369"/>
      <c r="Q322" s="350">
        <f t="shared" si="141"/>
        <v>2214216.5894120671</v>
      </c>
      <c r="R322" s="350">
        <f t="shared" si="142"/>
        <v>2241570.900688889</v>
      </c>
      <c r="S322" s="350">
        <f t="shared" si="143"/>
        <v>2267179.9348460021</v>
      </c>
      <c r="T322" s="350">
        <f t="shared" si="144"/>
        <v>2290981.0750241312</v>
      </c>
      <c r="U322" s="350">
        <f t="shared" si="145"/>
        <v>2312911.8569391831</v>
      </c>
      <c r="V322" s="350">
        <f t="shared" si="146"/>
        <v>11326860.35691027</v>
      </c>
      <c r="W322" s="365"/>
      <c r="X322" s="377">
        <f t="shared" si="124"/>
        <v>0</v>
      </c>
      <c r="Y322" s="377">
        <f t="shared" si="125"/>
        <v>0</v>
      </c>
      <c r="Z322" s="377">
        <f t="shared" si="126"/>
        <v>0</v>
      </c>
      <c r="AA322" s="377">
        <f t="shared" si="127"/>
        <v>0</v>
      </c>
      <c r="AB322" s="377">
        <f t="shared" si="128"/>
        <v>0</v>
      </c>
      <c r="AC322" s="377">
        <f t="shared" si="129"/>
        <v>0</v>
      </c>
      <c r="AD322" s="376"/>
      <c r="AE322" s="332">
        <v>307</v>
      </c>
      <c r="AF322" s="350">
        <v>5832408.8899428453</v>
      </c>
      <c r="AG322" s="350">
        <v>36026.631051382421</v>
      </c>
      <c r="AH322" s="350">
        <v>34494.235073338219</v>
      </c>
      <c r="AI322" s="350">
        <v>32920.604745360666</v>
      </c>
      <c r="AJ322" s="350">
        <v>31305.820446294631</v>
      </c>
      <c r="AK322" s="348">
        <v>5967156.1812592214</v>
      </c>
      <c r="AL322" s="369"/>
      <c r="AM322" s="350">
        <v>7753008.4750795672</v>
      </c>
      <c r="AN322" s="350">
        <v>1980353.1989689141</v>
      </c>
      <c r="AO322" s="350">
        <v>2001033.9417655913</v>
      </c>
      <c r="AP322" s="350">
        <v>2020105.2926786013</v>
      </c>
      <c r="AQ322" s="350">
        <v>2037513.1509020338</v>
      </c>
      <c r="AR322" s="348">
        <v>15792014.05939471</v>
      </c>
      <c r="AS322" s="369"/>
      <c r="AT322" s="350">
        <f t="shared" si="147"/>
        <v>1920599.5851367218</v>
      </c>
      <c r="AU322" s="350">
        <f t="shared" si="130"/>
        <v>1944326.5679175316</v>
      </c>
      <c r="AV322" s="350">
        <f t="shared" si="131"/>
        <v>1966539.706692253</v>
      </c>
      <c r="AW322" s="350">
        <f t="shared" si="132"/>
        <v>1987184.6879332408</v>
      </c>
      <c r="AX322" s="350">
        <f t="shared" si="133"/>
        <v>2006207.3304557391</v>
      </c>
      <c r="AY322" s="350">
        <f t="shared" si="134"/>
        <v>9824857.8781354874</v>
      </c>
      <c r="AZ322" s="365"/>
      <c r="BA322" s="377">
        <f t="shared" si="135"/>
        <v>0</v>
      </c>
      <c r="BB322" s="377">
        <f t="shared" si="136"/>
        <v>0</v>
      </c>
      <c r="BC322" s="377">
        <f t="shared" si="137"/>
        <v>0</v>
      </c>
      <c r="BD322" s="377">
        <f t="shared" si="138"/>
        <v>0</v>
      </c>
      <c r="BE322" s="377">
        <f t="shared" si="139"/>
        <v>0</v>
      </c>
      <c r="BF322" s="377">
        <f t="shared" si="140"/>
        <v>0</v>
      </c>
      <c r="BG322" s="328"/>
    </row>
    <row r="323" spans="2:59">
      <c r="B323" s="332">
        <v>308</v>
      </c>
      <c r="C323" s="350">
        <v>5868289.7361516012</v>
      </c>
      <c r="D323" s="350">
        <v>36248.266062329778</v>
      </c>
      <c r="E323" s="350">
        <v>34706.442819248696</v>
      </c>
      <c r="F323" s="350">
        <v>33123.131553452084</v>
      </c>
      <c r="G323" s="350">
        <v>31498.413138280732</v>
      </c>
      <c r="H323" s="348">
        <v>6003865.9897249127</v>
      </c>
      <c r="I323" s="369"/>
      <c r="J323" s="350">
        <v>7973675.8920001294</v>
      </c>
      <c r="K323" s="350">
        <v>2167644.2479325673</v>
      </c>
      <c r="L323" s="350">
        <v>2190452.7552925814</v>
      </c>
      <c r="M323" s="350">
        <v>2211500.7400183585</v>
      </c>
      <c r="N323" s="350">
        <v>2230728.8888663426</v>
      </c>
      <c r="O323" s="348">
        <v>16774002.524109978</v>
      </c>
      <c r="P323" s="369"/>
      <c r="Q323" s="350">
        <f t="shared" si="141"/>
        <v>2105386.1558485283</v>
      </c>
      <c r="R323" s="350">
        <f t="shared" si="142"/>
        <v>2131395.9818702373</v>
      </c>
      <c r="S323" s="350">
        <f t="shared" si="143"/>
        <v>2155746.3124733325</v>
      </c>
      <c r="T323" s="350">
        <f t="shared" si="144"/>
        <v>2178377.6084649065</v>
      </c>
      <c r="U323" s="350">
        <f t="shared" si="145"/>
        <v>2199230.475728062</v>
      </c>
      <c r="V323" s="350">
        <f t="shared" si="146"/>
        <v>10770136.534385066</v>
      </c>
      <c r="W323" s="365"/>
      <c r="X323" s="377">
        <f t="shared" si="124"/>
        <v>0</v>
      </c>
      <c r="Y323" s="377">
        <f t="shared" si="125"/>
        <v>0</v>
      </c>
      <c r="Z323" s="377">
        <f t="shared" si="126"/>
        <v>0</v>
      </c>
      <c r="AA323" s="377">
        <f t="shared" si="127"/>
        <v>0</v>
      </c>
      <c r="AB323" s="377">
        <f t="shared" si="128"/>
        <v>0</v>
      </c>
      <c r="AC323" s="377">
        <f t="shared" si="129"/>
        <v>0</v>
      </c>
      <c r="AD323" s="376"/>
      <c r="AE323" s="332">
        <v>308</v>
      </c>
      <c r="AF323" s="350">
        <v>5947957.9390918408</v>
      </c>
      <c r="AG323" s="350">
        <v>36740.374384641291</v>
      </c>
      <c r="AH323" s="350">
        <v>35177.619269999159</v>
      </c>
      <c r="AI323" s="350">
        <v>33572.812889115463</v>
      </c>
      <c r="AJ323" s="350">
        <v>31926.037213270509</v>
      </c>
      <c r="AK323" s="348">
        <v>6085374.7828488676</v>
      </c>
      <c r="AL323" s="369"/>
      <c r="AM323" s="350">
        <v>8332232.9999910248</v>
      </c>
      <c r="AN323" s="350">
        <v>2450470.6396650369</v>
      </c>
      <c r="AO323" s="350">
        <v>2476483.7692973935</v>
      </c>
      <c r="AP323" s="350">
        <v>2500508.1020075236</v>
      </c>
      <c r="AQ323" s="350">
        <v>2522476.4580383566</v>
      </c>
      <c r="AR323" s="348">
        <v>18282171.968999334</v>
      </c>
      <c r="AS323" s="369"/>
      <c r="AT323" s="350">
        <f t="shared" si="147"/>
        <v>2384275.0608991841</v>
      </c>
      <c r="AU323" s="350">
        <f t="shared" si="130"/>
        <v>2413730.2652803957</v>
      </c>
      <c r="AV323" s="350">
        <f t="shared" si="131"/>
        <v>2441306.1500273943</v>
      </c>
      <c r="AW323" s="350">
        <f t="shared" si="132"/>
        <v>2466935.2891184082</v>
      </c>
      <c r="AX323" s="350">
        <f t="shared" si="133"/>
        <v>2490550.4208250861</v>
      </c>
      <c r="AY323" s="350">
        <f t="shared" si="134"/>
        <v>12196797.186150465</v>
      </c>
      <c r="AZ323" s="365"/>
      <c r="BA323" s="377">
        <f t="shared" si="135"/>
        <v>0</v>
      </c>
      <c r="BB323" s="377">
        <f t="shared" si="136"/>
        <v>0</v>
      </c>
      <c r="BC323" s="377">
        <f t="shared" si="137"/>
        <v>0</v>
      </c>
      <c r="BD323" s="377">
        <f t="shared" si="138"/>
        <v>0</v>
      </c>
      <c r="BE323" s="377">
        <f t="shared" si="139"/>
        <v>0</v>
      </c>
      <c r="BF323" s="377">
        <f t="shared" si="140"/>
        <v>0</v>
      </c>
      <c r="BG323" s="328"/>
    </row>
    <row r="324" spans="2:59">
      <c r="B324" s="332">
        <v>309</v>
      </c>
      <c r="C324" s="350">
        <v>8687467.2199677564</v>
      </c>
      <c r="D324" s="350">
        <v>53662.248688436848</v>
      </c>
      <c r="E324" s="350">
        <v>51379.720134887626</v>
      </c>
      <c r="F324" s="350">
        <v>49035.77235128187</v>
      </c>
      <c r="G324" s="350">
        <v>46630.525063213208</v>
      </c>
      <c r="H324" s="348">
        <v>8888175.486205576</v>
      </c>
      <c r="I324" s="369"/>
      <c r="J324" s="350">
        <v>11560332.809298817</v>
      </c>
      <c r="K324" s="350">
        <v>2962019.063206234</v>
      </c>
      <c r="L324" s="350">
        <v>2992963.3261769544</v>
      </c>
      <c r="M324" s="350">
        <v>3021500.4931549113</v>
      </c>
      <c r="N324" s="350">
        <v>3047549.6387262172</v>
      </c>
      <c r="O324" s="348">
        <v>23584365.330563132</v>
      </c>
      <c r="P324" s="369"/>
      <c r="Q324" s="350">
        <f t="shared" si="141"/>
        <v>2872865.5893310606</v>
      </c>
      <c r="R324" s="350">
        <f t="shared" si="142"/>
        <v>2908356.814517797</v>
      </c>
      <c r="S324" s="350">
        <f t="shared" si="143"/>
        <v>2941583.6060420666</v>
      </c>
      <c r="T324" s="350">
        <f t="shared" si="144"/>
        <v>2972464.7208036296</v>
      </c>
      <c r="U324" s="350">
        <f t="shared" si="145"/>
        <v>3000919.1136630038</v>
      </c>
      <c r="V324" s="350">
        <f t="shared" si="146"/>
        <v>14696189.844357556</v>
      </c>
      <c r="W324" s="365"/>
      <c r="X324" s="377">
        <f t="shared" si="124"/>
        <v>0</v>
      </c>
      <c r="Y324" s="377">
        <f t="shared" si="125"/>
        <v>0</v>
      </c>
      <c r="Z324" s="377">
        <f t="shared" si="126"/>
        <v>0</v>
      </c>
      <c r="AA324" s="377">
        <f t="shared" si="127"/>
        <v>0</v>
      </c>
      <c r="AB324" s="377">
        <f t="shared" si="128"/>
        <v>0</v>
      </c>
      <c r="AC324" s="377">
        <f t="shared" si="129"/>
        <v>0</v>
      </c>
      <c r="AD324" s="376"/>
      <c r="AE324" s="332">
        <v>309</v>
      </c>
      <c r="AF324" s="350">
        <v>5559775.6105503319</v>
      </c>
      <c r="AG324" s="350">
        <v>34342.582701147432</v>
      </c>
      <c r="AH324" s="350">
        <v>32881.817870492727</v>
      </c>
      <c r="AI324" s="350">
        <v>31381.746170683495</v>
      </c>
      <c r="AJ324" s="350">
        <v>29842.444223295781</v>
      </c>
      <c r="AK324" s="348">
        <v>5688224.2015159521</v>
      </c>
      <c r="AL324" s="369"/>
      <c r="AM324" s="350">
        <v>7338116.1155845998</v>
      </c>
      <c r="AN324" s="350">
        <v>1834652.6095805217</v>
      </c>
      <c r="AO324" s="350">
        <v>1853759.6532263162</v>
      </c>
      <c r="AP324" s="350">
        <v>1871375.3861172406</v>
      </c>
      <c r="AQ324" s="350">
        <v>1887449.7168980595</v>
      </c>
      <c r="AR324" s="348">
        <v>14785353.481406737</v>
      </c>
      <c r="AS324" s="369"/>
      <c r="AT324" s="350">
        <f t="shared" si="147"/>
        <v>1778340.5050342679</v>
      </c>
      <c r="AU324" s="350">
        <f t="shared" si="130"/>
        <v>1800310.0268793742</v>
      </c>
      <c r="AV324" s="350">
        <f t="shared" si="131"/>
        <v>1820877.8353558234</v>
      </c>
      <c r="AW324" s="350">
        <f t="shared" si="132"/>
        <v>1839993.6399465571</v>
      </c>
      <c r="AX324" s="350">
        <f t="shared" si="133"/>
        <v>1857607.2726747636</v>
      </c>
      <c r="AY324" s="350">
        <f t="shared" si="134"/>
        <v>9097129.279890785</v>
      </c>
      <c r="AZ324" s="365"/>
      <c r="BA324" s="377">
        <f t="shared" si="135"/>
        <v>0</v>
      </c>
      <c r="BB324" s="377">
        <f t="shared" si="136"/>
        <v>0</v>
      </c>
      <c r="BC324" s="377">
        <f t="shared" si="137"/>
        <v>0</v>
      </c>
      <c r="BD324" s="377">
        <f t="shared" si="138"/>
        <v>0</v>
      </c>
      <c r="BE324" s="377">
        <f t="shared" si="139"/>
        <v>0</v>
      </c>
      <c r="BF324" s="377">
        <f t="shared" si="140"/>
        <v>0</v>
      </c>
      <c r="BG324" s="328"/>
    </row>
    <row r="325" spans="2:59">
      <c r="B325" s="332">
        <v>310</v>
      </c>
      <c r="C325" s="350">
        <v>4440436.1185091818</v>
      </c>
      <c r="D325" s="350">
        <v>27428.453108734859</v>
      </c>
      <c r="E325" s="350">
        <v>26261.78139946939</v>
      </c>
      <c r="F325" s="350">
        <v>25063.716401387454</v>
      </c>
      <c r="G325" s="350">
        <v>23834.319309985229</v>
      </c>
      <c r="H325" s="348">
        <v>4543024.3887287583</v>
      </c>
      <c r="I325" s="369"/>
      <c r="J325" s="350">
        <v>6426908.4673981927</v>
      </c>
      <c r="K325" s="350">
        <v>2038441.5733180146</v>
      </c>
      <c r="L325" s="350">
        <v>2060249.9070703285</v>
      </c>
      <c r="M325" s="350">
        <v>2080404.9053010037</v>
      </c>
      <c r="N325" s="350">
        <v>2098850.5897134095</v>
      </c>
      <c r="O325" s="348">
        <v>14704855.44280095</v>
      </c>
      <c r="P325" s="369"/>
      <c r="Q325" s="350">
        <f t="shared" si="141"/>
        <v>1986472.348889011</v>
      </c>
      <c r="R325" s="350">
        <f t="shared" si="142"/>
        <v>2011013.1202092797</v>
      </c>
      <c r="S325" s="350">
        <f t="shared" si="143"/>
        <v>2033988.1256708591</v>
      </c>
      <c r="T325" s="350">
        <f t="shared" si="144"/>
        <v>2055341.1888996162</v>
      </c>
      <c r="U325" s="350">
        <f t="shared" si="145"/>
        <v>2075016.2704034243</v>
      </c>
      <c r="V325" s="350">
        <f t="shared" si="146"/>
        <v>10161831.054072192</v>
      </c>
      <c r="W325" s="365"/>
      <c r="X325" s="377">
        <f t="shared" si="124"/>
        <v>0</v>
      </c>
      <c r="Y325" s="377">
        <f t="shared" si="125"/>
        <v>0</v>
      </c>
      <c r="Z325" s="377">
        <f t="shared" si="126"/>
        <v>0</v>
      </c>
      <c r="AA325" s="377">
        <f t="shared" si="127"/>
        <v>0</v>
      </c>
      <c r="AB325" s="377">
        <f t="shared" si="128"/>
        <v>0</v>
      </c>
      <c r="AC325" s="377">
        <f t="shared" si="129"/>
        <v>0</v>
      </c>
      <c r="AD325" s="376"/>
      <c r="AE325" s="332">
        <v>310</v>
      </c>
      <c r="AF325" s="350">
        <v>5452069.6519623445</v>
      </c>
      <c r="AG325" s="350">
        <v>33677.285924926815</v>
      </c>
      <c r="AH325" s="350">
        <v>32244.819552225974</v>
      </c>
      <c r="AI325" s="350">
        <v>30773.80777707923</v>
      </c>
      <c r="AJ325" s="350">
        <v>29264.325736719642</v>
      </c>
      <c r="AK325" s="348">
        <v>5578029.8909532949</v>
      </c>
      <c r="AL325" s="369"/>
      <c r="AM325" s="350">
        <v>7105038.3745783977</v>
      </c>
      <c r="AN325" s="350">
        <v>1707066.694207188</v>
      </c>
      <c r="AO325" s="350">
        <v>1724752.0199603934</v>
      </c>
      <c r="AP325" s="350">
        <v>1741049.161700662</v>
      </c>
      <c r="AQ325" s="350">
        <v>1755911.563396262</v>
      </c>
      <c r="AR325" s="348">
        <v>14033817.813842904</v>
      </c>
      <c r="AS325" s="369"/>
      <c r="AT325" s="350">
        <f t="shared" si="147"/>
        <v>1652968.7226160532</v>
      </c>
      <c r="AU325" s="350">
        <f t="shared" si="130"/>
        <v>1673389.4082822611</v>
      </c>
      <c r="AV325" s="350">
        <f t="shared" si="131"/>
        <v>1692507.2004081674</v>
      </c>
      <c r="AW325" s="350">
        <f t="shared" si="132"/>
        <v>1710275.3539235827</v>
      </c>
      <c r="AX325" s="350">
        <f t="shared" si="133"/>
        <v>1726647.2376595424</v>
      </c>
      <c r="AY325" s="350">
        <f t="shared" si="134"/>
        <v>8455787.9228896089</v>
      </c>
      <c r="AZ325" s="365"/>
      <c r="BA325" s="377">
        <f t="shared" si="135"/>
        <v>0</v>
      </c>
      <c r="BB325" s="377">
        <f t="shared" si="136"/>
        <v>0</v>
      </c>
      <c r="BC325" s="377">
        <f t="shared" si="137"/>
        <v>0</v>
      </c>
      <c r="BD325" s="377">
        <f t="shared" si="138"/>
        <v>0</v>
      </c>
      <c r="BE325" s="377">
        <f t="shared" si="139"/>
        <v>0</v>
      </c>
      <c r="BF325" s="377">
        <f t="shared" si="140"/>
        <v>0</v>
      </c>
      <c r="BG325" s="328"/>
    </row>
    <row r="326" spans="2:59">
      <c r="B326" s="332">
        <v>311</v>
      </c>
      <c r="C326" s="350">
        <v>5422026.2209938699</v>
      </c>
      <c r="D326" s="350">
        <v>33491.708469121084</v>
      </c>
      <c r="E326" s="350">
        <v>32067.135650120596</v>
      </c>
      <c r="F326" s="350">
        <v>30604.229831709756</v>
      </c>
      <c r="G326" s="350">
        <v>29103.065737079785</v>
      </c>
      <c r="H326" s="348">
        <v>5547292.3606819008</v>
      </c>
      <c r="I326" s="369"/>
      <c r="J326" s="350">
        <v>7746570.8567867381</v>
      </c>
      <c r="K326" s="350">
        <v>2386753.6422211872</v>
      </c>
      <c r="L326" s="350">
        <v>2412214.1281007854</v>
      </c>
      <c r="M326" s="350">
        <v>2435738.3048430332</v>
      </c>
      <c r="N326" s="350">
        <v>2457260.6704713511</v>
      </c>
      <c r="O326" s="348">
        <v>17438537.602423094</v>
      </c>
      <c r="P326" s="369"/>
      <c r="Q326" s="350">
        <f t="shared" si="141"/>
        <v>2324544.6357928682</v>
      </c>
      <c r="R326" s="350">
        <f t="shared" si="142"/>
        <v>2353261.933752066</v>
      </c>
      <c r="S326" s="350">
        <f t="shared" si="143"/>
        <v>2380146.9924506648</v>
      </c>
      <c r="T326" s="350">
        <f t="shared" si="144"/>
        <v>2405134.0750113237</v>
      </c>
      <c r="U326" s="350">
        <f t="shared" si="145"/>
        <v>2428157.6047342713</v>
      </c>
      <c r="V326" s="350">
        <f t="shared" si="146"/>
        <v>11891245.241741193</v>
      </c>
      <c r="W326" s="365"/>
      <c r="X326" s="377">
        <f t="shared" si="124"/>
        <v>0</v>
      </c>
      <c r="Y326" s="377">
        <f t="shared" si="125"/>
        <v>0</v>
      </c>
      <c r="Z326" s="377">
        <f t="shared" si="126"/>
        <v>0</v>
      </c>
      <c r="AA326" s="377">
        <f t="shared" si="127"/>
        <v>0</v>
      </c>
      <c r="AB326" s="377">
        <f t="shared" si="128"/>
        <v>0</v>
      </c>
      <c r="AC326" s="377">
        <f t="shared" si="129"/>
        <v>0</v>
      </c>
      <c r="AD326" s="376"/>
      <c r="AE326" s="332">
        <v>311</v>
      </c>
      <c r="AF326" s="350">
        <v>5422737.4166854471</v>
      </c>
      <c r="AG326" s="350">
        <v>33496.101505559869</v>
      </c>
      <c r="AH326" s="350">
        <v>32071.341828362452</v>
      </c>
      <c r="AI326" s="350">
        <v>30608.244123694796</v>
      </c>
      <c r="AJ326" s="350">
        <v>29106.88312455187</v>
      </c>
      <c r="AK326" s="348">
        <v>5548019.9872676153</v>
      </c>
      <c r="AL326" s="369"/>
      <c r="AM326" s="350">
        <v>7395800.676755866</v>
      </c>
      <c r="AN326" s="350">
        <v>2030934.4777425311</v>
      </c>
      <c r="AO326" s="350">
        <v>2052329.6376083912</v>
      </c>
      <c r="AP326" s="350">
        <v>2072075.4656510099</v>
      </c>
      <c r="AQ326" s="350">
        <v>2090116.3753891205</v>
      </c>
      <c r="AR326" s="348">
        <v>15641256.633146919</v>
      </c>
      <c r="AS326" s="369"/>
      <c r="AT326" s="350">
        <f t="shared" si="147"/>
        <v>1973063.2600704189</v>
      </c>
      <c r="AU326" s="350">
        <f t="shared" si="130"/>
        <v>1997438.3762369712</v>
      </c>
      <c r="AV326" s="350">
        <f t="shared" si="131"/>
        <v>2020258.2957800287</v>
      </c>
      <c r="AW326" s="350">
        <f t="shared" si="132"/>
        <v>2041467.2215273152</v>
      </c>
      <c r="AX326" s="350">
        <f t="shared" si="133"/>
        <v>2061009.4922645686</v>
      </c>
      <c r="AY326" s="350">
        <f t="shared" si="134"/>
        <v>10093236.645879304</v>
      </c>
      <c r="AZ326" s="365"/>
      <c r="BA326" s="377">
        <f t="shared" si="135"/>
        <v>0</v>
      </c>
      <c r="BB326" s="377">
        <f t="shared" si="136"/>
        <v>0</v>
      </c>
      <c r="BC326" s="377">
        <f t="shared" si="137"/>
        <v>0</v>
      </c>
      <c r="BD326" s="377">
        <f t="shared" si="138"/>
        <v>0</v>
      </c>
      <c r="BE326" s="377">
        <f t="shared" si="139"/>
        <v>0</v>
      </c>
      <c r="BF326" s="377">
        <f t="shared" si="140"/>
        <v>0</v>
      </c>
      <c r="BG326" s="328"/>
    </row>
    <row r="327" spans="2:59">
      <c r="B327" s="332">
        <v>312</v>
      </c>
      <c r="C327" s="350">
        <v>6086517.857995485</v>
      </c>
      <c r="D327" s="350">
        <v>37596.255234397526</v>
      </c>
      <c r="E327" s="350">
        <v>35997.095151164787</v>
      </c>
      <c r="F327" s="350">
        <v>34354.90420161638</v>
      </c>
      <c r="G327" s="350">
        <v>32669.766266583647</v>
      </c>
      <c r="H327" s="348">
        <v>6227135.8788492475</v>
      </c>
      <c r="I327" s="369"/>
      <c r="J327" s="350">
        <v>8578809.4746022504</v>
      </c>
      <c r="K327" s="350">
        <v>2560677.5068747355</v>
      </c>
      <c r="L327" s="350">
        <v>2587903.5219999114</v>
      </c>
      <c r="M327" s="350">
        <v>2613051.5657614926</v>
      </c>
      <c r="N327" s="350">
        <v>2636051.4131047213</v>
      </c>
      <c r="O327" s="348">
        <v>18976493.482343107</v>
      </c>
      <c r="P327" s="369"/>
      <c r="Q327" s="350">
        <f t="shared" si="141"/>
        <v>2492291.6166067654</v>
      </c>
      <c r="R327" s="350">
        <f t="shared" si="142"/>
        <v>2523081.251640338</v>
      </c>
      <c r="S327" s="350">
        <f t="shared" si="143"/>
        <v>2551906.4268487468</v>
      </c>
      <c r="T327" s="350">
        <f t="shared" si="144"/>
        <v>2578696.6615598761</v>
      </c>
      <c r="U327" s="350">
        <f t="shared" si="145"/>
        <v>2603381.6468381379</v>
      </c>
      <c r="V327" s="350">
        <f t="shared" si="146"/>
        <v>12749357.60349386</v>
      </c>
      <c r="W327" s="365"/>
      <c r="X327" s="377">
        <f t="shared" si="124"/>
        <v>0</v>
      </c>
      <c r="Y327" s="377">
        <f t="shared" si="125"/>
        <v>0</v>
      </c>
      <c r="Z327" s="377">
        <f t="shared" si="126"/>
        <v>0</v>
      </c>
      <c r="AA327" s="377">
        <f t="shared" si="127"/>
        <v>0</v>
      </c>
      <c r="AB327" s="377">
        <f t="shared" si="128"/>
        <v>0</v>
      </c>
      <c r="AC327" s="377">
        <f t="shared" si="129"/>
        <v>0</v>
      </c>
      <c r="AD327" s="376"/>
      <c r="AE327" s="332">
        <v>312</v>
      </c>
      <c r="AF327" s="350">
        <v>5225071.7142041922</v>
      </c>
      <c r="AG327" s="350">
        <v>32275.125838527383</v>
      </c>
      <c r="AH327" s="350">
        <v>30902.300470668306</v>
      </c>
      <c r="AI327" s="350">
        <v>29492.534545389724</v>
      </c>
      <c r="AJ327" s="350">
        <v>28045.900071573196</v>
      </c>
      <c r="AK327" s="348">
        <v>5345787.5751303509</v>
      </c>
      <c r="AL327" s="369"/>
      <c r="AM327" s="350">
        <v>7522252.5192147614</v>
      </c>
      <c r="AN327" s="350">
        <v>2357835.1775315912</v>
      </c>
      <c r="AO327" s="350">
        <v>2383030.9281476205</v>
      </c>
      <c r="AP327" s="350">
        <v>2406314.1044647619</v>
      </c>
      <c r="AQ327" s="350">
        <v>2427619.9737410434</v>
      </c>
      <c r="AR327" s="348">
        <v>17097052.70309978</v>
      </c>
      <c r="AS327" s="369"/>
      <c r="AT327" s="350">
        <f t="shared" si="147"/>
        <v>2297180.8050105693</v>
      </c>
      <c r="AU327" s="350">
        <f t="shared" si="130"/>
        <v>2325560.0516930637</v>
      </c>
      <c r="AV327" s="350">
        <f t="shared" si="131"/>
        <v>2352128.6276769522</v>
      </c>
      <c r="AW327" s="350">
        <f t="shared" si="132"/>
        <v>2376821.569919372</v>
      </c>
      <c r="AX327" s="350">
        <f t="shared" si="133"/>
        <v>2399574.0736694704</v>
      </c>
      <c r="AY327" s="350">
        <f t="shared" si="134"/>
        <v>11751265.127969429</v>
      </c>
      <c r="AZ327" s="365"/>
      <c r="BA327" s="377">
        <f t="shared" si="135"/>
        <v>0</v>
      </c>
      <c r="BB327" s="377">
        <f t="shared" si="136"/>
        <v>0</v>
      </c>
      <c r="BC327" s="377">
        <f t="shared" si="137"/>
        <v>0</v>
      </c>
      <c r="BD327" s="377">
        <f t="shared" si="138"/>
        <v>0</v>
      </c>
      <c r="BE327" s="377">
        <f t="shared" si="139"/>
        <v>0</v>
      </c>
      <c r="BF327" s="377">
        <f t="shared" si="140"/>
        <v>0</v>
      </c>
      <c r="BG327" s="328"/>
    </row>
    <row r="328" spans="2:59">
      <c r="B328" s="332">
        <v>313</v>
      </c>
      <c r="C328" s="350">
        <v>5592291.1858681031</v>
      </c>
      <c r="D328" s="350">
        <v>34543.430525349286</v>
      </c>
      <c r="E328" s="350">
        <v>33074.122614504049</v>
      </c>
      <c r="F328" s="350">
        <v>31565.277953742938</v>
      </c>
      <c r="G328" s="350">
        <v>30016.97361275119</v>
      </c>
      <c r="H328" s="348">
        <v>5721490.9905744502</v>
      </c>
      <c r="I328" s="369"/>
      <c r="J328" s="350">
        <v>7992962.8584120991</v>
      </c>
      <c r="K328" s="350">
        <v>2464872.8702987256</v>
      </c>
      <c r="L328" s="350">
        <v>2491169.0859397193</v>
      </c>
      <c r="M328" s="350">
        <v>2515465.63144409</v>
      </c>
      <c r="N328" s="350">
        <v>2537694.8595956089</v>
      </c>
      <c r="O328" s="348">
        <v>18002165.30569024</v>
      </c>
      <c r="P328" s="369"/>
      <c r="Q328" s="350">
        <f t="shared" si="141"/>
        <v>2400671.672543996</v>
      </c>
      <c r="R328" s="350">
        <f t="shared" si="142"/>
        <v>2430329.4397733761</v>
      </c>
      <c r="S328" s="350">
        <f t="shared" si="143"/>
        <v>2458094.9633252155</v>
      </c>
      <c r="T328" s="350">
        <f t="shared" si="144"/>
        <v>2483900.353490347</v>
      </c>
      <c r="U328" s="350">
        <f t="shared" si="145"/>
        <v>2507677.8859828576</v>
      </c>
      <c r="V328" s="350">
        <f t="shared" si="146"/>
        <v>12280674.315115791</v>
      </c>
      <c r="W328" s="365"/>
      <c r="X328" s="377">
        <f t="shared" si="124"/>
        <v>0</v>
      </c>
      <c r="Y328" s="377">
        <f t="shared" si="125"/>
        <v>0</v>
      </c>
      <c r="Z328" s="377">
        <f t="shared" si="126"/>
        <v>0</v>
      </c>
      <c r="AA328" s="377">
        <f t="shared" si="127"/>
        <v>0</v>
      </c>
      <c r="AB328" s="377">
        <f t="shared" si="128"/>
        <v>0</v>
      </c>
      <c r="AC328" s="377">
        <f t="shared" si="129"/>
        <v>0</v>
      </c>
      <c r="AD328" s="376"/>
      <c r="AE328" s="332">
        <v>313</v>
      </c>
      <c r="AF328" s="350">
        <v>4594025.172803808</v>
      </c>
      <c r="AG328" s="350">
        <v>28377.168518956678</v>
      </c>
      <c r="AH328" s="350">
        <v>27170.143114757764</v>
      </c>
      <c r="AI328" s="350">
        <v>25930.638567692378</v>
      </c>
      <c r="AJ328" s="350">
        <v>24658.71818993289</v>
      </c>
      <c r="AK328" s="348">
        <v>4700161.8411951484</v>
      </c>
      <c r="AL328" s="369"/>
      <c r="AM328" s="350">
        <v>6219432.64209936</v>
      </c>
      <c r="AN328" s="350">
        <v>1673864.8332567206</v>
      </c>
      <c r="AO328" s="350">
        <v>1691456.8339276863</v>
      </c>
      <c r="AP328" s="350">
        <v>1707689.2204360242</v>
      </c>
      <c r="AQ328" s="350">
        <v>1722516.202443277</v>
      </c>
      <c r="AR328" s="348">
        <v>13014959.732163068</v>
      </c>
      <c r="AS328" s="369"/>
      <c r="AT328" s="350">
        <f t="shared" si="147"/>
        <v>1625407.469295552</v>
      </c>
      <c r="AU328" s="350">
        <f t="shared" si="130"/>
        <v>1645487.6647377638</v>
      </c>
      <c r="AV328" s="350">
        <f t="shared" si="131"/>
        <v>1664286.6908129286</v>
      </c>
      <c r="AW328" s="350">
        <f t="shared" si="132"/>
        <v>1681758.5818683319</v>
      </c>
      <c r="AX328" s="350">
        <f t="shared" si="133"/>
        <v>1697857.4842533441</v>
      </c>
      <c r="AY328" s="350">
        <f t="shared" si="134"/>
        <v>8314797.8909679195</v>
      </c>
      <c r="AZ328" s="365"/>
      <c r="BA328" s="377">
        <f t="shared" si="135"/>
        <v>0</v>
      </c>
      <c r="BB328" s="377">
        <f t="shared" si="136"/>
        <v>0</v>
      </c>
      <c r="BC328" s="377">
        <f t="shared" si="137"/>
        <v>0</v>
      </c>
      <c r="BD328" s="377">
        <f t="shared" si="138"/>
        <v>0</v>
      </c>
      <c r="BE328" s="377">
        <f t="shared" si="139"/>
        <v>0</v>
      </c>
      <c r="BF328" s="377">
        <f t="shared" si="140"/>
        <v>0</v>
      </c>
      <c r="BG328" s="328"/>
    </row>
    <row r="329" spans="2:59">
      <c r="B329" s="332">
        <v>314</v>
      </c>
      <c r="C329" s="350">
        <v>6692576.010685198</v>
      </c>
      <c r="D329" s="350">
        <v>41339.85995667267</v>
      </c>
      <c r="E329" s="350">
        <v>39581.465311329099</v>
      </c>
      <c r="F329" s="350">
        <v>37775.755049679501</v>
      </c>
      <c r="G329" s="350">
        <v>35922.821404886439</v>
      </c>
      <c r="H329" s="348">
        <v>6847195.9124077652</v>
      </c>
      <c r="I329" s="369"/>
      <c r="J329" s="350">
        <v>8633900.6389224529</v>
      </c>
      <c r="K329" s="350">
        <v>2006647.5070296151</v>
      </c>
      <c r="L329" s="350">
        <v>2027341.9514390868</v>
      </c>
      <c r="M329" s="350">
        <v>2046404.0008306154</v>
      </c>
      <c r="N329" s="350">
        <v>2063778.9815875902</v>
      </c>
      <c r="O329" s="348">
        <v>16778073.07980936</v>
      </c>
      <c r="P329" s="369"/>
      <c r="Q329" s="350">
        <f t="shared" si="141"/>
        <v>1941324.6282372549</v>
      </c>
      <c r="R329" s="350">
        <f t="shared" si="142"/>
        <v>1965307.6470729425</v>
      </c>
      <c r="S329" s="350">
        <f t="shared" si="143"/>
        <v>1987760.4861277577</v>
      </c>
      <c r="T329" s="350">
        <f t="shared" si="144"/>
        <v>2008628.245780936</v>
      </c>
      <c r="U329" s="350">
        <f t="shared" si="145"/>
        <v>2027856.1601827038</v>
      </c>
      <c r="V329" s="350">
        <f t="shared" si="146"/>
        <v>9930877.167401595</v>
      </c>
      <c r="W329" s="365"/>
      <c r="X329" s="377">
        <f t="shared" si="124"/>
        <v>0</v>
      </c>
      <c r="Y329" s="377">
        <f t="shared" si="125"/>
        <v>0</v>
      </c>
      <c r="Z329" s="377">
        <f t="shared" si="126"/>
        <v>0</v>
      </c>
      <c r="AA329" s="377">
        <f t="shared" si="127"/>
        <v>0</v>
      </c>
      <c r="AB329" s="377">
        <f t="shared" si="128"/>
        <v>0</v>
      </c>
      <c r="AC329" s="377">
        <f t="shared" si="129"/>
        <v>0</v>
      </c>
      <c r="AD329" s="376"/>
      <c r="AE329" s="332">
        <v>314</v>
      </c>
      <c r="AF329" s="350">
        <v>6605068.8495086227</v>
      </c>
      <c r="AG329" s="350">
        <v>40799.330602582995</v>
      </c>
      <c r="AH329" s="350">
        <v>39063.927421723893</v>
      </c>
      <c r="AI329" s="350">
        <v>37281.827288464905</v>
      </c>
      <c r="AJ329" s="350">
        <v>35453.121230011195</v>
      </c>
      <c r="AK329" s="348">
        <v>6757667.0560514042</v>
      </c>
      <c r="AL329" s="369"/>
      <c r="AM329" s="350">
        <v>8349854.4224544251</v>
      </c>
      <c r="AN329" s="350">
        <v>1807139.8895880925</v>
      </c>
      <c r="AO329" s="350">
        <v>1825584.2075546931</v>
      </c>
      <c r="AP329" s="350">
        <v>1842557.2220750889</v>
      </c>
      <c r="AQ329" s="350">
        <v>1858009.8028030249</v>
      </c>
      <c r="AR329" s="348">
        <v>15683145.544475324</v>
      </c>
      <c r="AS329" s="369"/>
      <c r="AT329" s="350">
        <f t="shared" si="147"/>
        <v>1744785.5729458025</v>
      </c>
      <c r="AU329" s="350">
        <f t="shared" si="130"/>
        <v>1766340.5589855094</v>
      </c>
      <c r="AV329" s="350">
        <f t="shared" si="131"/>
        <v>1786520.2801329691</v>
      </c>
      <c r="AW329" s="350">
        <f t="shared" si="132"/>
        <v>1805275.394786624</v>
      </c>
      <c r="AX329" s="350">
        <f t="shared" si="133"/>
        <v>1822556.6815730138</v>
      </c>
      <c r="AY329" s="350">
        <f t="shared" si="134"/>
        <v>8925478.4884239212</v>
      </c>
      <c r="AZ329" s="365"/>
      <c r="BA329" s="377">
        <f t="shared" si="135"/>
        <v>0</v>
      </c>
      <c r="BB329" s="377">
        <f t="shared" si="136"/>
        <v>0</v>
      </c>
      <c r="BC329" s="377">
        <f t="shared" si="137"/>
        <v>0</v>
      </c>
      <c r="BD329" s="377">
        <f t="shared" si="138"/>
        <v>0</v>
      </c>
      <c r="BE329" s="377">
        <f t="shared" si="139"/>
        <v>0</v>
      </c>
      <c r="BF329" s="377">
        <f t="shared" si="140"/>
        <v>0</v>
      </c>
      <c r="BG329" s="328"/>
    </row>
    <row r="330" spans="2:59">
      <c r="B330" s="332">
        <v>315</v>
      </c>
      <c r="C330" s="350">
        <v>5931850.7671933947</v>
      </c>
      <c r="D330" s="350">
        <v>36640.880821994615</v>
      </c>
      <c r="E330" s="350">
        <v>35082.357674950836</v>
      </c>
      <c r="F330" s="350">
        <v>33481.897137213513</v>
      </c>
      <c r="G330" s="350">
        <v>31839.580958081657</v>
      </c>
      <c r="H330" s="348">
        <v>6068895.4837856349</v>
      </c>
      <c r="I330" s="369"/>
      <c r="J330" s="350">
        <v>8209117.8342319475</v>
      </c>
      <c r="K330" s="350">
        <v>2342041.1813075813</v>
      </c>
      <c r="L330" s="350">
        <v>2366820.9172014697</v>
      </c>
      <c r="M330" s="350">
        <v>2389699.3414055407</v>
      </c>
      <c r="N330" s="350">
        <v>2410612.2926958874</v>
      </c>
      <c r="O330" s="348">
        <v>17718291.566842426</v>
      </c>
      <c r="P330" s="369"/>
      <c r="Q330" s="350">
        <f t="shared" si="141"/>
        <v>2277267.0670385528</v>
      </c>
      <c r="R330" s="350">
        <f t="shared" si="142"/>
        <v>2305400.3004855867</v>
      </c>
      <c r="S330" s="350">
        <f t="shared" si="143"/>
        <v>2331738.5595265189</v>
      </c>
      <c r="T330" s="350">
        <f t="shared" si="144"/>
        <v>2356217.4442683272</v>
      </c>
      <c r="U330" s="350">
        <f t="shared" si="145"/>
        <v>2378772.7117378055</v>
      </c>
      <c r="V330" s="350">
        <f t="shared" si="146"/>
        <v>11649396.083056791</v>
      </c>
      <c r="W330" s="365"/>
      <c r="X330" s="377">
        <f t="shared" si="124"/>
        <v>0</v>
      </c>
      <c r="Y330" s="377">
        <f t="shared" si="125"/>
        <v>0</v>
      </c>
      <c r="Z330" s="377">
        <f t="shared" si="126"/>
        <v>0</v>
      </c>
      <c r="AA330" s="377">
        <f t="shared" si="127"/>
        <v>0</v>
      </c>
      <c r="AB330" s="377">
        <f t="shared" si="128"/>
        <v>0</v>
      </c>
      <c r="AC330" s="377">
        <f t="shared" si="129"/>
        <v>0</v>
      </c>
      <c r="AD330" s="376"/>
      <c r="AE330" s="332">
        <v>315</v>
      </c>
      <c r="AF330" s="350">
        <v>5632145.8742376575</v>
      </c>
      <c r="AG330" s="350">
        <v>34789.611851221969</v>
      </c>
      <c r="AH330" s="350">
        <v>33309.832595635213</v>
      </c>
      <c r="AI330" s="350">
        <v>31790.234822820334</v>
      </c>
      <c r="AJ330" s="350">
        <v>30230.896151720266</v>
      </c>
      <c r="AK330" s="348">
        <v>5762266.4496590551</v>
      </c>
      <c r="AL330" s="369"/>
      <c r="AM330" s="350">
        <v>7601170.2796689887</v>
      </c>
      <c r="AN330" s="350">
        <v>2028139.2376586364</v>
      </c>
      <c r="AO330" s="350">
        <v>2049432.6656385111</v>
      </c>
      <c r="AP330" s="350">
        <v>2069078.579004907</v>
      </c>
      <c r="AQ330" s="350">
        <v>2087021.5081008477</v>
      </c>
      <c r="AR330" s="348">
        <v>15834842.27007189</v>
      </c>
      <c r="AS330" s="369"/>
      <c r="AT330" s="350">
        <f t="shared" si="147"/>
        <v>1969024.4054313311</v>
      </c>
      <c r="AU330" s="350">
        <f t="shared" si="130"/>
        <v>1993349.6258074145</v>
      </c>
      <c r="AV330" s="350">
        <f t="shared" si="131"/>
        <v>2016122.8330428759</v>
      </c>
      <c r="AW330" s="350">
        <f t="shared" si="132"/>
        <v>2037288.3441820866</v>
      </c>
      <c r="AX330" s="350">
        <f t="shared" si="133"/>
        <v>2056790.6119491274</v>
      </c>
      <c r="AY330" s="350">
        <f t="shared" si="134"/>
        <v>10072575.820412835</v>
      </c>
      <c r="AZ330" s="365"/>
      <c r="BA330" s="377">
        <f t="shared" si="135"/>
        <v>0</v>
      </c>
      <c r="BB330" s="377">
        <f t="shared" si="136"/>
        <v>0</v>
      </c>
      <c r="BC330" s="377">
        <f t="shared" si="137"/>
        <v>0</v>
      </c>
      <c r="BD330" s="377">
        <f t="shared" si="138"/>
        <v>0</v>
      </c>
      <c r="BE330" s="377">
        <f t="shared" si="139"/>
        <v>0</v>
      </c>
      <c r="BF330" s="377">
        <f t="shared" si="140"/>
        <v>0</v>
      </c>
      <c r="BG330" s="328"/>
    </row>
    <row r="331" spans="2:59">
      <c r="B331" s="332">
        <v>316</v>
      </c>
      <c r="C331" s="350">
        <v>5435170.2882625163</v>
      </c>
      <c r="D331" s="350">
        <v>33572.899015073788</v>
      </c>
      <c r="E331" s="350">
        <v>32144.872748932346</v>
      </c>
      <c r="F331" s="350">
        <v>30678.420556583016</v>
      </c>
      <c r="G331" s="350">
        <v>29173.61734236094</v>
      </c>
      <c r="H331" s="348">
        <v>5560740.0979254674</v>
      </c>
      <c r="I331" s="369"/>
      <c r="J331" s="350">
        <v>7260051.2729570549</v>
      </c>
      <c r="K331" s="350">
        <v>1880998.3641083157</v>
      </c>
      <c r="L331" s="350">
        <v>1900676.4210018704</v>
      </c>
      <c r="M331" s="350">
        <v>1918826.0480733167</v>
      </c>
      <c r="N331" s="350">
        <v>1935395.8393173006</v>
      </c>
      <c r="O331" s="348">
        <v>14895947.945457857</v>
      </c>
      <c r="P331" s="369"/>
      <c r="Q331" s="350">
        <f t="shared" si="141"/>
        <v>1824880.9846945386</v>
      </c>
      <c r="R331" s="350">
        <f t="shared" si="142"/>
        <v>1847425.4650932418</v>
      </c>
      <c r="S331" s="350">
        <f t="shared" si="143"/>
        <v>1868531.5482529381</v>
      </c>
      <c r="T331" s="350">
        <f t="shared" si="144"/>
        <v>1888147.6275167337</v>
      </c>
      <c r="U331" s="350">
        <f t="shared" si="145"/>
        <v>1906222.2219749396</v>
      </c>
      <c r="V331" s="350">
        <f t="shared" si="146"/>
        <v>9335207.8475323897</v>
      </c>
      <c r="W331" s="365"/>
      <c r="X331" s="377">
        <f t="shared" si="124"/>
        <v>0</v>
      </c>
      <c r="Y331" s="377">
        <f t="shared" si="125"/>
        <v>0</v>
      </c>
      <c r="Z331" s="377">
        <f t="shared" si="126"/>
        <v>0</v>
      </c>
      <c r="AA331" s="377">
        <f t="shared" si="127"/>
        <v>0</v>
      </c>
      <c r="AB331" s="377">
        <f t="shared" si="128"/>
        <v>0</v>
      </c>
      <c r="AC331" s="377">
        <f t="shared" si="129"/>
        <v>0</v>
      </c>
      <c r="AD331" s="376"/>
      <c r="AE331" s="332">
        <v>316</v>
      </c>
      <c r="AF331" s="350">
        <v>4774387.2193634361</v>
      </c>
      <c r="AG331" s="350">
        <v>29491.259974079847</v>
      </c>
      <c r="AH331" s="350">
        <v>28236.846590068704</v>
      </c>
      <c r="AI331" s="350">
        <v>26948.678927670921</v>
      </c>
      <c r="AJ331" s="350">
        <v>25626.822784699976</v>
      </c>
      <c r="AK331" s="348">
        <v>4884690.827639957</v>
      </c>
      <c r="AL331" s="369"/>
      <c r="AM331" s="350">
        <v>6815668.2346060313</v>
      </c>
      <c r="AN331" s="350">
        <v>2095990.1498191042</v>
      </c>
      <c r="AO331" s="350">
        <v>2118344.6442057178</v>
      </c>
      <c r="AP331" s="350">
        <v>2138998.6911482778</v>
      </c>
      <c r="AQ331" s="350">
        <v>2157894.7707694438</v>
      </c>
      <c r="AR331" s="348">
        <v>15326896.490548573</v>
      </c>
      <c r="AS331" s="369"/>
      <c r="AT331" s="350">
        <f t="shared" si="147"/>
        <v>2041281.0152425952</v>
      </c>
      <c r="AU331" s="350">
        <f t="shared" si="130"/>
        <v>2066498.8898450243</v>
      </c>
      <c r="AV331" s="350">
        <f t="shared" si="131"/>
        <v>2090107.7976156492</v>
      </c>
      <c r="AW331" s="350">
        <f t="shared" si="132"/>
        <v>2112050.0122206071</v>
      </c>
      <c r="AX331" s="350">
        <f t="shared" si="133"/>
        <v>2132267.9479847439</v>
      </c>
      <c r="AY331" s="350">
        <f t="shared" si="134"/>
        <v>10442205.662908617</v>
      </c>
      <c r="AZ331" s="365"/>
      <c r="BA331" s="377">
        <f t="shared" si="135"/>
        <v>0</v>
      </c>
      <c r="BB331" s="377">
        <f t="shared" si="136"/>
        <v>0</v>
      </c>
      <c r="BC331" s="377">
        <f t="shared" si="137"/>
        <v>0</v>
      </c>
      <c r="BD331" s="377">
        <f t="shared" si="138"/>
        <v>0</v>
      </c>
      <c r="BE331" s="377">
        <f t="shared" si="139"/>
        <v>0</v>
      </c>
      <c r="BF331" s="377">
        <f t="shared" si="140"/>
        <v>0</v>
      </c>
      <c r="BG331" s="328"/>
    </row>
    <row r="332" spans="2:59">
      <c r="B332" s="332">
        <v>317</v>
      </c>
      <c r="C332" s="350">
        <v>5001757.1071309671</v>
      </c>
      <c r="D332" s="350">
        <v>30895.717585569775</v>
      </c>
      <c r="E332" s="350">
        <v>29581.565471280224</v>
      </c>
      <c r="F332" s="350">
        <v>28232.051603941964</v>
      </c>
      <c r="G332" s="350">
        <v>26847.244914847106</v>
      </c>
      <c r="H332" s="348">
        <v>5117313.6867066072</v>
      </c>
      <c r="I332" s="369"/>
      <c r="J332" s="350">
        <v>7714860.8784110285</v>
      </c>
      <c r="K332" s="350">
        <v>2777517.0252443184</v>
      </c>
      <c r="L332" s="350">
        <v>2807581.9023915497</v>
      </c>
      <c r="M332" s="350">
        <v>2835396.1855469737</v>
      </c>
      <c r="N332" s="350">
        <v>2860883.4054723335</v>
      </c>
      <c r="O332" s="348">
        <v>18996239.397066202</v>
      </c>
      <c r="P332" s="369"/>
      <c r="Q332" s="350">
        <f t="shared" si="141"/>
        <v>2713103.7712800615</v>
      </c>
      <c r="R332" s="350">
        <f t="shared" si="142"/>
        <v>2746621.3076587487</v>
      </c>
      <c r="S332" s="350">
        <f t="shared" si="143"/>
        <v>2778000.3369202693</v>
      </c>
      <c r="T332" s="350">
        <f t="shared" si="144"/>
        <v>2807164.1339430315</v>
      </c>
      <c r="U332" s="350">
        <f t="shared" si="145"/>
        <v>2834036.1605574866</v>
      </c>
      <c r="V332" s="350">
        <f t="shared" si="146"/>
        <v>13878925.710359596</v>
      </c>
      <c r="W332" s="365"/>
      <c r="X332" s="377">
        <f t="shared" si="124"/>
        <v>0</v>
      </c>
      <c r="Y332" s="377">
        <f t="shared" si="125"/>
        <v>0</v>
      </c>
      <c r="Z332" s="377">
        <f t="shared" si="126"/>
        <v>0</v>
      </c>
      <c r="AA332" s="377">
        <f t="shared" si="127"/>
        <v>0</v>
      </c>
      <c r="AB332" s="377">
        <f t="shared" si="128"/>
        <v>0</v>
      </c>
      <c r="AC332" s="377">
        <f t="shared" si="129"/>
        <v>0</v>
      </c>
      <c r="AD332" s="376"/>
      <c r="AE332" s="332">
        <v>317</v>
      </c>
      <c r="AF332" s="350">
        <v>5686692.9639740326</v>
      </c>
      <c r="AG332" s="350">
        <v>35126.547740652859</v>
      </c>
      <c r="AH332" s="350">
        <v>33632.436886836884</v>
      </c>
      <c r="AI332" s="350">
        <v>32098.121875169105</v>
      </c>
      <c r="AJ332" s="350">
        <v>30523.681076333</v>
      </c>
      <c r="AK332" s="348">
        <v>5818073.7515530242</v>
      </c>
      <c r="AL332" s="369"/>
      <c r="AM332" s="350">
        <v>7935236.8757060822</v>
      </c>
      <c r="AN332" s="350">
        <v>2311448.8486218196</v>
      </c>
      <c r="AO332" s="350">
        <v>2335960.7925120005</v>
      </c>
      <c r="AP332" s="350">
        <v>2358596.6102216383</v>
      </c>
      <c r="AQ332" s="350">
        <v>2379292.9474444361</v>
      </c>
      <c r="AR332" s="348">
        <v>17320536.074505977</v>
      </c>
      <c r="AS332" s="369"/>
      <c r="AT332" s="350">
        <f t="shared" si="147"/>
        <v>2248543.9117320497</v>
      </c>
      <c r="AU332" s="350">
        <f t="shared" si="130"/>
        <v>2276322.3008811669</v>
      </c>
      <c r="AV332" s="350">
        <f t="shared" si="131"/>
        <v>2302328.3556251638</v>
      </c>
      <c r="AW332" s="350">
        <f t="shared" si="132"/>
        <v>2326498.4883464691</v>
      </c>
      <c r="AX332" s="350">
        <f t="shared" si="133"/>
        <v>2348769.2663681032</v>
      </c>
      <c r="AY332" s="350">
        <f t="shared" si="134"/>
        <v>11502462.322952952</v>
      </c>
      <c r="AZ332" s="365"/>
      <c r="BA332" s="377">
        <f t="shared" si="135"/>
        <v>0</v>
      </c>
      <c r="BB332" s="377">
        <f t="shared" si="136"/>
        <v>0</v>
      </c>
      <c r="BC332" s="377">
        <f t="shared" si="137"/>
        <v>0</v>
      </c>
      <c r="BD332" s="377">
        <f t="shared" si="138"/>
        <v>0</v>
      </c>
      <c r="BE332" s="377">
        <f t="shared" si="139"/>
        <v>0</v>
      </c>
      <c r="BF332" s="377">
        <f t="shared" si="140"/>
        <v>0</v>
      </c>
      <c r="BG332" s="328"/>
    </row>
    <row r="333" spans="2:59">
      <c r="B333" s="332">
        <v>318</v>
      </c>
      <c r="C333" s="350">
        <v>6020587.8680032566</v>
      </c>
      <c r="D333" s="350">
        <v>37189.007479739601</v>
      </c>
      <c r="E333" s="350">
        <v>35607.169716221702</v>
      </c>
      <c r="F333" s="350">
        <v>33982.767202590214</v>
      </c>
      <c r="G333" s="350">
        <v>32315.882911065703</v>
      </c>
      <c r="H333" s="348">
        <v>6159682.6953128735</v>
      </c>
      <c r="I333" s="369"/>
      <c r="J333" s="350">
        <v>7559270.6018827055</v>
      </c>
      <c r="K333" s="350">
        <v>1594880.5441384974</v>
      </c>
      <c r="L333" s="350">
        <v>1611094.6974615345</v>
      </c>
      <c r="M333" s="350">
        <v>1626009.9612180644</v>
      </c>
      <c r="N333" s="350">
        <v>1639583.0112827916</v>
      </c>
      <c r="O333" s="348">
        <v>14030838.815983593</v>
      </c>
      <c r="P333" s="369"/>
      <c r="Q333" s="350">
        <f t="shared" si="141"/>
        <v>1538682.7338794488</v>
      </c>
      <c r="R333" s="350">
        <f t="shared" si="142"/>
        <v>1557691.5366587578</v>
      </c>
      <c r="S333" s="350">
        <f t="shared" si="143"/>
        <v>1575487.5277453128</v>
      </c>
      <c r="T333" s="350">
        <f t="shared" si="144"/>
        <v>1592027.1940154743</v>
      </c>
      <c r="U333" s="350">
        <f t="shared" si="145"/>
        <v>1607267.128371726</v>
      </c>
      <c r="V333" s="350">
        <f t="shared" si="146"/>
        <v>7871156.12067072</v>
      </c>
      <c r="W333" s="365"/>
      <c r="X333" s="377">
        <f t="shared" si="124"/>
        <v>0</v>
      </c>
      <c r="Y333" s="377">
        <f t="shared" si="125"/>
        <v>0</v>
      </c>
      <c r="Z333" s="377">
        <f t="shared" si="126"/>
        <v>0</v>
      </c>
      <c r="AA333" s="377">
        <f t="shared" si="127"/>
        <v>0</v>
      </c>
      <c r="AB333" s="377">
        <f t="shared" si="128"/>
        <v>0</v>
      </c>
      <c r="AC333" s="377">
        <f t="shared" si="129"/>
        <v>0</v>
      </c>
      <c r="AD333" s="376"/>
      <c r="AE333" s="332">
        <v>318</v>
      </c>
      <c r="AF333" s="350">
        <v>6816138.2923193974</v>
      </c>
      <c r="AG333" s="350">
        <v>42103.100809004034</v>
      </c>
      <c r="AH333" s="350">
        <v>40312.241645657436</v>
      </c>
      <c r="AI333" s="350">
        <v>38473.193297213009</v>
      </c>
      <c r="AJ333" s="350">
        <v>36586.049699708245</v>
      </c>
      <c r="AK333" s="348">
        <v>6973612.8777709799</v>
      </c>
      <c r="AL333" s="369"/>
      <c r="AM333" s="350">
        <v>8633765.9778971188</v>
      </c>
      <c r="AN333" s="350">
        <v>1882185.6599227705</v>
      </c>
      <c r="AO333" s="350">
        <v>1901416.9942103529</v>
      </c>
      <c r="AP333" s="350">
        <v>1919116.0576902404</v>
      </c>
      <c r="AQ333" s="350">
        <v>1935231.6680083976</v>
      </c>
      <c r="AR333" s="348">
        <v>16271716.357728882</v>
      </c>
      <c r="AS333" s="369"/>
      <c r="AT333" s="350">
        <f t="shared" si="147"/>
        <v>1817627.6855777213</v>
      </c>
      <c r="AU333" s="350">
        <f t="shared" si="130"/>
        <v>1840082.5591137665</v>
      </c>
      <c r="AV333" s="350">
        <f t="shared" si="131"/>
        <v>1861104.7525646954</v>
      </c>
      <c r="AW333" s="350">
        <f t="shared" si="132"/>
        <v>1880642.8643930275</v>
      </c>
      <c r="AX333" s="350">
        <f t="shared" si="133"/>
        <v>1898645.6183086892</v>
      </c>
      <c r="AY333" s="350">
        <f t="shared" si="134"/>
        <v>9298103.4799579009</v>
      </c>
      <c r="AZ333" s="365"/>
      <c r="BA333" s="377">
        <f t="shared" si="135"/>
        <v>0</v>
      </c>
      <c r="BB333" s="377">
        <f t="shared" si="136"/>
        <v>0</v>
      </c>
      <c r="BC333" s="377">
        <f t="shared" si="137"/>
        <v>0</v>
      </c>
      <c r="BD333" s="377">
        <f t="shared" si="138"/>
        <v>0</v>
      </c>
      <c r="BE333" s="377">
        <f t="shared" si="139"/>
        <v>0</v>
      </c>
      <c r="BF333" s="377">
        <f t="shared" si="140"/>
        <v>0</v>
      </c>
      <c r="BG333" s="328"/>
    </row>
    <row r="334" spans="2:59">
      <c r="B334" s="332">
        <v>319</v>
      </c>
      <c r="C334" s="350">
        <v>5509840.3502253583</v>
      </c>
      <c r="D334" s="350">
        <v>34034.133956532445</v>
      </c>
      <c r="E334" s="350">
        <v>32586.489020852136</v>
      </c>
      <c r="F334" s="350">
        <v>31099.890251622026</v>
      </c>
      <c r="G334" s="350">
        <v>29574.413582240621</v>
      </c>
      <c r="H334" s="348">
        <v>5637135.2770366045</v>
      </c>
      <c r="I334" s="369"/>
      <c r="J334" s="350">
        <v>6744363.0967897624</v>
      </c>
      <c r="K334" s="350">
        <v>1283808.1073653707</v>
      </c>
      <c r="L334" s="350">
        <v>1296638.62082471</v>
      </c>
      <c r="M334" s="350">
        <v>1308422.2003589789</v>
      </c>
      <c r="N334" s="350">
        <v>1319124.0953268351</v>
      </c>
      <c r="O334" s="348">
        <v>11952356.120665658</v>
      </c>
      <c r="P334" s="369"/>
      <c r="Q334" s="350">
        <f t="shared" si="141"/>
        <v>1234522.7465644041</v>
      </c>
      <c r="R334" s="350">
        <f t="shared" si="142"/>
        <v>1249773.9734088383</v>
      </c>
      <c r="S334" s="350">
        <f t="shared" si="143"/>
        <v>1264052.1318038579</v>
      </c>
      <c r="T334" s="350">
        <f t="shared" si="144"/>
        <v>1277322.3101073569</v>
      </c>
      <c r="U334" s="350">
        <f t="shared" si="145"/>
        <v>1289549.6817445944</v>
      </c>
      <c r="V334" s="350">
        <f t="shared" si="146"/>
        <v>6315220.8436290538</v>
      </c>
      <c r="W334" s="365"/>
      <c r="X334" s="377">
        <f t="shared" si="124"/>
        <v>0</v>
      </c>
      <c r="Y334" s="377">
        <f t="shared" si="125"/>
        <v>0</v>
      </c>
      <c r="Z334" s="377">
        <f t="shared" si="126"/>
        <v>0</v>
      </c>
      <c r="AA334" s="377">
        <f t="shared" si="127"/>
        <v>0</v>
      </c>
      <c r="AB334" s="377">
        <f t="shared" si="128"/>
        <v>0</v>
      </c>
      <c r="AC334" s="377">
        <f t="shared" si="129"/>
        <v>0</v>
      </c>
      <c r="AD334" s="376"/>
      <c r="AE334" s="332">
        <v>319</v>
      </c>
      <c r="AF334" s="350">
        <v>5575341.1617259486</v>
      </c>
      <c r="AG334" s="350">
        <v>34438.730687323354</v>
      </c>
      <c r="AH334" s="350">
        <v>32973.876193464006</v>
      </c>
      <c r="AI334" s="350">
        <v>31469.604784090847</v>
      </c>
      <c r="AJ334" s="350">
        <v>29925.99329529153</v>
      </c>
      <c r="AK334" s="348">
        <v>5704149.3666861178</v>
      </c>
      <c r="AL334" s="369"/>
      <c r="AM334" s="350">
        <v>7534893.3718669116</v>
      </c>
      <c r="AN334" s="350">
        <v>2018199.1422191055</v>
      </c>
      <c r="AO334" s="350">
        <v>2039397.9420949712</v>
      </c>
      <c r="AP334" s="350">
        <v>2058957.3629472069</v>
      </c>
      <c r="AQ334" s="350">
        <v>2076822.2015518874</v>
      </c>
      <c r="AR334" s="348">
        <v>15728270.020680083</v>
      </c>
      <c r="AS334" s="369"/>
      <c r="AT334" s="350">
        <f t="shared" si="147"/>
        <v>1959552.2101409631</v>
      </c>
      <c r="AU334" s="350">
        <f t="shared" si="130"/>
        <v>1983760.4115317822</v>
      </c>
      <c r="AV334" s="350">
        <f t="shared" si="131"/>
        <v>2006424.0659015072</v>
      </c>
      <c r="AW334" s="350">
        <f t="shared" si="132"/>
        <v>2027487.7581631162</v>
      </c>
      <c r="AX334" s="350">
        <f t="shared" si="133"/>
        <v>2046896.208256596</v>
      </c>
      <c r="AY334" s="350">
        <f t="shared" si="134"/>
        <v>10024120.653993964</v>
      </c>
      <c r="AZ334" s="365"/>
      <c r="BA334" s="377">
        <f t="shared" si="135"/>
        <v>0</v>
      </c>
      <c r="BB334" s="377">
        <f t="shared" si="136"/>
        <v>0</v>
      </c>
      <c r="BC334" s="377">
        <f t="shared" si="137"/>
        <v>0</v>
      </c>
      <c r="BD334" s="377">
        <f t="shared" si="138"/>
        <v>0</v>
      </c>
      <c r="BE334" s="377">
        <f t="shared" si="139"/>
        <v>0</v>
      </c>
      <c r="BF334" s="377">
        <f t="shared" si="140"/>
        <v>0</v>
      </c>
      <c r="BG334" s="328"/>
    </row>
    <row r="335" spans="2:59">
      <c r="B335" s="332">
        <v>320</v>
      </c>
      <c r="C335" s="350">
        <v>6214590.9657948893</v>
      </c>
      <c r="D335" s="350">
        <v>38387.359337239352</v>
      </c>
      <c r="E335" s="350">
        <v>36754.549570147974</v>
      </c>
      <c r="F335" s="350">
        <v>35077.803477015797</v>
      </c>
      <c r="G335" s="350">
        <v>33357.20670370377</v>
      </c>
      <c r="H335" s="348">
        <v>6358167.8848829959</v>
      </c>
      <c r="I335" s="369"/>
      <c r="J335" s="350">
        <v>8819027.1933157332</v>
      </c>
      <c r="K335" s="350">
        <v>2674998.6503134398</v>
      </c>
      <c r="L335" s="350">
        <v>2703488.0501935608</v>
      </c>
      <c r="M335" s="350">
        <v>2729807.0078778407</v>
      </c>
      <c r="N335" s="350">
        <v>2753882.1364145773</v>
      </c>
      <c r="O335" s="348">
        <v>19681203.038115151</v>
      </c>
      <c r="P335" s="369"/>
      <c r="Q335" s="350">
        <f t="shared" si="141"/>
        <v>2604436.227520844</v>
      </c>
      <c r="R335" s="350">
        <f t="shared" si="142"/>
        <v>2636611.2909762003</v>
      </c>
      <c r="S335" s="350">
        <f t="shared" si="143"/>
        <v>2666733.5006234129</v>
      </c>
      <c r="T335" s="350">
        <f t="shared" si="144"/>
        <v>2694729.2044008248</v>
      </c>
      <c r="U335" s="350">
        <f t="shared" si="145"/>
        <v>2720524.9297108734</v>
      </c>
      <c r="V335" s="350">
        <f t="shared" si="146"/>
        <v>13323035.153232155</v>
      </c>
      <c r="W335" s="365"/>
      <c r="X335" s="377">
        <f t="shared" si="124"/>
        <v>0</v>
      </c>
      <c r="Y335" s="377">
        <f t="shared" si="125"/>
        <v>0</v>
      </c>
      <c r="Z335" s="377">
        <f t="shared" si="126"/>
        <v>0</v>
      </c>
      <c r="AA335" s="377">
        <f t="shared" si="127"/>
        <v>0</v>
      </c>
      <c r="AB335" s="377">
        <f t="shared" si="128"/>
        <v>0</v>
      </c>
      <c r="AC335" s="377">
        <f t="shared" si="129"/>
        <v>0</v>
      </c>
      <c r="AD335" s="376"/>
      <c r="AE335" s="332">
        <v>320</v>
      </c>
      <c r="AF335" s="350">
        <v>5541127.9256890928</v>
      </c>
      <c r="AG335" s="350">
        <v>34227.396459041171</v>
      </c>
      <c r="AH335" s="350">
        <v>32771.531085509487</v>
      </c>
      <c r="AI335" s="350">
        <v>31276.490679458824</v>
      </c>
      <c r="AJ335" s="350">
        <v>29742.351605474803</v>
      </c>
      <c r="AK335" s="348">
        <v>5669145.6955185775</v>
      </c>
      <c r="AL335" s="369"/>
      <c r="AM335" s="350">
        <v>7322342.7476569526</v>
      </c>
      <c r="AN335" s="350">
        <v>1837447.2494270222</v>
      </c>
      <c r="AO335" s="350">
        <v>1856592.4361073205</v>
      </c>
      <c r="AP335" s="350">
        <v>1874244.0970076111</v>
      </c>
      <c r="AQ335" s="350">
        <v>1890352.0594295813</v>
      </c>
      <c r="AR335" s="348">
        <v>14780978.589628488</v>
      </c>
      <c r="AS335" s="369"/>
      <c r="AT335" s="350">
        <f t="shared" si="147"/>
        <v>1781214.8219678598</v>
      </c>
      <c r="AU335" s="350">
        <f t="shared" si="130"/>
        <v>1803219.852967981</v>
      </c>
      <c r="AV335" s="350">
        <f t="shared" si="131"/>
        <v>1823820.9050218109</v>
      </c>
      <c r="AW335" s="350">
        <f t="shared" si="132"/>
        <v>1842967.6063281524</v>
      </c>
      <c r="AX335" s="350">
        <f t="shared" si="133"/>
        <v>1860609.7078241066</v>
      </c>
      <c r="AY335" s="350">
        <f t="shared" si="134"/>
        <v>9111832.8941099104</v>
      </c>
      <c r="AZ335" s="365"/>
      <c r="BA335" s="377">
        <f t="shared" si="135"/>
        <v>0</v>
      </c>
      <c r="BB335" s="377">
        <f t="shared" si="136"/>
        <v>0</v>
      </c>
      <c r="BC335" s="377">
        <f t="shared" si="137"/>
        <v>0</v>
      </c>
      <c r="BD335" s="377">
        <f t="shared" si="138"/>
        <v>0</v>
      </c>
      <c r="BE335" s="377">
        <f t="shared" si="139"/>
        <v>0</v>
      </c>
      <c r="BF335" s="377">
        <f t="shared" si="140"/>
        <v>0</v>
      </c>
      <c r="BG335" s="328"/>
    </row>
    <row r="336" spans="2:59">
      <c r="B336" s="332">
        <v>321</v>
      </c>
      <c r="C336" s="350">
        <v>4990706.4539722037</v>
      </c>
      <c r="D336" s="350">
        <v>30827.458001624</v>
      </c>
      <c r="E336" s="350">
        <v>29516.209314850428</v>
      </c>
      <c r="F336" s="350">
        <v>28169.677001666001</v>
      </c>
      <c r="G336" s="350">
        <v>26787.929841069814</v>
      </c>
      <c r="H336" s="348">
        <v>5106007.7281314135</v>
      </c>
      <c r="I336" s="369"/>
      <c r="J336" s="350">
        <v>7192380.4009400122</v>
      </c>
      <c r="K336" s="350">
        <v>2259700.7651239051</v>
      </c>
      <c r="L336" s="350">
        <v>2283853.4857616927</v>
      </c>
      <c r="M336" s="350">
        <v>2306173.2697830927</v>
      </c>
      <c r="N336" s="350">
        <v>2326598.0755179506</v>
      </c>
      <c r="O336" s="348">
        <v>16368705.997126654</v>
      </c>
      <c r="P336" s="369"/>
      <c r="Q336" s="350">
        <f t="shared" si="141"/>
        <v>2201673.9469678085</v>
      </c>
      <c r="R336" s="350">
        <f t="shared" si="142"/>
        <v>2228873.3071222813</v>
      </c>
      <c r="S336" s="350">
        <f t="shared" si="143"/>
        <v>2254337.2764468421</v>
      </c>
      <c r="T336" s="350">
        <f t="shared" si="144"/>
        <v>2278003.5927814269</v>
      </c>
      <c r="U336" s="350">
        <f t="shared" si="145"/>
        <v>2299810.1456768806</v>
      </c>
      <c r="V336" s="350">
        <f t="shared" si="146"/>
        <v>11262698.26899524</v>
      </c>
      <c r="W336" s="365"/>
      <c r="X336" s="377">
        <f t="shared" ref="X336:X399" si="148">IF(Q336&lt;Q$8,1,0)</f>
        <v>0</v>
      </c>
      <c r="Y336" s="377">
        <f t="shared" ref="Y336:Y399" si="149">IF(R336&lt;R$8,1,0)</f>
        <v>0</v>
      </c>
      <c r="Z336" s="377">
        <f t="shared" ref="Z336:Z399" si="150">IF(S336&lt;S$8,1,0)</f>
        <v>0</v>
      </c>
      <c r="AA336" s="377">
        <f t="shared" ref="AA336:AA399" si="151">IF(T336&lt;T$8,1,0)</f>
        <v>0</v>
      </c>
      <c r="AB336" s="377">
        <f t="shared" ref="AB336:AB399" si="152">IF(U336&lt;U$8,1,0)</f>
        <v>0</v>
      </c>
      <c r="AC336" s="377">
        <f t="shared" ref="AC336:AC399" si="153">IF(V336&lt;V$8,1,0)</f>
        <v>0</v>
      </c>
      <c r="AD336" s="376"/>
      <c r="AE336" s="332">
        <v>321</v>
      </c>
      <c r="AF336" s="350">
        <v>8683776.082585603</v>
      </c>
      <c r="AG336" s="350">
        <v>53639.448633237742</v>
      </c>
      <c r="AH336" s="350">
        <v>51357.889882079093</v>
      </c>
      <c r="AI336" s="350">
        <v>49014.937996710119</v>
      </c>
      <c r="AJ336" s="350">
        <v>46610.712651856826</v>
      </c>
      <c r="AK336" s="348">
        <v>8884399.071749486</v>
      </c>
      <c r="AL336" s="369"/>
      <c r="AM336" s="350">
        <v>11084636.981718129</v>
      </c>
      <c r="AN336" s="350">
        <v>2484160.4526901231</v>
      </c>
      <c r="AO336" s="350">
        <v>2509646.6060346845</v>
      </c>
      <c r="AP336" s="350">
        <v>2533111.0783560025</v>
      </c>
      <c r="AQ336" s="350">
        <v>2554486.2597047053</v>
      </c>
      <c r="AR336" s="348">
        <v>21166041.378503643</v>
      </c>
      <c r="AS336" s="369"/>
      <c r="AT336" s="350">
        <f t="shared" si="147"/>
        <v>2400860.8991325255</v>
      </c>
      <c r="AU336" s="350">
        <f t="shared" ref="AU336:AU399" si="154">AN336-AG336</f>
        <v>2430521.0040568854</v>
      </c>
      <c r="AV336" s="350">
        <f t="shared" ref="AV336:AV399" si="155">AO336-AH336</f>
        <v>2458288.7161526056</v>
      </c>
      <c r="AW336" s="350">
        <f t="shared" ref="AW336:AW399" si="156">AP336-AI336</f>
        <v>2484096.1403592923</v>
      </c>
      <c r="AX336" s="350">
        <f t="shared" ref="AX336:AX399" si="157">AQ336-AJ336</f>
        <v>2507875.5470528486</v>
      </c>
      <c r="AY336" s="350">
        <f t="shared" ref="AY336:AY399" si="158">AR336-AK336</f>
        <v>12281642.306754157</v>
      </c>
      <c r="AZ336" s="365"/>
      <c r="BA336" s="377">
        <f t="shared" ref="BA336:BA399" si="159">IF(AT336&lt;AT$8,1,0)</f>
        <v>0</v>
      </c>
      <c r="BB336" s="377">
        <f t="shared" ref="BB336:BB399" si="160">IF(AU336&lt;AU$8,1,0)</f>
        <v>0</v>
      </c>
      <c r="BC336" s="377">
        <f t="shared" ref="BC336:BC399" si="161">IF(AV336&lt;AV$8,1,0)</f>
        <v>0</v>
      </c>
      <c r="BD336" s="377">
        <f t="shared" ref="BD336:BD399" si="162">IF(AW336&lt;AW$8,1,0)</f>
        <v>0</v>
      </c>
      <c r="BE336" s="377">
        <f t="shared" ref="BE336:BE399" si="163">IF(AX336&lt;AX$8,1,0)</f>
        <v>0</v>
      </c>
      <c r="BF336" s="377">
        <f t="shared" ref="BF336:BF399" si="164">IF(AY336&lt;AY$8,1,0)</f>
        <v>0</v>
      </c>
      <c r="BG336" s="328"/>
    </row>
    <row r="337" spans="2:59">
      <c r="B337" s="332">
        <v>322</v>
      </c>
      <c r="C337" s="350">
        <v>5855277.6909713708</v>
      </c>
      <c r="D337" s="350">
        <v>36167.891013224915</v>
      </c>
      <c r="E337" s="350">
        <v>34629.486530053749</v>
      </c>
      <c r="F337" s="350">
        <v>33049.686017588108</v>
      </c>
      <c r="G337" s="350">
        <v>31428.570169835519</v>
      </c>
      <c r="H337" s="348">
        <v>5990553.324702072</v>
      </c>
      <c r="I337" s="369"/>
      <c r="J337" s="350">
        <v>7906224.946773883</v>
      </c>
      <c r="K337" s="350">
        <v>2112452.4376281323</v>
      </c>
      <c r="L337" s="350">
        <v>2134634.7380567743</v>
      </c>
      <c r="M337" s="350">
        <v>2155101.0568655739</v>
      </c>
      <c r="N337" s="350">
        <v>2173793.6163833458</v>
      </c>
      <c r="O337" s="348">
        <v>16482206.795707708</v>
      </c>
      <c r="P337" s="369"/>
      <c r="Q337" s="350">
        <f t="shared" ref="Q337:Q400" si="165">J337-C337</f>
        <v>2050947.2558025122</v>
      </c>
      <c r="R337" s="350">
        <f t="shared" ref="R337:R400" si="166">K337-D337</f>
        <v>2076284.5466149074</v>
      </c>
      <c r="S337" s="350">
        <f t="shared" ref="S337:S400" si="167">L337-E337</f>
        <v>2100005.2515267204</v>
      </c>
      <c r="T337" s="350">
        <f t="shared" ref="T337:T400" si="168">M337-F337</f>
        <v>2122051.3708479856</v>
      </c>
      <c r="U337" s="350">
        <f t="shared" ref="U337:U400" si="169">N337-G337</f>
        <v>2142365.0462135104</v>
      </c>
      <c r="V337" s="350">
        <f t="shared" ref="V337:V400" si="170">O337-H337</f>
        <v>10491653.471005637</v>
      </c>
      <c r="W337" s="365"/>
      <c r="X337" s="377">
        <f t="shared" si="148"/>
        <v>0</v>
      </c>
      <c r="Y337" s="377">
        <f t="shared" si="149"/>
        <v>0</v>
      </c>
      <c r="Z337" s="377">
        <f t="shared" si="150"/>
        <v>0</v>
      </c>
      <c r="AA337" s="377">
        <f t="shared" si="151"/>
        <v>0</v>
      </c>
      <c r="AB337" s="377">
        <f t="shared" si="152"/>
        <v>0</v>
      </c>
      <c r="AC337" s="377">
        <f t="shared" si="153"/>
        <v>0</v>
      </c>
      <c r="AD337" s="376"/>
      <c r="AE337" s="332">
        <v>322</v>
      </c>
      <c r="AF337" s="350">
        <v>6075290.2309110509</v>
      </c>
      <c r="AG337" s="350">
        <v>37526.90248732594</v>
      </c>
      <c r="AH337" s="350">
        <v>35930.692329402656</v>
      </c>
      <c r="AI337" s="350">
        <v>34291.530682982695</v>
      </c>
      <c r="AJ337" s="350">
        <v>32609.501274162227</v>
      </c>
      <c r="AK337" s="348">
        <v>6215648.8576849243</v>
      </c>
      <c r="AL337" s="369"/>
      <c r="AM337" s="350">
        <v>8930963.1883482151</v>
      </c>
      <c r="AN337" s="350">
        <v>2928478.6882722084</v>
      </c>
      <c r="AO337" s="350">
        <v>2959910.4242773913</v>
      </c>
      <c r="AP337" s="350">
        <v>2988967.5697076404</v>
      </c>
      <c r="AQ337" s="350">
        <v>3015569.6481633051</v>
      </c>
      <c r="AR337" s="348">
        <v>20823889.518768758</v>
      </c>
      <c r="AS337" s="369"/>
      <c r="AT337" s="350">
        <f t="shared" ref="AT337:AT400" si="171">AM337-AF337</f>
        <v>2855672.9574371642</v>
      </c>
      <c r="AU337" s="350">
        <f t="shared" si="154"/>
        <v>2890951.7857848825</v>
      </c>
      <c r="AV337" s="350">
        <f t="shared" si="155"/>
        <v>2923979.7319479887</v>
      </c>
      <c r="AW337" s="350">
        <f t="shared" si="156"/>
        <v>2954676.0390246576</v>
      </c>
      <c r="AX337" s="350">
        <f t="shared" si="157"/>
        <v>2982960.1468891427</v>
      </c>
      <c r="AY337" s="350">
        <f t="shared" si="158"/>
        <v>14608240.661083832</v>
      </c>
      <c r="AZ337" s="365"/>
      <c r="BA337" s="377">
        <f t="shared" si="159"/>
        <v>0</v>
      </c>
      <c r="BB337" s="377">
        <f t="shared" si="160"/>
        <v>0</v>
      </c>
      <c r="BC337" s="377">
        <f t="shared" si="161"/>
        <v>0</v>
      </c>
      <c r="BD337" s="377">
        <f t="shared" si="162"/>
        <v>0</v>
      </c>
      <c r="BE337" s="377">
        <f t="shared" si="163"/>
        <v>0</v>
      </c>
      <c r="BF337" s="377">
        <f t="shared" si="164"/>
        <v>0</v>
      </c>
      <c r="BG337" s="328"/>
    </row>
    <row r="338" spans="2:59">
      <c r="B338" s="332">
        <v>323</v>
      </c>
      <c r="C338" s="350">
        <v>6525421.587441667</v>
      </c>
      <c r="D338" s="350">
        <v>40307.35163147821</v>
      </c>
      <c r="E338" s="350">
        <v>38592.87482021247</v>
      </c>
      <c r="F338" s="350">
        <v>36832.264152026401</v>
      </c>
      <c r="G338" s="350">
        <v>35025.609556471769</v>
      </c>
      <c r="H338" s="348">
        <v>6676179.6876018569</v>
      </c>
      <c r="I338" s="369"/>
      <c r="J338" s="350">
        <v>8193367.2477873648</v>
      </c>
      <c r="K338" s="350">
        <v>1728858.7219172465</v>
      </c>
      <c r="L338" s="350">
        <v>1746435.2564696651</v>
      </c>
      <c r="M338" s="350">
        <v>1762603.7899787987</v>
      </c>
      <c r="N338" s="350">
        <v>1777317.3586974947</v>
      </c>
      <c r="O338" s="348">
        <v>15208582.374850569</v>
      </c>
      <c r="P338" s="369"/>
      <c r="Q338" s="350">
        <f t="shared" si="165"/>
        <v>1667945.6603456978</v>
      </c>
      <c r="R338" s="350">
        <f t="shared" si="166"/>
        <v>1688551.3702857683</v>
      </c>
      <c r="S338" s="350">
        <f t="shared" si="167"/>
        <v>1707842.3816494527</v>
      </c>
      <c r="T338" s="350">
        <f t="shared" si="168"/>
        <v>1725771.5258267722</v>
      </c>
      <c r="U338" s="350">
        <f t="shared" si="169"/>
        <v>1742291.749141023</v>
      </c>
      <c r="V338" s="350">
        <f t="shared" si="170"/>
        <v>8532402.6872487124</v>
      </c>
      <c r="W338" s="365"/>
      <c r="X338" s="377">
        <f t="shared" si="148"/>
        <v>0</v>
      </c>
      <c r="Y338" s="377">
        <f t="shared" si="149"/>
        <v>0</v>
      </c>
      <c r="Z338" s="377">
        <f t="shared" si="150"/>
        <v>0</v>
      </c>
      <c r="AA338" s="377">
        <f t="shared" si="151"/>
        <v>0</v>
      </c>
      <c r="AB338" s="377">
        <f t="shared" si="152"/>
        <v>0</v>
      </c>
      <c r="AC338" s="377">
        <f t="shared" si="153"/>
        <v>0</v>
      </c>
      <c r="AD338" s="376"/>
      <c r="AE338" s="332">
        <v>323</v>
      </c>
      <c r="AF338" s="350">
        <v>6357589.9010443045</v>
      </c>
      <c r="AG338" s="350">
        <v>39270.659870207513</v>
      </c>
      <c r="AH338" s="350">
        <v>37600.278835845027</v>
      </c>
      <c r="AI338" s="350">
        <v>35884.950492114134</v>
      </c>
      <c r="AJ338" s="350">
        <v>34124.762455607706</v>
      </c>
      <c r="AK338" s="348">
        <v>6504470.5526980786</v>
      </c>
      <c r="AL338" s="369"/>
      <c r="AM338" s="350">
        <v>8248933.6383790774</v>
      </c>
      <c r="AN338" s="350">
        <v>1953979.9548337671</v>
      </c>
      <c r="AO338" s="350">
        <v>1974184.347298916</v>
      </c>
      <c r="AP338" s="350">
        <v>1992799.5221374747</v>
      </c>
      <c r="AQ338" s="350">
        <v>2009772.2111050696</v>
      </c>
      <c r="AR338" s="348">
        <v>16179669.673754305</v>
      </c>
      <c r="AS338" s="369"/>
      <c r="AT338" s="350">
        <f t="shared" si="171"/>
        <v>1891343.7373347729</v>
      </c>
      <c r="AU338" s="350">
        <f t="shared" si="154"/>
        <v>1914709.2949635596</v>
      </c>
      <c r="AV338" s="350">
        <f t="shared" si="155"/>
        <v>1936584.068463071</v>
      </c>
      <c r="AW338" s="350">
        <f t="shared" si="156"/>
        <v>1956914.5716453607</v>
      </c>
      <c r="AX338" s="350">
        <f t="shared" si="157"/>
        <v>1975647.4486494618</v>
      </c>
      <c r="AY338" s="350">
        <f t="shared" si="158"/>
        <v>9675199.1210562252</v>
      </c>
      <c r="AZ338" s="365"/>
      <c r="BA338" s="377">
        <f t="shared" si="159"/>
        <v>0</v>
      </c>
      <c r="BB338" s="377">
        <f t="shared" si="160"/>
        <v>0</v>
      </c>
      <c r="BC338" s="377">
        <f t="shared" si="161"/>
        <v>0</v>
      </c>
      <c r="BD338" s="377">
        <f t="shared" si="162"/>
        <v>0</v>
      </c>
      <c r="BE338" s="377">
        <f t="shared" si="163"/>
        <v>0</v>
      </c>
      <c r="BF338" s="377">
        <f t="shared" si="164"/>
        <v>0</v>
      </c>
      <c r="BG338" s="328"/>
    </row>
    <row r="339" spans="2:59">
      <c r="B339" s="332">
        <v>324</v>
      </c>
      <c r="C339" s="350">
        <v>5019230.2023253459</v>
      </c>
      <c r="D339" s="350">
        <v>31003.64841925614</v>
      </c>
      <c r="E339" s="350">
        <v>29684.905457291075</v>
      </c>
      <c r="F339" s="350">
        <v>28330.677209830854</v>
      </c>
      <c r="G339" s="350">
        <v>26941.032848978946</v>
      </c>
      <c r="H339" s="348">
        <v>5135190.4662607033</v>
      </c>
      <c r="I339" s="369"/>
      <c r="J339" s="350">
        <v>6736723.1053173486</v>
      </c>
      <c r="K339" s="350">
        <v>1769714.3652912681</v>
      </c>
      <c r="L339" s="350">
        <v>1788259.6837890726</v>
      </c>
      <c r="M339" s="350">
        <v>1805367.194801684</v>
      </c>
      <c r="N339" s="350">
        <v>1820988.5160691636</v>
      </c>
      <c r="O339" s="348">
        <v>13921052.865268536</v>
      </c>
      <c r="P339" s="369"/>
      <c r="Q339" s="350">
        <f t="shared" si="165"/>
        <v>1717492.9029920027</v>
      </c>
      <c r="R339" s="350">
        <f t="shared" si="166"/>
        <v>1738710.716872012</v>
      </c>
      <c r="S339" s="350">
        <f t="shared" si="167"/>
        <v>1758574.7783317815</v>
      </c>
      <c r="T339" s="350">
        <f t="shared" si="168"/>
        <v>1777036.5175918532</v>
      </c>
      <c r="U339" s="350">
        <f t="shared" si="169"/>
        <v>1794047.4832201847</v>
      </c>
      <c r="V339" s="350">
        <f t="shared" si="170"/>
        <v>8785862.3990078326</v>
      </c>
      <c r="W339" s="365"/>
      <c r="X339" s="377">
        <f t="shared" si="148"/>
        <v>0</v>
      </c>
      <c r="Y339" s="377">
        <f t="shared" si="149"/>
        <v>0</v>
      </c>
      <c r="Z339" s="377">
        <f t="shared" si="150"/>
        <v>0</v>
      </c>
      <c r="AA339" s="377">
        <f t="shared" si="151"/>
        <v>0</v>
      </c>
      <c r="AB339" s="377">
        <f t="shared" si="152"/>
        <v>0</v>
      </c>
      <c r="AC339" s="377">
        <f t="shared" si="153"/>
        <v>0</v>
      </c>
      <c r="AD339" s="376"/>
      <c r="AE339" s="332">
        <v>324</v>
      </c>
      <c r="AF339" s="350">
        <v>4413749.8767884867</v>
      </c>
      <c r="AG339" s="350">
        <v>27263.612919583866</v>
      </c>
      <c r="AH339" s="350">
        <v>26103.952702526523</v>
      </c>
      <c r="AI339" s="350">
        <v>24913.087864808145</v>
      </c>
      <c r="AJ339" s="350">
        <v>23691.079234151104</v>
      </c>
      <c r="AK339" s="348">
        <v>4515721.6095095566</v>
      </c>
      <c r="AL339" s="369"/>
      <c r="AM339" s="350">
        <v>6213590.1892774589</v>
      </c>
      <c r="AN339" s="350">
        <v>1849339.0547052184</v>
      </c>
      <c r="AO339" s="350">
        <v>1868995.8639610596</v>
      </c>
      <c r="AP339" s="350">
        <v>1887151.9102523769</v>
      </c>
      <c r="AQ339" s="350">
        <v>1903756.4799085357</v>
      </c>
      <c r="AR339" s="348">
        <v>13722833.498104649</v>
      </c>
      <c r="AS339" s="369"/>
      <c r="AT339" s="350">
        <f t="shared" si="171"/>
        <v>1799840.3124889722</v>
      </c>
      <c r="AU339" s="350">
        <f t="shared" si="154"/>
        <v>1822075.4417856345</v>
      </c>
      <c r="AV339" s="350">
        <f t="shared" si="155"/>
        <v>1842891.9112585331</v>
      </c>
      <c r="AW339" s="350">
        <f t="shared" si="156"/>
        <v>1862238.8223875689</v>
      </c>
      <c r="AX339" s="350">
        <f t="shared" si="157"/>
        <v>1880065.4006743846</v>
      </c>
      <c r="AY339" s="350">
        <f t="shared" si="158"/>
        <v>9207111.888595093</v>
      </c>
      <c r="AZ339" s="365"/>
      <c r="BA339" s="377">
        <f t="shared" si="159"/>
        <v>0</v>
      </c>
      <c r="BB339" s="377">
        <f t="shared" si="160"/>
        <v>0</v>
      </c>
      <c r="BC339" s="377">
        <f t="shared" si="161"/>
        <v>0</v>
      </c>
      <c r="BD339" s="377">
        <f t="shared" si="162"/>
        <v>0</v>
      </c>
      <c r="BE339" s="377">
        <f t="shared" si="163"/>
        <v>0</v>
      </c>
      <c r="BF339" s="377">
        <f t="shared" si="164"/>
        <v>0</v>
      </c>
      <c r="BG339" s="328"/>
    </row>
    <row r="340" spans="2:59">
      <c r="B340" s="332">
        <v>325</v>
      </c>
      <c r="C340" s="350">
        <v>6778292.026637408</v>
      </c>
      <c r="D340" s="350">
        <v>41869.325455434686</v>
      </c>
      <c r="E340" s="350">
        <v>40088.4099476884</v>
      </c>
      <c r="F340" s="350">
        <v>38259.572822876376</v>
      </c>
      <c r="G340" s="350">
        <v>36382.907495455242</v>
      </c>
      <c r="H340" s="348">
        <v>6934892.2423588624</v>
      </c>
      <c r="I340" s="369"/>
      <c r="J340" s="350">
        <v>8841962.4584088381</v>
      </c>
      <c r="K340" s="350">
        <v>2131034.2294629505</v>
      </c>
      <c r="L340" s="350">
        <v>2153121.1717018094</v>
      </c>
      <c r="M340" s="350">
        <v>2173475.2183395531</v>
      </c>
      <c r="N340" s="350">
        <v>2192038.2454975597</v>
      </c>
      <c r="O340" s="348">
        <v>17491631.323410708</v>
      </c>
      <c r="P340" s="369"/>
      <c r="Q340" s="350">
        <f t="shared" si="165"/>
        <v>2063670.4317714302</v>
      </c>
      <c r="R340" s="350">
        <f t="shared" si="166"/>
        <v>2089164.9040075159</v>
      </c>
      <c r="S340" s="350">
        <f t="shared" si="167"/>
        <v>2113032.7617541212</v>
      </c>
      <c r="T340" s="350">
        <f t="shared" si="168"/>
        <v>2135215.6455166768</v>
      </c>
      <c r="U340" s="350">
        <f t="shared" si="169"/>
        <v>2155655.3380021043</v>
      </c>
      <c r="V340" s="350">
        <f t="shared" si="170"/>
        <v>10556739.081051845</v>
      </c>
      <c r="W340" s="365"/>
      <c r="X340" s="377">
        <f t="shared" si="148"/>
        <v>0</v>
      </c>
      <c r="Y340" s="377">
        <f t="shared" si="149"/>
        <v>0</v>
      </c>
      <c r="Z340" s="377">
        <f t="shared" si="150"/>
        <v>0</v>
      </c>
      <c r="AA340" s="377">
        <f t="shared" si="151"/>
        <v>0</v>
      </c>
      <c r="AB340" s="377">
        <f t="shared" si="152"/>
        <v>0</v>
      </c>
      <c r="AC340" s="377">
        <f t="shared" si="153"/>
        <v>0</v>
      </c>
      <c r="AD340" s="376"/>
      <c r="AE340" s="332">
        <v>325</v>
      </c>
      <c r="AF340" s="350">
        <v>7714999.1609946797</v>
      </c>
      <c r="AG340" s="350">
        <v>47655.33994267034</v>
      </c>
      <c r="AH340" s="350">
        <v>45628.31579055819</v>
      </c>
      <c r="AI340" s="350">
        <v>43546.747627355035</v>
      </c>
      <c r="AJ340" s="350">
        <v>41410.741776677969</v>
      </c>
      <c r="AK340" s="348">
        <v>7893240.3061319413</v>
      </c>
      <c r="AL340" s="369"/>
      <c r="AM340" s="350">
        <v>10146010.378596466</v>
      </c>
      <c r="AN340" s="350">
        <v>2508699.1378627969</v>
      </c>
      <c r="AO340" s="350">
        <v>2534788.5362890316</v>
      </c>
      <c r="AP340" s="350">
        <v>2558838.4852689188</v>
      </c>
      <c r="AQ340" s="350">
        <v>2580780.5109447017</v>
      </c>
      <c r="AR340" s="348">
        <v>20329117.048961915</v>
      </c>
      <c r="AS340" s="369"/>
      <c r="AT340" s="350">
        <f t="shared" si="171"/>
        <v>2431011.2176017864</v>
      </c>
      <c r="AU340" s="350">
        <f t="shared" si="154"/>
        <v>2461043.7979201265</v>
      </c>
      <c r="AV340" s="350">
        <f t="shared" si="155"/>
        <v>2489160.2204984734</v>
      </c>
      <c r="AW340" s="350">
        <f t="shared" si="156"/>
        <v>2515291.7376415636</v>
      </c>
      <c r="AX340" s="350">
        <f t="shared" si="157"/>
        <v>2539369.769168024</v>
      </c>
      <c r="AY340" s="350">
        <f t="shared" si="158"/>
        <v>12435876.742829975</v>
      </c>
      <c r="AZ340" s="365"/>
      <c r="BA340" s="377">
        <f t="shared" si="159"/>
        <v>0</v>
      </c>
      <c r="BB340" s="377">
        <f t="shared" si="160"/>
        <v>0</v>
      </c>
      <c r="BC340" s="377">
        <f t="shared" si="161"/>
        <v>0</v>
      </c>
      <c r="BD340" s="377">
        <f t="shared" si="162"/>
        <v>0</v>
      </c>
      <c r="BE340" s="377">
        <f t="shared" si="163"/>
        <v>0</v>
      </c>
      <c r="BF340" s="377">
        <f t="shared" si="164"/>
        <v>0</v>
      </c>
      <c r="BG340" s="328"/>
    </row>
    <row r="341" spans="2:59">
      <c r="B341" s="332">
        <v>326</v>
      </c>
      <c r="C341" s="350">
        <v>4737761.9001877662</v>
      </c>
      <c r="D341" s="350">
        <v>29265.026373869288</v>
      </c>
      <c r="E341" s="350">
        <v>28020.235856300733</v>
      </c>
      <c r="F341" s="350">
        <v>26741.949996451105</v>
      </c>
      <c r="G341" s="350">
        <v>25430.234087382287</v>
      </c>
      <c r="H341" s="348">
        <v>4847219.3465017704</v>
      </c>
      <c r="I341" s="369"/>
      <c r="J341" s="350">
        <v>6602121.3732845234</v>
      </c>
      <c r="K341" s="350">
        <v>1916656.6949671486</v>
      </c>
      <c r="L341" s="350">
        <v>1936974.5851990487</v>
      </c>
      <c r="M341" s="350">
        <v>1955736.7422542165</v>
      </c>
      <c r="N341" s="350">
        <v>1972890.6368058678</v>
      </c>
      <c r="O341" s="348">
        <v>14384380.032510804</v>
      </c>
      <c r="P341" s="369"/>
      <c r="Q341" s="350">
        <f t="shared" si="165"/>
        <v>1864359.4730967572</v>
      </c>
      <c r="R341" s="350">
        <f t="shared" si="166"/>
        <v>1887391.6685932793</v>
      </c>
      <c r="S341" s="350">
        <f t="shared" si="167"/>
        <v>1908954.3493427481</v>
      </c>
      <c r="T341" s="350">
        <f t="shared" si="168"/>
        <v>1928994.7922577653</v>
      </c>
      <c r="U341" s="350">
        <f t="shared" si="169"/>
        <v>1947460.4027184856</v>
      </c>
      <c r="V341" s="350">
        <f t="shared" si="170"/>
        <v>9537160.6860090345</v>
      </c>
      <c r="W341" s="365"/>
      <c r="X341" s="377">
        <f t="shared" si="148"/>
        <v>0</v>
      </c>
      <c r="Y341" s="377">
        <f t="shared" si="149"/>
        <v>0</v>
      </c>
      <c r="Z341" s="377">
        <f t="shared" si="150"/>
        <v>0</v>
      </c>
      <c r="AA341" s="377">
        <f t="shared" si="151"/>
        <v>0</v>
      </c>
      <c r="AB341" s="377">
        <f t="shared" si="152"/>
        <v>0</v>
      </c>
      <c r="AC341" s="377">
        <f t="shared" si="153"/>
        <v>0</v>
      </c>
      <c r="AD341" s="376"/>
      <c r="AE341" s="332">
        <v>326</v>
      </c>
      <c r="AF341" s="350">
        <v>5931976.0350373266</v>
      </c>
      <c r="AG341" s="350">
        <v>36641.654598058813</v>
      </c>
      <c r="AH341" s="350">
        <v>35083.098538381048</v>
      </c>
      <c r="AI341" s="350">
        <v>33482.604202382594</v>
      </c>
      <c r="AJ341" s="350">
        <v>31840.253341090011</v>
      </c>
      <c r="AK341" s="348">
        <v>6069023.645717239</v>
      </c>
      <c r="AL341" s="369"/>
      <c r="AM341" s="350">
        <v>7802382.4680561414</v>
      </c>
      <c r="AN341" s="350">
        <v>1930154.9869272751</v>
      </c>
      <c r="AO341" s="350">
        <v>1950229.0491308272</v>
      </c>
      <c r="AP341" s="350">
        <v>1968733.997918701</v>
      </c>
      <c r="AQ341" s="350">
        <v>1985617.1498339595</v>
      </c>
      <c r="AR341" s="348">
        <v>15637117.651866905</v>
      </c>
      <c r="AS341" s="369"/>
      <c r="AT341" s="350">
        <f t="shared" si="171"/>
        <v>1870406.4330188148</v>
      </c>
      <c r="AU341" s="350">
        <f t="shared" si="154"/>
        <v>1893513.3323292162</v>
      </c>
      <c r="AV341" s="350">
        <f t="shared" si="155"/>
        <v>1915145.9505924461</v>
      </c>
      <c r="AW341" s="350">
        <f t="shared" si="156"/>
        <v>1935251.3937163185</v>
      </c>
      <c r="AX341" s="350">
        <f t="shared" si="157"/>
        <v>1953776.8964928696</v>
      </c>
      <c r="AY341" s="350">
        <f t="shared" si="158"/>
        <v>9568094.0061496664</v>
      </c>
      <c r="AZ341" s="365"/>
      <c r="BA341" s="377">
        <f t="shared" si="159"/>
        <v>0</v>
      </c>
      <c r="BB341" s="377">
        <f t="shared" si="160"/>
        <v>0</v>
      </c>
      <c r="BC341" s="377">
        <f t="shared" si="161"/>
        <v>0</v>
      </c>
      <c r="BD341" s="377">
        <f t="shared" si="162"/>
        <v>0</v>
      </c>
      <c r="BE341" s="377">
        <f t="shared" si="163"/>
        <v>0</v>
      </c>
      <c r="BF341" s="377">
        <f t="shared" si="164"/>
        <v>0</v>
      </c>
      <c r="BG341" s="328"/>
    </row>
    <row r="342" spans="2:59">
      <c r="B342" s="332">
        <v>327</v>
      </c>
      <c r="C342" s="350">
        <v>6164889.4023223752</v>
      </c>
      <c r="D342" s="350">
        <v>38080.354131725093</v>
      </c>
      <c r="E342" s="350">
        <v>36460.602858544677</v>
      </c>
      <c r="F342" s="350">
        <v>34797.266642719442</v>
      </c>
      <c r="G342" s="350">
        <v>33090.430445157348</v>
      </c>
      <c r="H342" s="348">
        <v>6307318.0564005207</v>
      </c>
      <c r="I342" s="369"/>
      <c r="J342" s="350">
        <v>7615784.5545819961</v>
      </c>
      <c r="K342" s="350">
        <v>1506899.7861635797</v>
      </c>
      <c r="L342" s="350">
        <v>1522060.6983947209</v>
      </c>
      <c r="M342" s="350">
        <v>1535993.3788774514</v>
      </c>
      <c r="N342" s="350">
        <v>1548656.9820117815</v>
      </c>
      <c r="O342" s="348">
        <v>13729395.400029531</v>
      </c>
      <c r="P342" s="369"/>
      <c r="Q342" s="350">
        <f t="shared" si="165"/>
        <v>1450895.1522596208</v>
      </c>
      <c r="R342" s="350">
        <f t="shared" si="166"/>
        <v>1468819.4320318545</v>
      </c>
      <c r="S342" s="350">
        <f t="shared" si="167"/>
        <v>1485600.0955361761</v>
      </c>
      <c r="T342" s="350">
        <f t="shared" si="168"/>
        <v>1501196.1122347319</v>
      </c>
      <c r="U342" s="350">
        <f t="shared" si="169"/>
        <v>1515566.5515666241</v>
      </c>
      <c r="V342" s="350">
        <f t="shared" si="170"/>
        <v>7422077.34362901</v>
      </c>
      <c r="W342" s="365"/>
      <c r="X342" s="377">
        <f t="shared" si="148"/>
        <v>0</v>
      </c>
      <c r="Y342" s="377">
        <f t="shared" si="149"/>
        <v>0</v>
      </c>
      <c r="Z342" s="377">
        <f t="shared" si="150"/>
        <v>0</v>
      </c>
      <c r="AA342" s="377">
        <f t="shared" si="151"/>
        <v>0</v>
      </c>
      <c r="AB342" s="377">
        <f t="shared" si="152"/>
        <v>0</v>
      </c>
      <c r="AC342" s="377">
        <f t="shared" si="153"/>
        <v>0</v>
      </c>
      <c r="AD342" s="376"/>
      <c r="AE342" s="332">
        <v>327</v>
      </c>
      <c r="AF342" s="350">
        <v>4527830.6447688984</v>
      </c>
      <c r="AG342" s="350">
        <v>27968.286720005592</v>
      </c>
      <c r="AH342" s="350">
        <v>26778.653139742102</v>
      </c>
      <c r="AI342" s="350">
        <v>25557.008403061816</v>
      </c>
      <c r="AJ342" s="350">
        <v>24303.414909882824</v>
      </c>
      <c r="AK342" s="348">
        <v>4632438.0079415906</v>
      </c>
      <c r="AL342" s="369"/>
      <c r="AM342" s="350">
        <v>6120919.4839282874</v>
      </c>
      <c r="AN342" s="350">
        <v>1640738.0587232611</v>
      </c>
      <c r="AO342" s="350">
        <v>1657973.662625381</v>
      </c>
      <c r="AP342" s="350">
        <v>1673876.5083104393</v>
      </c>
      <c r="AQ342" s="350">
        <v>1688401.7162542897</v>
      </c>
      <c r="AR342" s="348">
        <v>12781909.42984166</v>
      </c>
      <c r="AS342" s="369"/>
      <c r="AT342" s="350">
        <f t="shared" si="171"/>
        <v>1593088.839159389</v>
      </c>
      <c r="AU342" s="350">
        <f t="shared" si="154"/>
        <v>1612769.7720032556</v>
      </c>
      <c r="AV342" s="350">
        <f t="shared" si="155"/>
        <v>1631195.0094856389</v>
      </c>
      <c r="AW342" s="350">
        <f t="shared" si="156"/>
        <v>1648319.4999073774</v>
      </c>
      <c r="AX342" s="350">
        <f t="shared" si="157"/>
        <v>1664098.3013444068</v>
      </c>
      <c r="AY342" s="350">
        <f t="shared" si="158"/>
        <v>8149471.4219000693</v>
      </c>
      <c r="AZ342" s="365"/>
      <c r="BA342" s="377">
        <f t="shared" si="159"/>
        <v>0</v>
      </c>
      <c r="BB342" s="377">
        <f t="shared" si="160"/>
        <v>0</v>
      </c>
      <c r="BC342" s="377">
        <f t="shared" si="161"/>
        <v>0</v>
      </c>
      <c r="BD342" s="377">
        <f t="shared" si="162"/>
        <v>0</v>
      </c>
      <c r="BE342" s="377">
        <f t="shared" si="163"/>
        <v>0</v>
      </c>
      <c r="BF342" s="377">
        <f t="shared" si="164"/>
        <v>0</v>
      </c>
      <c r="BG342" s="328"/>
    </row>
    <row r="343" spans="2:59">
      <c r="B343" s="332">
        <v>328</v>
      </c>
      <c r="C343" s="350">
        <v>5430677.1946898634</v>
      </c>
      <c r="D343" s="350">
        <v>33545.145298303403</v>
      </c>
      <c r="E343" s="350">
        <v>32118.299538990665</v>
      </c>
      <c r="F343" s="350">
        <v>30653.059619038337</v>
      </c>
      <c r="G343" s="350">
        <v>29149.500380865054</v>
      </c>
      <c r="H343" s="348">
        <v>5556143.1995270606</v>
      </c>
      <c r="I343" s="369"/>
      <c r="J343" s="350">
        <v>7573183.7783257794</v>
      </c>
      <c r="K343" s="350">
        <v>2202520.1387012042</v>
      </c>
      <c r="L343" s="350">
        <v>2225872.9484392544</v>
      </c>
      <c r="M343" s="350">
        <v>2247438.0208083168</v>
      </c>
      <c r="N343" s="350">
        <v>2267154.9893459543</v>
      </c>
      <c r="O343" s="348">
        <v>16516169.875620509</v>
      </c>
      <c r="P343" s="369"/>
      <c r="Q343" s="350">
        <f t="shared" si="165"/>
        <v>2142506.583635916</v>
      </c>
      <c r="R343" s="350">
        <f t="shared" si="166"/>
        <v>2168974.9934029006</v>
      </c>
      <c r="S343" s="350">
        <f t="shared" si="167"/>
        <v>2193754.6489002639</v>
      </c>
      <c r="T343" s="350">
        <f t="shared" si="168"/>
        <v>2216784.9611892784</v>
      </c>
      <c r="U343" s="350">
        <f t="shared" si="169"/>
        <v>2238005.4889650894</v>
      </c>
      <c r="V343" s="350">
        <f t="shared" si="170"/>
        <v>10960026.676093448</v>
      </c>
      <c r="W343" s="365"/>
      <c r="X343" s="377">
        <f t="shared" si="148"/>
        <v>0</v>
      </c>
      <c r="Y343" s="377">
        <f t="shared" si="149"/>
        <v>0</v>
      </c>
      <c r="Z343" s="377">
        <f t="shared" si="150"/>
        <v>0</v>
      </c>
      <c r="AA343" s="377">
        <f t="shared" si="151"/>
        <v>0</v>
      </c>
      <c r="AB343" s="377">
        <f t="shared" si="152"/>
        <v>0</v>
      </c>
      <c r="AC343" s="377">
        <f t="shared" si="153"/>
        <v>0</v>
      </c>
      <c r="AD343" s="376"/>
      <c r="AE343" s="332">
        <v>328</v>
      </c>
      <c r="AF343" s="350">
        <v>6122964.1560956622</v>
      </c>
      <c r="AG343" s="350">
        <v>37821.383026296207</v>
      </c>
      <c r="AH343" s="350">
        <v>36212.64711227487</v>
      </c>
      <c r="AI343" s="350">
        <v>34560.622661489717</v>
      </c>
      <c r="AJ343" s="350">
        <v>32865.394057052297</v>
      </c>
      <c r="AK343" s="348">
        <v>6264424.2029527752</v>
      </c>
      <c r="AL343" s="369"/>
      <c r="AM343" s="350">
        <v>8956721.9521103688</v>
      </c>
      <c r="AN343" s="350">
        <v>2906587.2686768449</v>
      </c>
      <c r="AO343" s="350">
        <v>2937753.0140570849</v>
      </c>
      <c r="AP343" s="350">
        <v>2966561.7254061862</v>
      </c>
      <c r="AQ343" s="350">
        <v>2992933.5452204244</v>
      </c>
      <c r="AR343" s="348">
        <v>20760557.505470909</v>
      </c>
      <c r="AS343" s="369"/>
      <c r="AT343" s="350">
        <f t="shared" si="171"/>
        <v>2833757.7960147066</v>
      </c>
      <c r="AU343" s="350">
        <f t="shared" si="154"/>
        <v>2868765.8856505486</v>
      </c>
      <c r="AV343" s="350">
        <f t="shared" si="155"/>
        <v>2901540.3669448099</v>
      </c>
      <c r="AW343" s="350">
        <f t="shared" si="156"/>
        <v>2932001.1027446967</v>
      </c>
      <c r="AX343" s="350">
        <f t="shared" si="157"/>
        <v>2960068.1511633722</v>
      </c>
      <c r="AY343" s="350">
        <f t="shared" si="158"/>
        <v>14496133.302518133</v>
      </c>
      <c r="AZ343" s="365"/>
      <c r="BA343" s="377">
        <f t="shared" si="159"/>
        <v>0</v>
      </c>
      <c r="BB343" s="377">
        <f t="shared" si="160"/>
        <v>0</v>
      </c>
      <c r="BC343" s="377">
        <f t="shared" si="161"/>
        <v>0</v>
      </c>
      <c r="BD343" s="377">
        <f t="shared" si="162"/>
        <v>0</v>
      </c>
      <c r="BE343" s="377">
        <f t="shared" si="163"/>
        <v>0</v>
      </c>
      <c r="BF343" s="377">
        <f t="shared" si="164"/>
        <v>0</v>
      </c>
      <c r="BG343" s="328"/>
    </row>
    <row r="344" spans="2:59">
      <c r="B344" s="332">
        <v>329</v>
      </c>
      <c r="C344" s="350">
        <v>5425034.048701317</v>
      </c>
      <c r="D344" s="350">
        <v>33510.287739045256</v>
      </c>
      <c r="E344" s="350">
        <v>32084.924649135672</v>
      </c>
      <c r="F344" s="350">
        <v>30621.207294876003</v>
      </c>
      <c r="G344" s="350">
        <v>29119.210440910905</v>
      </c>
      <c r="H344" s="348">
        <v>5550369.6788252844</v>
      </c>
      <c r="I344" s="369"/>
      <c r="J344" s="350">
        <v>7800320.0764418207</v>
      </c>
      <c r="K344" s="350">
        <v>2438140.4698341815</v>
      </c>
      <c r="L344" s="350">
        <v>2464187.026748932</v>
      </c>
      <c r="M344" s="350">
        <v>2488255.8232326312</v>
      </c>
      <c r="N344" s="350">
        <v>2510279.9259072049</v>
      </c>
      <c r="O344" s="348">
        <v>17701183.322164774</v>
      </c>
      <c r="P344" s="369"/>
      <c r="Q344" s="350">
        <f t="shared" si="165"/>
        <v>2375286.0277405037</v>
      </c>
      <c r="R344" s="350">
        <f t="shared" si="166"/>
        <v>2404630.182095136</v>
      </c>
      <c r="S344" s="350">
        <f t="shared" si="167"/>
        <v>2432102.1020997963</v>
      </c>
      <c r="T344" s="350">
        <f t="shared" si="168"/>
        <v>2457634.615937755</v>
      </c>
      <c r="U344" s="350">
        <f t="shared" si="169"/>
        <v>2481160.715466294</v>
      </c>
      <c r="V344" s="350">
        <f t="shared" si="170"/>
        <v>12150813.643339489</v>
      </c>
      <c r="W344" s="365"/>
      <c r="X344" s="377">
        <f t="shared" si="148"/>
        <v>0</v>
      </c>
      <c r="Y344" s="377">
        <f t="shared" si="149"/>
        <v>0</v>
      </c>
      <c r="Z344" s="377">
        <f t="shared" si="150"/>
        <v>0</v>
      </c>
      <c r="AA344" s="377">
        <f t="shared" si="151"/>
        <v>0</v>
      </c>
      <c r="AB344" s="377">
        <f t="shared" si="152"/>
        <v>0</v>
      </c>
      <c r="AC344" s="377">
        <f t="shared" si="153"/>
        <v>0</v>
      </c>
      <c r="AD344" s="376"/>
      <c r="AE344" s="332">
        <v>329</v>
      </c>
      <c r="AF344" s="350">
        <v>5498063.774213938</v>
      </c>
      <c r="AG344" s="350">
        <v>33961.390366874388</v>
      </c>
      <c r="AH344" s="350">
        <v>32516.839586293161</v>
      </c>
      <c r="AI344" s="350">
        <v>31033.418230980369</v>
      </c>
      <c r="AJ344" s="350">
        <v>29511.20207203224</v>
      </c>
      <c r="AK344" s="348">
        <v>5625086.6244701184</v>
      </c>
      <c r="AL344" s="369"/>
      <c r="AM344" s="350">
        <v>6596375.6153248064</v>
      </c>
      <c r="AN344" s="350">
        <v>1145841.7162070277</v>
      </c>
      <c r="AO344" s="350">
        <v>1157099.9450861523</v>
      </c>
      <c r="AP344" s="350">
        <v>1167422.5386503297</v>
      </c>
      <c r="AQ344" s="350">
        <v>1176778.5886814639</v>
      </c>
      <c r="AR344" s="348">
        <v>11243518.403949779</v>
      </c>
      <c r="AS344" s="369"/>
      <c r="AT344" s="350">
        <f t="shared" si="171"/>
        <v>1098311.8411108684</v>
      </c>
      <c r="AU344" s="350">
        <f t="shared" si="154"/>
        <v>1111880.3258401533</v>
      </c>
      <c r="AV344" s="350">
        <f t="shared" si="155"/>
        <v>1124583.1054998592</v>
      </c>
      <c r="AW344" s="350">
        <f t="shared" si="156"/>
        <v>1136389.1204193493</v>
      </c>
      <c r="AX344" s="350">
        <f t="shared" si="157"/>
        <v>1147267.3866094316</v>
      </c>
      <c r="AY344" s="350">
        <f t="shared" si="158"/>
        <v>5618431.7794796601</v>
      </c>
      <c r="AZ344" s="365"/>
      <c r="BA344" s="377">
        <f t="shared" si="159"/>
        <v>0</v>
      </c>
      <c r="BB344" s="377">
        <f t="shared" si="160"/>
        <v>0</v>
      </c>
      <c r="BC344" s="377">
        <f t="shared" si="161"/>
        <v>0</v>
      </c>
      <c r="BD344" s="377">
        <f t="shared" si="162"/>
        <v>0</v>
      </c>
      <c r="BE344" s="377">
        <f t="shared" si="163"/>
        <v>0</v>
      </c>
      <c r="BF344" s="377">
        <f t="shared" si="164"/>
        <v>0</v>
      </c>
      <c r="BG344" s="328"/>
    </row>
    <row r="345" spans="2:59">
      <c r="B345" s="332">
        <v>330</v>
      </c>
      <c r="C345" s="350">
        <v>6526803.0962547567</v>
      </c>
      <c r="D345" s="350">
        <v>40315.885173835566</v>
      </c>
      <c r="E345" s="350">
        <v>38601.045387581027</v>
      </c>
      <c r="F345" s="350">
        <v>36840.061977324374</v>
      </c>
      <c r="G345" s="350">
        <v>35033.024891654488</v>
      </c>
      <c r="H345" s="348">
        <v>6677593.1136851516</v>
      </c>
      <c r="I345" s="369"/>
      <c r="J345" s="350">
        <v>8472244.4953560364</v>
      </c>
      <c r="K345" s="350">
        <v>2009791.1614740745</v>
      </c>
      <c r="L345" s="350">
        <v>2030576.7742083578</v>
      </c>
      <c r="M345" s="350">
        <v>2049727.802599363</v>
      </c>
      <c r="N345" s="350">
        <v>2067189.4546095226</v>
      </c>
      <c r="O345" s="348">
        <v>16629529.688247355</v>
      </c>
      <c r="P345" s="369"/>
      <c r="Q345" s="350">
        <f t="shared" si="165"/>
        <v>1945441.3991012797</v>
      </c>
      <c r="R345" s="350">
        <f t="shared" si="166"/>
        <v>1969475.2763002389</v>
      </c>
      <c r="S345" s="350">
        <f t="shared" si="167"/>
        <v>1991975.7288207768</v>
      </c>
      <c r="T345" s="350">
        <f t="shared" si="168"/>
        <v>2012887.7406220387</v>
      </c>
      <c r="U345" s="350">
        <f t="shared" si="169"/>
        <v>2032156.4297178681</v>
      </c>
      <c r="V345" s="350">
        <f t="shared" si="170"/>
        <v>9951936.5745622031</v>
      </c>
      <c r="W345" s="365"/>
      <c r="X345" s="377">
        <f t="shared" si="148"/>
        <v>0</v>
      </c>
      <c r="Y345" s="377">
        <f t="shared" si="149"/>
        <v>0</v>
      </c>
      <c r="Z345" s="377">
        <f t="shared" si="150"/>
        <v>0</v>
      </c>
      <c r="AA345" s="377">
        <f t="shared" si="151"/>
        <v>0</v>
      </c>
      <c r="AB345" s="377">
        <f t="shared" si="152"/>
        <v>0</v>
      </c>
      <c r="AC345" s="377">
        <f t="shared" si="153"/>
        <v>0</v>
      </c>
      <c r="AD345" s="376"/>
      <c r="AE345" s="332">
        <v>330</v>
      </c>
      <c r="AF345" s="350">
        <v>8024305.3859679485</v>
      </c>
      <c r="AG345" s="350">
        <v>49565.916080126684</v>
      </c>
      <c r="AH345" s="350">
        <v>47457.625400909506</v>
      </c>
      <c r="AI345" s="350">
        <v>45292.603957008701</v>
      </c>
      <c r="AJ345" s="350">
        <v>43070.962334707969</v>
      </c>
      <c r="AK345" s="348">
        <v>8209692.4937407011</v>
      </c>
      <c r="AL345" s="369"/>
      <c r="AM345" s="350">
        <v>10682884.207412954</v>
      </c>
      <c r="AN345" s="350">
        <v>2740988.6756400932</v>
      </c>
      <c r="AO345" s="350">
        <v>2769628.7933023758</v>
      </c>
      <c r="AP345" s="350">
        <v>2796041.4672413021</v>
      </c>
      <c r="AQ345" s="350">
        <v>2820151.808052822</v>
      </c>
      <c r="AR345" s="348">
        <v>21809694.951649547</v>
      </c>
      <c r="AS345" s="369"/>
      <c r="AT345" s="350">
        <f t="shared" si="171"/>
        <v>2658578.8214450059</v>
      </c>
      <c r="AU345" s="350">
        <f t="shared" si="154"/>
        <v>2691422.7595599666</v>
      </c>
      <c r="AV345" s="350">
        <f t="shared" si="155"/>
        <v>2722171.1679014661</v>
      </c>
      <c r="AW345" s="350">
        <f t="shared" si="156"/>
        <v>2750748.8632842936</v>
      </c>
      <c r="AX345" s="350">
        <f t="shared" si="157"/>
        <v>2777080.8457181142</v>
      </c>
      <c r="AY345" s="350">
        <f t="shared" si="158"/>
        <v>13600002.457908846</v>
      </c>
      <c r="AZ345" s="365"/>
      <c r="BA345" s="377">
        <f t="shared" si="159"/>
        <v>0</v>
      </c>
      <c r="BB345" s="377">
        <f t="shared" si="160"/>
        <v>0</v>
      </c>
      <c r="BC345" s="377">
        <f t="shared" si="161"/>
        <v>0</v>
      </c>
      <c r="BD345" s="377">
        <f t="shared" si="162"/>
        <v>0</v>
      </c>
      <c r="BE345" s="377">
        <f t="shared" si="163"/>
        <v>0</v>
      </c>
      <c r="BF345" s="377">
        <f t="shared" si="164"/>
        <v>0</v>
      </c>
      <c r="BG345" s="328"/>
    </row>
    <row r="346" spans="2:59">
      <c r="B346" s="332">
        <v>331</v>
      </c>
      <c r="C346" s="350">
        <v>4834617.6643567719</v>
      </c>
      <c r="D346" s="350">
        <v>29863.30179432717</v>
      </c>
      <c r="E346" s="350">
        <v>28593.063578173013</v>
      </c>
      <c r="F346" s="350">
        <v>27288.645262452243</v>
      </c>
      <c r="G346" s="350">
        <v>25950.113475039005</v>
      </c>
      <c r="H346" s="348">
        <v>4946312.7884667618</v>
      </c>
      <c r="I346" s="369"/>
      <c r="J346" s="350">
        <v>6848430.0960181709</v>
      </c>
      <c r="K346" s="350">
        <v>2068554.2626710753</v>
      </c>
      <c r="L346" s="350">
        <v>2090575.2379681075</v>
      </c>
      <c r="M346" s="350">
        <v>2110917.7679263833</v>
      </c>
      <c r="N346" s="350">
        <v>2129525.1084026746</v>
      </c>
      <c r="O346" s="348">
        <v>15248002.472986413</v>
      </c>
      <c r="P346" s="369"/>
      <c r="Q346" s="350">
        <f t="shared" si="165"/>
        <v>2013812.4316613991</v>
      </c>
      <c r="R346" s="350">
        <f t="shared" si="166"/>
        <v>2038690.9608767482</v>
      </c>
      <c r="S346" s="350">
        <f t="shared" si="167"/>
        <v>2061982.1743899344</v>
      </c>
      <c r="T346" s="350">
        <f t="shared" si="168"/>
        <v>2083629.122663931</v>
      </c>
      <c r="U346" s="350">
        <f t="shared" si="169"/>
        <v>2103574.9949276354</v>
      </c>
      <c r="V346" s="350">
        <f t="shared" si="170"/>
        <v>10301689.684519652</v>
      </c>
      <c r="W346" s="365"/>
      <c r="X346" s="377">
        <f t="shared" si="148"/>
        <v>0</v>
      </c>
      <c r="Y346" s="377">
        <f t="shared" si="149"/>
        <v>0</v>
      </c>
      <c r="Z346" s="377">
        <f t="shared" si="150"/>
        <v>0</v>
      </c>
      <c r="AA346" s="377">
        <f t="shared" si="151"/>
        <v>0</v>
      </c>
      <c r="AB346" s="377">
        <f t="shared" si="152"/>
        <v>0</v>
      </c>
      <c r="AC346" s="377">
        <f t="shared" si="153"/>
        <v>0</v>
      </c>
      <c r="AD346" s="376"/>
      <c r="AE346" s="332">
        <v>331</v>
      </c>
      <c r="AF346" s="350">
        <v>4557881.7927252036</v>
      </c>
      <c r="AG346" s="350">
        <v>28153.911843436686</v>
      </c>
      <c r="AH346" s="350">
        <v>26956.382681924017</v>
      </c>
      <c r="AI346" s="350">
        <v>25726.629906404061</v>
      </c>
      <c r="AJ346" s="350">
        <v>24464.716330937928</v>
      </c>
      <c r="AK346" s="348">
        <v>4663183.4334879061</v>
      </c>
      <c r="AL346" s="369"/>
      <c r="AM346" s="350">
        <v>6084570.8727220483</v>
      </c>
      <c r="AN346" s="350">
        <v>1573703.6256720619</v>
      </c>
      <c r="AO346" s="350">
        <v>1590163.3722187551</v>
      </c>
      <c r="AP346" s="350">
        <v>1605344.363078333</v>
      </c>
      <c r="AQ346" s="350">
        <v>1619203.5923150026</v>
      </c>
      <c r="AR346" s="348">
        <v>12472985.826006202</v>
      </c>
      <c r="AS346" s="369"/>
      <c r="AT346" s="350">
        <f t="shared" si="171"/>
        <v>1526689.0799968448</v>
      </c>
      <c r="AU346" s="350">
        <f t="shared" si="154"/>
        <v>1545549.7138286252</v>
      </c>
      <c r="AV346" s="350">
        <f t="shared" si="155"/>
        <v>1563206.9895368312</v>
      </c>
      <c r="AW346" s="350">
        <f t="shared" si="156"/>
        <v>1579617.7331719289</v>
      </c>
      <c r="AX346" s="350">
        <f t="shared" si="157"/>
        <v>1594738.8759840645</v>
      </c>
      <c r="AY346" s="350">
        <f t="shared" si="158"/>
        <v>7809802.3925182959</v>
      </c>
      <c r="AZ346" s="365"/>
      <c r="BA346" s="377">
        <f t="shared" si="159"/>
        <v>0</v>
      </c>
      <c r="BB346" s="377">
        <f t="shared" si="160"/>
        <v>0</v>
      </c>
      <c r="BC346" s="377">
        <f t="shared" si="161"/>
        <v>0</v>
      </c>
      <c r="BD346" s="377">
        <f t="shared" si="162"/>
        <v>0</v>
      </c>
      <c r="BE346" s="377">
        <f t="shared" si="163"/>
        <v>0</v>
      </c>
      <c r="BF346" s="377">
        <f t="shared" si="164"/>
        <v>0</v>
      </c>
      <c r="BG346" s="328"/>
    </row>
    <row r="347" spans="2:59">
      <c r="B347" s="332">
        <v>332</v>
      </c>
      <c r="C347" s="350">
        <v>7513025.7634882238</v>
      </c>
      <c r="D347" s="350">
        <v>46407.755760650958</v>
      </c>
      <c r="E347" s="350">
        <v>44433.797713445834</v>
      </c>
      <c r="F347" s="350">
        <v>42406.723580028171</v>
      </c>
      <c r="G347" s="350">
        <v>40326.636900529913</v>
      </c>
      <c r="H347" s="348">
        <v>7686600.6774428785</v>
      </c>
      <c r="I347" s="369"/>
      <c r="J347" s="350">
        <v>9759071.8185273632</v>
      </c>
      <c r="K347" s="350">
        <v>2320201.3415632229</v>
      </c>
      <c r="L347" s="350">
        <v>2344204.5487206308</v>
      </c>
      <c r="M347" s="350">
        <v>2366320.757253482</v>
      </c>
      <c r="N347" s="350">
        <v>2386486.7084908513</v>
      </c>
      <c r="O347" s="348">
        <v>19176285.174555551</v>
      </c>
      <c r="P347" s="369"/>
      <c r="Q347" s="350">
        <f t="shared" si="165"/>
        <v>2246046.0550391395</v>
      </c>
      <c r="R347" s="350">
        <f t="shared" si="166"/>
        <v>2273793.5858025718</v>
      </c>
      <c r="S347" s="350">
        <f t="shared" si="167"/>
        <v>2299770.7510071849</v>
      </c>
      <c r="T347" s="350">
        <f t="shared" si="168"/>
        <v>2323914.0336734536</v>
      </c>
      <c r="U347" s="350">
        <f t="shared" si="169"/>
        <v>2346160.0715903216</v>
      </c>
      <c r="V347" s="350">
        <f t="shared" si="170"/>
        <v>11489684.497112673</v>
      </c>
      <c r="W347" s="365"/>
      <c r="X347" s="377">
        <f t="shared" si="148"/>
        <v>0</v>
      </c>
      <c r="Y347" s="377">
        <f t="shared" si="149"/>
        <v>0</v>
      </c>
      <c r="Z347" s="377">
        <f t="shared" si="150"/>
        <v>0</v>
      </c>
      <c r="AA347" s="377">
        <f t="shared" si="151"/>
        <v>0</v>
      </c>
      <c r="AB347" s="377">
        <f t="shared" si="152"/>
        <v>0</v>
      </c>
      <c r="AC347" s="377">
        <f t="shared" si="153"/>
        <v>0</v>
      </c>
      <c r="AD347" s="376"/>
      <c r="AE347" s="332">
        <v>332</v>
      </c>
      <c r="AF347" s="350">
        <v>5918701.8676707139</v>
      </c>
      <c r="AG347" s="350">
        <v>36559.660427339331</v>
      </c>
      <c r="AH347" s="350">
        <v>35004.591997054158</v>
      </c>
      <c r="AI347" s="350">
        <v>33407.679137036481</v>
      </c>
      <c r="AJ347" s="350">
        <v>31769.003415373652</v>
      </c>
      <c r="AK347" s="348">
        <v>6055442.802647518</v>
      </c>
      <c r="AL347" s="369"/>
      <c r="AM347" s="350">
        <v>7448385.7002050504</v>
      </c>
      <c r="AN347" s="350">
        <v>1585141.1238033716</v>
      </c>
      <c r="AO347" s="350">
        <v>1601277.9675845092</v>
      </c>
      <c r="AP347" s="350">
        <v>1616123.9896661148</v>
      </c>
      <c r="AQ347" s="350">
        <v>1629636.1183827834</v>
      </c>
      <c r="AR347" s="348">
        <v>13880564.89964183</v>
      </c>
      <c r="AS347" s="369"/>
      <c r="AT347" s="350">
        <f t="shared" si="171"/>
        <v>1529683.8325343365</v>
      </c>
      <c r="AU347" s="350">
        <f t="shared" si="154"/>
        <v>1548581.4633760322</v>
      </c>
      <c r="AV347" s="350">
        <f t="shared" si="155"/>
        <v>1566273.375587455</v>
      </c>
      <c r="AW347" s="350">
        <f t="shared" si="156"/>
        <v>1582716.3105290784</v>
      </c>
      <c r="AX347" s="350">
        <f t="shared" si="157"/>
        <v>1597867.1149674098</v>
      </c>
      <c r="AY347" s="350">
        <f t="shared" si="158"/>
        <v>7825122.0969943125</v>
      </c>
      <c r="AZ347" s="365"/>
      <c r="BA347" s="377">
        <f t="shared" si="159"/>
        <v>0</v>
      </c>
      <c r="BB347" s="377">
        <f t="shared" si="160"/>
        <v>0</v>
      </c>
      <c r="BC347" s="377">
        <f t="shared" si="161"/>
        <v>0</v>
      </c>
      <c r="BD347" s="377">
        <f t="shared" si="162"/>
        <v>0</v>
      </c>
      <c r="BE347" s="377">
        <f t="shared" si="163"/>
        <v>0</v>
      </c>
      <c r="BF347" s="377">
        <f t="shared" si="164"/>
        <v>0</v>
      </c>
      <c r="BG347" s="328"/>
    </row>
    <row r="348" spans="2:59">
      <c r="B348" s="332">
        <v>333</v>
      </c>
      <c r="C348" s="350">
        <v>5723600.1924754186</v>
      </c>
      <c r="D348" s="350">
        <v>35354.522687101635</v>
      </c>
      <c r="E348" s="350">
        <v>33850.714898520739</v>
      </c>
      <c r="F348" s="350">
        <v>32306.442022929128</v>
      </c>
      <c r="G348" s="350">
        <v>30721.782939633802</v>
      </c>
      <c r="H348" s="348">
        <v>5855833.6550236037</v>
      </c>
      <c r="I348" s="369"/>
      <c r="J348" s="350">
        <v>7390708.2856797203</v>
      </c>
      <c r="K348" s="350">
        <v>1723057.9785725791</v>
      </c>
      <c r="L348" s="350">
        <v>1740835.4950711599</v>
      </c>
      <c r="M348" s="350">
        <v>1757211.3631646996</v>
      </c>
      <c r="N348" s="350">
        <v>1772138.6316840169</v>
      </c>
      <c r="O348" s="348">
        <v>14383951.754172176</v>
      </c>
      <c r="P348" s="369"/>
      <c r="Q348" s="350">
        <f t="shared" si="165"/>
        <v>1667108.0932043018</v>
      </c>
      <c r="R348" s="350">
        <f t="shared" si="166"/>
        <v>1687703.4558854774</v>
      </c>
      <c r="S348" s="350">
        <f t="shared" si="167"/>
        <v>1706984.7801726391</v>
      </c>
      <c r="T348" s="350">
        <f t="shared" si="168"/>
        <v>1724904.9211417704</v>
      </c>
      <c r="U348" s="350">
        <f t="shared" si="169"/>
        <v>1741416.8487443831</v>
      </c>
      <c r="V348" s="350">
        <f t="shared" si="170"/>
        <v>8528118.0991485715</v>
      </c>
      <c r="W348" s="365"/>
      <c r="X348" s="377">
        <f t="shared" si="148"/>
        <v>0</v>
      </c>
      <c r="Y348" s="377">
        <f t="shared" si="149"/>
        <v>0</v>
      </c>
      <c r="Z348" s="377">
        <f t="shared" si="150"/>
        <v>0</v>
      </c>
      <c r="AA348" s="377">
        <f t="shared" si="151"/>
        <v>0</v>
      </c>
      <c r="AB348" s="377">
        <f t="shared" si="152"/>
        <v>0</v>
      </c>
      <c r="AC348" s="377">
        <f t="shared" si="153"/>
        <v>0</v>
      </c>
      <c r="AD348" s="376"/>
      <c r="AE348" s="332">
        <v>333</v>
      </c>
      <c r="AF348" s="350">
        <v>5300987.0611977251</v>
      </c>
      <c r="AG348" s="350">
        <v>32744.052871744789</v>
      </c>
      <c r="AH348" s="350">
        <v>31351.281650535391</v>
      </c>
      <c r="AI348" s="350">
        <v>29921.03316056545</v>
      </c>
      <c r="AJ348" s="350">
        <v>28453.380456941326</v>
      </c>
      <c r="AK348" s="348">
        <v>5423456.8093375126</v>
      </c>
      <c r="AL348" s="369"/>
      <c r="AM348" s="350">
        <v>7468311.5820853673</v>
      </c>
      <c r="AN348" s="350">
        <v>2226843.5829729121</v>
      </c>
      <c r="AO348" s="350">
        <v>2250517.5048432313</v>
      </c>
      <c r="AP348" s="350">
        <v>2272384.3425460951</v>
      </c>
      <c r="AQ348" s="350">
        <v>2292383.0277039148</v>
      </c>
      <c r="AR348" s="348">
        <v>16510440.040151522</v>
      </c>
      <c r="AS348" s="369"/>
      <c r="AT348" s="350">
        <f t="shared" si="171"/>
        <v>2167324.5208876422</v>
      </c>
      <c r="AU348" s="350">
        <f t="shared" si="154"/>
        <v>2194099.5301011675</v>
      </c>
      <c r="AV348" s="350">
        <f t="shared" si="155"/>
        <v>2219166.223192696</v>
      </c>
      <c r="AW348" s="350">
        <f t="shared" si="156"/>
        <v>2242463.3093855297</v>
      </c>
      <c r="AX348" s="350">
        <f t="shared" si="157"/>
        <v>2263929.6472469736</v>
      </c>
      <c r="AY348" s="350">
        <f t="shared" si="158"/>
        <v>11086983.23081401</v>
      </c>
      <c r="AZ348" s="365"/>
      <c r="BA348" s="377">
        <f t="shared" si="159"/>
        <v>0</v>
      </c>
      <c r="BB348" s="377">
        <f t="shared" si="160"/>
        <v>0</v>
      </c>
      <c r="BC348" s="377">
        <f t="shared" si="161"/>
        <v>0</v>
      </c>
      <c r="BD348" s="377">
        <f t="shared" si="162"/>
        <v>0</v>
      </c>
      <c r="BE348" s="377">
        <f t="shared" si="163"/>
        <v>0</v>
      </c>
      <c r="BF348" s="377">
        <f t="shared" si="164"/>
        <v>0</v>
      </c>
      <c r="BG348" s="328"/>
    </row>
    <row r="349" spans="2:59">
      <c r="B349" s="332">
        <v>334</v>
      </c>
      <c r="C349" s="350">
        <v>5680905.5929912068</v>
      </c>
      <c r="D349" s="350">
        <v>35090.799307527821</v>
      </c>
      <c r="E349" s="350">
        <v>33598.209016516397</v>
      </c>
      <c r="F349" s="350">
        <v>32065.455483591344</v>
      </c>
      <c r="G349" s="350">
        <v>30492.616999677153</v>
      </c>
      <c r="H349" s="348">
        <v>5812152.6737985201</v>
      </c>
      <c r="I349" s="369"/>
      <c r="J349" s="350">
        <v>7743303.2188530024</v>
      </c>
      <c r="K349" s="350">
        <v>2122967.1732304492</v>
      </c>
      <c r="L349" s="350">
        <v>2145327.719754871</v>
      </c>
      <c r="M349" s="350">
        <v>2165964.1682913811</v>
      </c>
      <c r="N349" s="350">
        <v>2184818.4157443978</v>
      </c>
      <c r="O349" s="348">
        <v>16362380.695874101</v>
      </c>
      <c r="P349" s="369"/>
      <c r="Q349" s="350">
        <f t="shared" si="165"/>
        <v>2062397.6258617956</v>
      </c>
      <c r="R349" s="350">
        <f t="shared" si="166"/>
        <v>2087876.3739229215</v>
      </c>
      <c r="S349" s="350">
        <f t="shared" si="167"/>
        <v>2111729.5107383546</v>
      </c>
      <c r="T349" s="350">
        <f t="shared" si="168"/>
        <v>2133898.7128077899</v>
      </c>
      <c r="U349" s="350">
        <f t="shared" si="169"/>
        <v>2154325.7987447204</v>
      </c>
      <c r="V349" s="350">
        <f t="shared" si="170"/>
        <v>10550228.02207558</v>
      </c>
      <c r="W349" s="365"/>
      <c r="X349" s="377">
        <f t="shared" si="148"/>
        <v>0</v>
      </c>
      <c r="Y349" s="377">
        <f t="shared" si="149"/>
        <v>0</v>
      </c>
      <c r="Z349" s="377">
        <f t="shared" si="150"/>
        <v>0</v>
      </c>
      <c r="AA349" s="377">
        <f t="shared" si="151"/>
        <v>0</v>
      </c>
      <c r="AB349" s="377">
        <f t="shared" si="152"/>
        <v>0</v>
      </c>
      <c r="AC349" s="377">
        <f t="shared" si="153"/>
        <v>0</v>
      </c>
      <c r="AD349" s="376"/>
      <c r="AE349" s="332">
        <v>334</v>
      </c>
      <c r="AF349" s="350">
        <v>5191142.5557731995</v>
      </c>
      <c r="AG349" s="350">
        <v>32065.546349889693</v>
      </c>
      <c r="AH349" s="350">
        <v>30701.635464349543</v>
      </c>
      <c r="AI349" s="350">
        <v>29301.023895994669</v>
      </c>
      <c r="AJ349" s="350">
        <v>27863.783186118086</v>
      </c>
      <c r="AK349" s="348">
        <v>5311074.5446695518</v>
      </c>
      <c r="AL349" s="369"/>
      <c r="AM349" s="350">
        <v>7483738.4783161972</v>
      </c>
      <c r="AN349" s="350">
        <v>2352984.074186828</v>
      </c>
      <c r="AO349" s="350">
        <v>2378135.7117664237</v>
      </c>
      <c r="AP349" s="350">
        <v>2401378.7584495596</v>
      </c>
      <c r="AQ349" s="350">
        <v>2422648.6103687608</v>
      </c>
      <c r="AR349" s="348">
        <v>17038885.633087769</v>
      </c>
      <c r="AS349" s="369"/>
      <c r="AT349" s="350">
        <f t="shared" si="171"/>
        <v>2292595.9225429976</v>
      </c>
      <c r="AU349" s="350">
        <f t="shared" si="154"/>
        <v>2320918.5278369384</v>
      </c>
      <c r="AV349" s="350">
        <f t="shared" si="155"/>
        <v>2347434.0763020739</v>
      </c>
      <c r="AW349" s="350">
        <f t="shared" si="156"/>
        <v>2372077.7345535648</v>
      </c>
      <c r="AX349" s="350">
        <f t="shared" si="157"/>
        <v>2394784.8271826426</v>
      </c>
      <c r="AY349" s="350">
        <f t="shared" si="158"/>
        <v>11727811.088418217</v>
      </c>
      <c r="AZ349" s="365"/>
      <c r="BA349" s="377">
        <f t="shared" si="159"/>
        <v>0</v>
      </c>
      <c r="BB349" s="377">
        <f t="shared" si="160"/>
        <v>0</v>
      </c>
      <c r="BC349" s="377">
        <f t="shared" si="161"/>
        <v>0</v>
      </c>
      <c r="BD349" s="377">
        <f t="shared" si="162"/>
        <v>0</v>
      </c>
      <c r="BE349" s="377">
        <f t="shared" si="163"/>
        <v>0</v>
      </c>
      <c r="BF349" s="377">
        <f t="shared" si="164"/>
        <v>0</v>
      </c>
      <c r="BG349" s="328"/>
    </row>
    <row r="350" spans="2:59">
      <c r="B350" s="332">
        <v>335</v>
      </c>
      <c r="C350" s="350">
        <v>7590515.7924228637</v>
      </c>
      <c r="D350" s="350">
        <v>46886.409561383443</v>
      </c>
      <c r="E350" s="350">
        <v>44892.091931896357</v>
      </c>
      <c r="F350" s="350">
        <v>42844.110372071998</v>
      </c>
      <c r="G350" s="350">
        <v>40742.569489960486</v>
      </c>
      <c r="H350" s="348">
        <v>7765880.9737781761</v>
      </c>
      <c r="I350" s="369"/>
      <c r="J350" s="350">
        <v>9905168.1612033471</v>
      </c>
      <c r="K350" s="350">
        <v>2390133.8677725988</v>
      </c>
      <c r="L350" s="350">
        <v>2414910.1975393025</v>
      </c>
      <c r="M350" s="350">
        <v>2437742.9642117927</v>
      </c>
      <c r="N350" s="350">
        <v>2458566.9747647219</v>
      </c>
      <c r="O350" s="348">
        <v>19606522.165491764</v>
      </c>
      <c r="P350" s="369"/>
      <c r="Q350" s="350">
        <f t="shared" si="165"/>
        <v>2314652.3687804835</v>
      </c>
      <c r="R350" s="350">
        <f t="shared" si="166"/>
        <v>2343247.4582112152</v>
      </c>
      <c r="S350" s="350">
        <f t="shared" si="167"/>
        <v>2370018.1056074062</v>
      </c>
      <c r="T350" s="350">
        <f t="shared" si="168"/>
        <v>2394898.8538397206</v>
      </c>
      <c r="U350" s="350">
        <f t="shared" si="169"/>
        <v>2417824.4052747614</v>
      </c>
      <c r="V350" s="350">
        <f t="shared" si="170"/>
        <v>11840641.191713586</v>
      </c>
      <c r="W350" s="365"/>
      <c r="X350" s="377">
        <f t="shared" si="148"/>
        <v>0</v>
      </c>
      <c r="Y350" s="377">
        <f t="shared" si="149"/>
        <v>0</v>
      </c>
      <c r="Z350" s="377">
        <f t="shared" si="150"/>
        <v>0</v>
      </c>
      <c r="AA350" s="377">
        <f t="shared" si="151"/>
        <v>0</v>
      </c>
      <c r="AB350" s="377">
        <f t="shared" si="152"/>
        <v>0</v>
      </c>
      <c r="AC350" s="377">
        <f t="shared" si="153"/>
        <v>0</v>
      </c>
      <c r="AD350" s="376"/>
      <c r="AE350" s="332">
        <v>335</v>
      </c>
      <c r="AF350" s="350">
        <v>5657207.9953314159</v>
      </c>
      <c r="AG350" s="350">
        <v>34944.41989144135</v>
      </c>
      <c r="AH350" s="350">
        <v>33458.055861999084</v>
      </c>
      <c r="AI350" s="350">
        <v>31931.696129491553</v>
      </c>
      <c r="AJ350" s="350">
        <v>30365.418658245999</v>
      </c>
      <c r="AK350" s="348">
        <v>5787907.5858725943</v>
      </c>
      <c r="AL350" s="369"/>
      <c r="AM350" s="350">
        <v>7546923.8011844242</v>
      </c>
      <c r="AN350" s="350">
        <v>1948005.6719962817</v>
      </c>
      <c r="AO350" s="350">
        <v>1968375.253248224</v>
      </c>
      <c r="AP350" s="350">
        <v>1987161.8976757457</v>
      </c>
      <c r="AQ350" s="350">
        <v>2004312.3733070481</v>
      </c>
      <c r="AR350" s="348">
        <v>15454778.997411722</v>
      </c>
      <c r="AS350" s="369"/>
      <c r="AT350" s="350">
        <f t="shared" si="171"/>
        <v>1889715.8058530083</v>
      </c>
      <c r="AU350" s="350">
        <f t="shared" si="154"/>
        <v>1913061.2521048405</v>
      </c>
      <c r="AV350" s="350">
        <f t="shared" si="155"/>
        <v>1934917.197386225</v>
      </c>
      <c r="AW350" s="350">
        <f t="shared" si="156"/>
        <v>1955230.2015462541</v>
      </c>
      <c r="AX350" s="350">
        <f t="shared" si="157"/>
        <v>1973946.9546488021</v>
      </c>
      <c r="AY350" s="350">
        <f t="shared" si="158"/>
        <v>9666871.4115391281</v>
      </c>
      <c r="AZ350" s="365"/>
      <c r="BA350" s="377">
        <f t="shared" si="159"/>
        <v>0</v>
      </c>
      <c r="BB350" s="377">
        <f t="shared" si="160"/>
        <v>0</v>
      </c>
      <c r="BC350" s="377">
        <f t="shared" si="161"/>
        <v>0</v>
      </c>
      <c r="BD350" s="377">
        <f t="shared" si="162"/>
        <v>0</v>
      </c>
      <c r="BE350" s="377">
        <f t="shared" si="163"/>
        <v>0</v>
      </c>
      <c r="BF350" s="377">
        <f t="shared" si="164"/>
        <v>0</v>
      </c>
      <c r="BG350" s="328"/>
    </row>
    <row r="351" spans="2:59">
      <c r="B351" s="332">
        <v>336</v>
      </c>
      <c r="C351" s="350">
        <v>4911061.0658540297</v>
      </c>
      <c r="D351" s="350">
        <v>30335.490605849631</v>
      </c>
      <c r="E351" s="350">
        <v>29045.167796311314</v>
      </c>
      <c r="F351" s="350">
        <v>27720.124442593755</v>
      </c>
      <c r="G351" s="350">
        <v>26360.428226068245</v>
      </c>
      <c r="H351" s="348">
        <v>5024522.2769248532</v>
      </c>
      <c r="I351" s="369"/>
      <c r="J351" s="350">
        <v>7088017.5533241965</v>
      </c>
      <c r="K351" s="350">
        <v>2234185.9800806567</v>
      </c>
      <c r="L351" s="350">
        <v>2258073.7511002198</v>
      </c>
      <c r="M351" s="350">
        <v>2280149.3302365174</v>
      </c>
      <c r="N351" s="350">
        <v>2300351.3720150753</v>
      </c>
      <c r="O351" s="348">
        <v>16160777.986756666</v>
      </c>
      <c r="P351" s="369"/>
      <c r="Q351" s="350">
        <f t="shared" si="165"/>
        <v>2176956.4874701668</v>
      </c>
      <c r="R351" s="350">
        <f t="shared" si="166"/>
        <v>2203850.4894748069</v>
      </c>
      <c r="S351" s="350">
        <f t="shared" si="167"/>
        <v>2229028.5833039084</v>
      </c>
      <c r="T351" s="350">
        <f t="shared" si="168"/>
        <v>2252429.2057939237</v>
      </c>
      <c r="U351" s="350">
        <f t="shared" si="169"/>
        <v>2273990.9437890071</v>
      </c>
      <c r="V351" s="350">
        <f t="shared" si="170"/>
        <v>11136255.709831811</v>
      </c>
      <c r="W351" s="365"/>
      <c r="X351" s="377">
        <f t="shared" si="148"/>
        <v>0</v>
      </c>
      <c r="Y351" s="377">
        <f t="shared" si="149"/>
        <v>0</v>
      </c>
      <c r="Z351" s="377">
        <f t="shared" si="150"/>
        <v>0</v>
      </c>
      <c r="AA351" s="377">
        <f t="shared" si="151"/>
        <v>0</v>
      </c>
      <c r="AB351" s="377">
        <f t="shared" si="152"/>
        <v>0</v>
      </c>
      <c r="AC351" s="377">
        <f t="shared" si="153"/>
        <v>0</v>
      </c>
      <c r="AD351" s="376"/>
      <c r="AE351" s="332">
        <v>336</v>
      </c>
      <c r="AF351" s="350">
        <v>5538247.5102761984</v>
      </c>
      <c r="AG351" s="350">
        <v>34209.604211394733</v>
      </c>
      <c r="AH351" s="350">
        <v>32754.495632707883</v>
      </c>
      <c r="AI351" s="350">
        <v>31260.232385655039</v>
      </c>
      <c r="AJ351" s="350">
        <v>29726.890795124891</v>
      </c>
      <c r="AK351" s="348">
        <v>5666198.7333010808</v>
      </c>
      <c r="AL351" s="369"/>
      <c r="AM351" s="350">
        <v>7323293.2861753851</v>
      </c>
      <c r="AN351" s="350">
        <v>1841307.7385071407</v>
      </c>
      <c r="AO351" s="350">
        <v>1860497.9897661514</v>
      </c>
      <c r="AP351" s="350">
        <v>1878191.6076594128</v>
      </c>
      <c r="AQ351" s="350">
        <v>1894338.3113755709</v>
      </c>
      <c r="AR351" s="348">
        <v>14797628.93348366</v>
      </c>
      <c r="AS351" s="369"/>
      <c r="AT351" s="350">
        <f t="shared" si="171"/>
        <v>1785045.7758991867</v>
      </c>
      <c r="AU351" s="350">
        <f t="shared" si="154"/>
        <v>1807098.134295746</v>
      </c>
      <c r="AV351" s="350">
        <f t="shared" si="155"/>
        <v>1827743.4941334436</v>
      </c>
      <c r="AW351" s="350">
        <f t="shared" si="156"/>
        <v>1846931.3752737578</v>
      </c>
      <c r="AX351" s="350">
        <f t="shared" si="157"/>
        <v>1864611.420580446</v>
      </c>
      <c r="AY351" s="350">
        <f t="shared" si="158"/>
        <v>9131430.2001825795</v>
      </c>
      <c r="AZ351" s="365"/>
      <c r="BA351" s="377">
        <f t="shared" si="159"/>
        <v>0</v>
      </c>
      <c r="BB351" s="377">
        <f t="shared" si="160"/>
        <v>0</v>
      </c>
      <c r="BC351" s="377">
        <f t="shared" si="161"/>
        <v>0</v>
      </c>
      <c r="BD351" s="377">
        <f t="shared" si="162"/>
        <v>0</v>
      </c>
      <c r="BE351" s="377">
        <f t="shared" si="163"/>
        <v>0</v>
      </c>
      <c r="BF351" s="377">
        <f t="shared" si="164"/>
        <v>0</v>
      </c>
      <c r="BG351" s="328"/>
    </row>
    <row r="352" spans="2:59">
      <c r="B352" s="332">
        <v>337</v>
      </c>
      <c r="C352" s="350">
        <v>6709334.3951241374</v>
      </c>
      <c r="D352" s="350">
        <v>41443.376041465912</v>
      </c>
      <c r="E352" s="350">
        <v>39680.578330186036</v>
      </c>
      <c r="F352" s="350">
        <v>37870.346523065069</v>
      </c>
      <c r="G352" s="350">
        <v>36012.773084220862</v>
      </c>
      <c r="H352" s="348">
        <v>6864341.4691030756</v>
      </c>
      <c r="I352" s="369"/>
      <c r="J352" s="350">
        <v>8943310.0606649574</v>
      </c>
      <c r="K352" s="350">
        <v>2303017.4554105708</v>
      </c>
      <c r="L352" s="350">
        <v>2327092.2200220376</v>
      </c>
      <c r="M352" s="350">
        <v>2349295.5233967598</v>
      </c>
      <c r="N352" s="350">
        <v>2369564.4363002088</v>
      </c>
      <c r="O352" s="348">
        <v>18292279.695794538</v>
      </c>
      <c r="P352" s="369"/>
      <c r="Q352" s="350">
        <f t="shared" si="165"/>
        <v>2233975.66554082</v>
      </c>
      <c r="R352" s="350">
        <f t="shared" si="166"/>
        <v>2261574.0793691049</v>
      </c>
      <c r="S352" s="350">
        <f t="shared" si="167"/>
        <v>2287411.6416918514</v>
      </c>
      <c r="T352" s="350">
        <f t="shared" si="168"/>
        <v>2311425.1768736946</v>
      </c>
      <c r="U352" s="350">
        <f t="shared" si="169"/>
        <v>2333551.6632159878</v>
      </c>
      <c r="V352" s="350">
        <f t="shared" si="170"/>
        <v>11427938.226691462</v>
      </c>
      <c r="W352" s="365"/>
      <c r="X352" s="377">
        <f t="shared" si="148"/>
        <v>0</v>
      </c>
      <c r="Y352" s="377">
        <f t="shared" si="149"/>
        <v>0</v>
      </c>
      <c r="Z352" s="377">
        <f t="shared" si="150"/>
        <v>0</v>
      </c>
      <c r="AA352" s="377">
        <f t="shared" si="151"/>
        <v>0</v>
      </c>
      <c r="AB352" s="377">
        <f t="shared" si="152"/>
        <v>0</v>
      </c>
      <c r="AC352" s="377">
        <f t="shared" si="153"/>
        <v>0</v>
      </c>
      <c r="AD352" s="376"/>
      <c r="AE352" s="332">
        <v>337</v>
      </c>
      <c r="AF352" s="350">
        <v>5557742.6997651914</v>
      </c>
      <c r="AG352" s="350">
        <v>34330.025466531311</v>
      </c>
      <c r="AH352" s="350">
        <v>32869.794758972341</v>
      </c>
      <c r="AI352" s="350">
        <v>31370.271554670224</v>
      </c>
      <c r="AJ352" s="350">
        <v>29831.532447181435</v>
      </c>
      <c r="AK352" s="348">
        <v>5686144.3239925476</v>
      </c>
      <c r="AL352" s="369"/>
      <c r="AM352" s="350">
        <v>7614250.2974813767</v>
      </c>
      <c r="AN352" s="350">
        <v>2116243.6061565923</v>
      </c>
      <c r="AO352" s="350">
        <v>2138568.3897814639</v>
      </c>
      <c r="AP352" s="350">
        <v>2159174.7553346977</v>
      </c>
      <c r="AQ352" s="350">
        <v>2178004.7641843073</v>
      </c>
      <c r="AR352" s="348">
        <v>16206241.812938437</v>
      </c>
      <c r="AS352" s="369"/>
      <c r="AT352" s="350">
        <f t="shared" si="171"/>
        <v>2056507.5977161853</v>
      </c>
      <c r="AU352" s="350">
        <f t="shared" si="154"/>
        <v>2081913.580690061</v>
      </c>
      <c r="AV352" s="350">
        <f t="shared" si="155"/>
        <v>2105698.5950224916</v>
      </c>
      <c r="AW352" s="350">
        <f t="shared" si="156"/>
        <v>2127804.4837800274</v>
      </c>
      <c r="AX352" s="350">
        <f t="shared" si="157"/>
        <v>2148173.2317371257</v>
      </c>
      <c r="AY352" s="350">
        <f t="shared" si="158"/>
        <v>10520097.48894589</v>
      </c>
      <c r="AZ352" s="365"/>
      <c r="BA352" s="377">
        <f t="shared" si="159"/>
        <v>0</v>
      </c>
      <c r="BB352" s="377">
        <f t="shared" si="160"/>
        <v>0</v>
      </c>
      <c r="BC352" s="377">
        <f t="shared" si="161"/>
        <v>0</v>
      </c>
      <c r="BD352" s="377">
        <f t="shared" si="162"/>
        <v>0</v>
      </c>
      <c r="BE352" s="377">
        <f t="shared" si="163"/>
        <v>0</v>
      </c>
      <c r="BF352" s="377">
        <f t="shared" si="164"/>
        <v>0</v>
      </c>
      <c r="BG352" s="328"/>
    </row>
    <row r="353" spans="2:59">
      <c r="B353" s="332">
        <v>338</v>
      </c>
      <c r="C353" s="350">
        <v>7221465.5612941291</v>
      </c>
      <c r="D353" s="350">
        <v>44606.796323149938</v>
      </c>
      <c r="E353" s="350">
        <v>42709.442246896841</v>
      </c>
      <c r="F353" s="350">
        <v>40761.033376025698</v>
      </c>
      <c r="G353" s="350">
        <v>38761.669232556014</v>
      </c>
      <c r="H353" s="348">
        <v>7388304.5024727583</v>
      </c>
      <c r="I353" s="369"/>
      <c r="J353" s="350">
        <v>9592325.439688338</v>
      </c>
      <c r="K353" s="350">
        <v>2444756.1486637807</v>
      </c>
      <c r="L353" s="350">
        <v>2470279.5229380685</v>
      </c>
      <c r="M353" s="350">
        <v>2493816.0501742549</v>
      </c>
      <c r="N353" s="350">
        <v>2515298.9466157923</v>
      </c>
      <c r="O353" s="348">
        <v>19516476.108080234</v>
      </c>
      <c r="P353" s="369"/>
      <c r="Q353" s="350">
        <f t="shared" si="165"/>
        <v>2370859.8783942088</v>
      </c>
      <c r="R353" s="350">
        <f t="shared" si="166"/>
        <v>2400149.3523406307</v>
      </c>
      <c r="S353" s="350">
        <f t="shared" si="167"/>
        <v>2427570.0806911718</v>
      </c>
      <c r="T353" s="350">
        <f t="shared" si="168"/>
        <v>2453055.0167982294</v>
      </c>
      <c r="U353" s="350">
        <f t="shared" si="169"/>
        <v>2476537.2773832362</v>
      </c>
      <c r="V353" s="350">
        <f t="shared" si="170"/>
        <v>12128171.605607476</v>
      </c>
      <c r="W353" s="365"/>
      <c r="X353" s="377">
        <f t="shared" si="148"/>
        <v>0</v>
      </c>
      <c r="Y353" s="377">
        <f t="shared" si="149"/>
        <v>0</v>
      </c>
      <c r="Z353" s="377">
        <f t="shared" si="150"/>
        <v>0</v>
      </c>
      <c r="AA353" s="377">
        <f t="shared" si="151"/>
        <v>0</v>
      </c>
      <c r="AB353" s="377">
        <f t="shared" si="152"/>
        <v>0</v>
      </c>
      <c r="AC353" s="377">
        <f t="shared" si="153"/>
        <v>0</v>
      </c>
      <c r="AD353" s="376"/>
      <c r="AE353" s="332">
        <v>338</v>
      </c>
      <c r="AF353" s="350">
        <v>5790028.0591072123</v>
      </c>
      <c r="AG353" s="350">
        <v>35764.845812218031</v>
      </c>
      <c r="AH353" s="350">
        <v>34243.584892764804</v>
      </c>
      <c r="AI353" s="350">
        <v>32681.389250174852</v>
      </c>
      <c r="AJ353" s="350">
        <v>31078.338679236214</v>
      </c>
      <c r="AK353" s="348">
        <v>5923796.2177416068</v>
      </c>
      <c r="AL353" s="369"/>
      <c r="AM353" s="350">
        <v>7717713.9085502652</v>
      </c>
      <c r="AN353" s="350">
        <v>1987265.2213597789</v>
      </c>
      <c r="AO353" s="350">
        <v>2008039.0570440774</v>
      </c>
      <c r="AP353" s="350">
        <v>2027198.0145810712</v>
      </c>
      <c r="AQ353" s="350">
        <v>2044687.7926733398</v>
      </c>
      <c r="AR353" s="348">
        <v>15784903.994208533</v>
      </c>
      <c r="AS353" s="369"/>
      <c r="AT353" s="350">
        <f t="shared" si="171"/>
        <v>1927685.8494430529</v>
      </c>
      <c r="AU353" s="350">
        <f t="shared" si="154"/>
        <v>1951500.3755475609</v>
      </c>
      <c r="AV353" s="350">
        <f t="shared" si="155"/>
        <v>1973795.4721513125</v>
      </c>
      <c r="AW353" s="350">
        <f t="shared" si="156"/>
        <v>1994516.6253308963</v>
      </c>
      <c r="AX353" s="350">
        <f t="shared" si="157"/>
        <v>2013609.4539941037</v>
      </c>
      <c r="AY353" s="350">
        <f t="shared" si="158"/>
        <v>9861107.7764669266</v>
      </c>
      <c r="AZ353" s="365"/>
      <c r="BA353" s="377">
        <f t="shared" si="159"/>
        <v>0</v>
      </c>
      <c r="BB353" s="377">
        <f t="shared" si="160"/>
        <v>0</v>
      </c>
      <c r="BC353" s="377">
        <f t="shared" si="161"/>
        <v>0</v>
      </c>
      <c r="BD353" s="377">
        <f t="shared" si="162"/>
        <v>0</v>
      </c>
      <c r="BE353" s="377">
        <f t="shared" si="163"/>
        <v>0</v>
      </c>
      <c r="BF353" s="377">
        <f t="shared" si="164"/>
        <v>0</v>
      </c>
      <c r="BG353" s="328"/>
    </row>
    <row r="354" spans="2:59">
      <c r="B354" s="332">
        <v>339</v>
      </c>
      <c r="C354" s="350">
        <v>5907996.0752492072</v>
      </c>
      <c r="D354" s="350">
        <v>36493.531038784931</v>
      </c>
      <c r="E354" s="350">
        <v>34941.275427966371</v>
      </c>
      <c r="F354" s="350">
        <v>33347.251075931723</v>
      </c>
      <c r="G354" s="350">
        <v>31711.53940322889</v>
      </c>
      <c r="H354" s="348">
        <v>6044489.6721951198</v>
      </c>
      <c r="I354" s="369"/>
      <c r="J354" s="350">
        <v>8389423.4275974128</v>
      </c>
      <c r="K354" s="350">
        <v>2548576.3018909991</v>
      </c>
      <c r="L354" s="350">
        <v>2575723.568327189</v>
      </c>
      <c r="M354" s="350">
        <v>2600802.9961286155</v>
      </c>
      <c r="N354" s="350">
        <v>2623744.6642671768</v>
      </c>
      <c r="O354" s="348">
        <v>18738270.958211392</v>
      </c>
      <c r="P354" s="369"/>
      <c r="Q354" s="350">
        <f t="shared" si="165"/>
        <v>2481427.3523482056</v>
      </c>
      <c r="R354" s="350">
        <f t="shared" si="166"/>
        <v>2512082.7708522142</v>
      </c>
      <c r="S354" s="350">
        <f t="shared" si="167"/>
        <v>2540782.2928992226</v>
      </c>
      <c r="T354" s="350">
        <f t="shared" si="168"/>
        <v>2567455.7450526836</v>
      </c>
      <c r="U354" s="350">
        <f t="shared" si="169"/>
        <v>2592033.1248639477</v>
      </c>
      <c r="V354" s="350">
        <f t="shared" si="170"/>
        <v>12693781.286016272</v>
      </c>
      <c r="W354" s="365"/>
      <c r="X354" s="377">
        <f t="shared" si="148"/>
        <v>0</v>
      </c>
      <c r="Y354" s="377">
        <f t="shared" si="149"/>
        <v>0</v>
      </c>
      <c r="Z354" s="377">
        <f t="shared" si="150"/>
        <v>0</v>
      </c>
      <c r="AA354" s="377">
        <f t="shared" si="151"/>
        <v>0</v>
      </c>
      <c r="AB354" s="377">
        <f t="shared" si="152"/>
        <v>0</v>
      </c>
      <c r="AC354" s="377">
        <f t="shared" si="153"/>
        <v>0</v>
      </c>
      <c r="AD354" s="376"/>
      <c r="AE354" s="332">
        <v>339</v>
      </c>
      <c r="AF354" s="350">
        <v>4469250.8155885618</v>
      </c>
      <c r="AG354" s="350">
        <v>27606.440708733739</v>
      </c>
      <c r="AH354" s="350">
        <v>26432.198280963734</v>
      </c>
      <c r="AI354" s="350">
        <v>25226.35884832661</v>
      </c>
      <c r="AJ354" s="350">
        <v>23988.984003425678</v>
      </c>
      <c r="AK354" s="348">
        <v>4572504.7974300124</v>
      </c>
      <c r="AL354" s="369"/>
      <c r="AM354" s="350">
        <v>6434103.0592337735</v>
      </c>
      <c r="AN354" s="350">
        <v>2016732.3620703155</v>
      </c>
      <c r="AO354" s="350">
        <v>2038283.0727757688</v>
      </c>
      <c r="AP354" s="350">
        <v>2058197.8969240719</v>
      </c>
      <c r="AQ354" s="350">
        <v>2076421.4665309177</v>
      </c>
      <c r="AR354" s="348">
        <v>14623737.857534846</v>
      </c>
      <c r="AS354" s="369"/>
      <c r="AT354" s="350">
        <f t="shared" si="171"/>
        <v>1964852.2436452117</v>
      </c>
      <c r="AU354" s="350">
        <f t="shared" si="154"/>
        <v>1989125.9213615819</v>
      </c>
      <c r="AV354" s="350">
        <f t="shared" si="155"/>
        <v>2011850.874494805</v>
      </c>
      <c r="AW354" s="350">
        <f t="shared" si="156"/>
        <v>2032971.5380757453</v>
      </c>
      <c r="AX354" s="350">
        <f t="shared" si="157"/>
        <v>2052432.4825274921</v>
      </c>
      <c r="AY354" s="350">
        <f t="shared" si="158"/>
        <v>10051233.060104834</v>
      </c>
      <c r="AZ354" s="365"/>
      <c r="BA354" s="377">
        <f t="shared" si="159"/>
        <v>0</v>
      </c>
      <c r="BB354" s="377">
        <f t="shared" si="160"/>
        <v>0</v>
      </c>
      <c r="BC354" s="377">
        <f t="shared" si="161"/>
        <v>0</v>
      </c>
      <c r="BD354" s="377">
        <f t="shared" si="162"/>
        <v>0</v>
      </c>
      <c r="BE354" s="377">
        <f t="shared" si="163"/>
        <v>0</v>
      </c>
      <c r="BF354" s="377">
        <f t="shared" si="164"/>
        <v>0</v>
      </c>
      <c r="BG354" s="328"/>
    </row>
    <row r="355" spans="2:59">
      <c r="B355" s="332">
        <v>340</v>
      </c>
      <c r="C355" s="350">
        <v>6390807.4333021278</v>
      </c>
      <c r="D355" s="350">
        <v>39475.843663331158</v>
      </c>
      <c r="E355" s="350">
        <v>37796.735117952703</v>
      </c>
      <c r="F355" s="350">
        <v>36072.44441970429</v>
      </c>
      <c r="G355" s="350">
        <v>34303.059642953485</v>
      </c>
      <c r="H355" s="348">
        <v>6538455.5161460694</v>
      </c>
      <c r="I355" s="369"/>
      <c r="J355" s="350">
        <v>8178706.5082532931</v>
      </c>
      <c r="K355" s="350">
        <v>1849462.5265123043</v>
      </c>
      <c r="L355" s="350">
        <v>1868461.7782948341</v>
      </c>
      <c r="M355" s="350">
        <v>1885956.0395263054</v>
      </c>
      <c r="N355" s="350">
        <v>1901894.9606516801</v>
      </c>
      <c r="O355" s="348">
        <v>15684481.813238418</v>
      </c>
      <c r="P355" s="369"/>
      <c r="Q355" s="350">
        <f t="shared" si="165"/>
        <v>1787899.0749511654</v>
      </c>
      <c r="R355" s="350">
        <f t="shared" si="166"/>
        <v>1809986.6828489732</v>
      </c>
      <c r="S355" s="350">
        <f t="shared" si="167"/>
        <v>1830665.0431768813</v>
      </c>
      <c r="T355" s="350">
        <f t="shared" si="168"/>
        <v>1849883.595106601</v>
      </c>
      <c r="U355" s="350">
        <f t="shared" si="169"/>
        <v>1867591.9010087266</v>
      </c>
      <c r="V355" s="350">
        <f t="shared" si="170"/>
        <v>9146026.2970923483</v>
      </c>
      <c r="W355" s="365"/>
      <c r="X355" s="377">
        <f t="shared" si="148"/>
        <v>0</v>
      </c>
      <c r="Y355" s="377">
        <f t="shared" si="149"/>
        <v>0</v>
      </c>
      <c r="Z355" s="377">
        <f t="shared" si="150"/>
        <v>0</v>
      </c>
      <c r="AA355" s="377">
        <f t="shared" si="151"/>
        <v>0</v>
      </c>
      <c r="AB355" s="377">
        <f t="shared" si="152"/>
        <v>0</v>
      </c>
      <c r="AC355" s="377">
        <f t="shared" si="153"/>
        <v>0</v>
      </c>
      <c r="AD355" s="376"/>
      <c r="AE355" s="332">
        <v>340</v>
      </c>
      <c r="AF355" s="350">
        <v>5677805.088303972</v>
      </c>
      <c r="AG355" s="350">
        <v>35071.6475744208</v>
      </c>
      <c r="AH355" s="350">
        <v>33579.871904089952</v>
      </c>
      <c r="AI355" s="350">
        <v>32047.954912002184</v>
      </c>
      <c r="AJ355" s="350">
        <v>30475.974846346598</v>
      </c>
      <c r="AK355" s="348">
        <v>5808980.5375408316</v>
      </c>
      <c r="AL355" s="369"/>
      <c r="AM355" s="350">
        <v>8171121.6280107666</v>
      </c>
      <c r="AN355" s="350">
        <v>2559190.4841590011</v>
      </c>
      <c r="AO355" s="350">
        <v>2586535.7376822764</v>
      </c>
      <c r="AP355" s="350">
        <v>2611805.0725432262</v>
      </c>
      <c r="AQ355" s="350">
        <v>2634928.229140792</v>
      </c>
      <c r="AR355" s="348">
        <v>18563581.151536062</v>
      </c>
      <c r="AS355" s="369"/>
      <c r="AT355" s="350">
        <f t="shared" si="171"/>
        <v>2493316.5397067945</v>
      </c>
      <c r="AU355" s="350">
        <f t="shared" si="154"/>
        <v>2524118.8365845801</v>
      </c>
      <c r="AV355" s="350">
        <f t="shared" si="155"/>
        <v>2552955.8657781864</v>
      </c>
      <c r="AW355" s="350">
        <f t="shared" si="156"/>
        <v>2579757.117631224</v>
      </c>
      <c r="AX355" s="350">
        <f t="shared" si="157"/>
        <v>2604452.2542944453</v>
      </c>
      <c r="AY355" s="350">
        <f t="shared" si="158"/>
        <v>12754600.613995232</v>
      </c>
      <c r="AZ355" s="365"/>
      <c r="BA355" s="377">
        <f t="shared" si="159"/>
        <v>0</v>
      </c>
      <c r="BB355" s="377">
        <f t="shared" si="160"/>
        <v>0</v>
      </c>
      <c r="BC355" s="377">
        <f t="shared" si="161"/>
        <v>0</v>
      </c>
      <c r="BD355" s="377">
        <f t="shared" si="162"/>
        <v>0</v>
      </c>
      <c r="BE355" s="377">
        <f t="shared" si="163"/>
        <v>0</v>
      </c>
      <c r="BF355" s="377">
        <f t="shared" si="164"/>
        <v>0</v>
      </c>
      <c r="BG355" s="328"/>
    </row>
    <row r="356" spans="2:59">
      <c r="B356" s="332">
        <v>341</v>
      </c>
      <c r="C356" s="350">
        <v>4648763.7258227784</v>
      </c>
      <c r="D356" s="350">
        <v>28715.287071876013</v>
      </c>
      <c r="E356" s="350">
        <v>27493.879764749203</v>
      </c>
      <c r="F356" s="350">
        <v>26239.606320516214</v>
      </c>
      <c r="G356" s="350">
        <v>24952.530805720813</v>
      </c>
      <c r="H356" s="348">
        <v>4756165.0297856405</v>
      </c>
      <c r="I356" s="369"/>
      <c r="J356" s="350">
        <v>6004142.7253288776</v>
      </c>
      <c r="K356" s="350">
        <v>1400838.5649958337</v>
      </c>
      <c r="L356" s="350">
        <v>1415293.1070335731</v>
      </c>
      <c r="M356" s="350">
        <v>1428608.1244690109</v>
      </c>
      <c r="N356" s="350">
        <v>1440745.4453716865</v>
      </c>
      <c r="O356" s="348">
        <v>11689627.967198979</v>
      </c>
      <c r="P356" s="369"/>
      <c r="Q356" s="350">
        <f t="shared" si="165"/>
        <v>1355378.9995060991</v>
      </c>
      <c r="R356" s="350">
        <f t="shared" si="166"/>
        <v>1372123.2779239577</v>
      </c>
      <c r="S356" s="350">
        <f t="shared" si="167"/>
        <v>1387799.2272688239</v>
      </c>
      <c r="T356" s="350">
        <f t="shared" si="168"/>
        <v>1402368.5181484947</v>
      </c>
      <c r="U356" s="350">
        <f t="shared" si="169"/>
        <v>1415792.9145659658</v>
      </c>
      <c r="V356" s="350">
        <f t="shared" si="170"/>
        <v>6933462.9374133386</v>
      </c>
      <c r="W356" s="365"/>
      <c r="X356" s="377">
        <f t="shared" si="148"/>
        <v>0</v>
      </c>
      <c r="Y356" s="377">
        <f t="shared" si="149"/>
        <v>0</v>
      </c>
      <c r="Z356" s="377">
        <f t="shared" si="150"/>
        <v>0</v>
      </c>
      <c r="AA356" s="377">
        <f t="shared" si="151"/>
        <v>0</v>
      </c>
      <c r="AB356" s="377">
        <f t="shared" si="152"/>
        <v>0</v>
      </c>
      <c r="AC356" s="377">
        <f t="shared" si="153"/>
        <v>0</v>
      </c>
      <c r="AD356" s="376"/>
      <c r="AE356" s="332">
        <v>341</v>
      </c>
      <c r="AF356" s="350">
        <v>6476553.3145979661</v>
      </c>
      <c r="AG356" s="350">
        <v>40005.493639509099</v>
      </c>
      <c r="AH356" s="350">
        <v>38303.856384963867</v>
      </c>
      <c r="AI356" s="350">
        <v>36556.43076564603</v>
      </c>
      <c r="AJ356" s="350">
        <v>34763.30603762644</v>
      </c>
      <c r="AK356" s="348">
        <v>6626182.4014257109</v>
      </c>
      <c r="AL356" s="369"/>
      <c r="AM356" s="350">
        <v>7697843.2889434677</v>
      </c>
      <c r="AN356" s="350">
        <v>1276383.2178814085</v>
      </c>
      <c r="AO356" s="350">
        <v>1288806.6923337816</v>
      </c>
      <c r="AP356" s="350">
        <v>1300187.2028055114</v>
      </c>
      <c r="AQ356" s="350">
        <v>1310490.3852818022</v>
      </c>
      <c r="AR356" s="348">
        <v>12873710.787245974</v>
      </c>
      <c r="AS356" s="369"/>
      <c r="AT356" s="350">
        <f t="shared" si="171"/>
        <v>1221289.9743455015</v>
      </c>
      <c r="AU356" s="350">
        <f t="shared" si="154"/>
        <v>1236377.7242418993</v>
      </c>
      <c r="AV356" s="350">
        <f t="shared" si="155"/>
        <v>1250502.8359488177</v>
      </c>
      <c r="AW356" s="350">
        <f t="shared" si="156"/>
        <v>1263630.7720398654</v>
      </c>
      <c r="AX356" s="350">
        <f t="shared" si="157"/>
        <v>1275727.0792441757</v>
      </c>
      <c r="AY356" s="350">
        <f t="shared" si="158"/>
        <v>6247528.3858202631</v>
      </c>
      <c r="AZ356" s="365"/>
      <c r="BA356" s="377">
        <f t="shared" si="159"/>
        <v>0</v>
      </c>
      <c r="BB356" s="377">
        <f t="shared" si="160"/>
        <v>0</v>
      </c>
      <c r="BC356" s="377">
        <f t="shared" si="161"/>
        <v>0</v>
      </c>
      <c r="BD356" s="377">
        <f t="shared" si="162"/>
        <v>0</v>
      </c>
      <c r="BE356" s="377">
        <f t="shared" si="163"/>
        <v>0</v>
      </c>
      <c r="BF356" s="377">
        <f t="shared" si="164"/>
        <v>0</v>
      </c>
      <c r="BG356" s="328"/>
    </row>
    <row r="357" spans="2:59">
      <c r="B357" s="332">
        <v>342</v>
      </c>
      <c r="C357" s="350">
        <v>5025943.3251336543</v>
      </c>
      <c r="D357" s="350">
        <v>31045.115196222425</v>
      </c>
      <c r="E357" s="350">
        <v>29724.608441185606</v>
      </c>
      <c r="F357" s="350">
        <v>28368.568939775738</v>
      </c>
      <c r="G357" s="350">
        <v>26977.065956607261</v>
      </c>
      <c r="H357" s="348">
        <v>5142058.6836674456</v>
      </c>
      <c r="I357" s="369"/>
      <c r="J357" s="350">
        <v>6935608.8662705328</v>
      </c>
      <c r="K357" s="350">
        <v>1964302.5605292241</v>
      </c>
      <c r="L357" s="350">
        <v>1985068.7323337691</v>
      </c>
      <c r="M357" s="350">
        <v>2004240.1414366562</v>
      </c>
      <c r="N357" s="350">
        <v>2021762.9843732254</v>
      </c>
      <c r="O357" s="348">
        <v>14910983.284943409</v>
      </c>
      <c r="P357" s="369"/>
      <c r="Q357" s="350">
        <f t="shared" si="165"/>
        <v>1909665.5411368785</v>
      </c>
      <c r="R357" s="350">
        <f t="shared" si="166"/>
        <v>1933257.4453330017</v>
      </c>
      <c r="S357" s="350">
        <f t="shared" si="167"/>
        <v>1955344.1238925834</v>
      </c>
      <c r="T357" s="350">
        <f t="shared" si="168"/>
        <v>1975871.5724968805</v>
      </c>
      <c r="U357" s="350">
        <f t="shared" si="169"/>
        <v>1994785.9184166181</v>
      </c>
      <c r="V357" s="350">
        <f t="shared" si="170"/>
        <v>9768924.6012759637</v>
      </c>
      <c r="W357" s="365"/>
      <c r="X357" s="377">
        <f t="shared" si="148"/>
        <v>0</v>
      </c>
      <c r="Y357" s="377">
        <f t="shared" si="149"/>
        <v>0</v>
      </c>
      <c r="Z357" s="377">
        <f t="shared" si="150"/>
        <v>0</v>
      </c>
      <c r="AA357" s="377">
        <f t="shared" si="151"/>
        <v>0</v>
      </c>
      <c r="AB357" s="377">
        <f t="shared" si="152"/>
        <v>0</v>
      </c>
      <c r="AC357" s="377">
        <f t="shared" si="153"/>
        <v>0</v>
      </c>
      <c r="AD357" s="376"/>
      <c r="AE357" s="332">
        <v>342</v>
      </c>
      <c r="AF357" s="350">
        <v>5618051.847916727</v>
      </c>
      <c r="AG357" s="350">
        <v>34702.553434045461</v>
      </c>
      <c r="AH357" s="350">
        <v>33226.477216028252</v>
      </c>
      <c r="AI357" s="350">
        <v>31710.682123662573</v>
      </c>
      <c r="AJ357" s="350">
        <v>30155.245581655727</v>
      </c>
      <c r="AK357" s="348">
        <v>5747846.8062721193</v>
      </c>
      <c r="AL357" s="369"/>
      <c r="AM357" s="350">
        <v>8100897.3344346918</v>
      </c>
      <c r="AN357" s="350">
        <v>2548220.9780083979</v>
      </c>
      <c r="AO357" s="350">
        <v>2575460.8255961724</v>
      </c>
      <c r="AP357" s="350">
        <v>2600633.7265183767</v>
      </c>
      <c r="AQ357" s="350">
        <v>2623669.7157447324</v>
      </c>
      <c r="AR357" s="348">
        <v>18448882.580302373</v>
      </c>
      <c r="AS357" s="369"/>
      <c r="AT357" s="350">
        <f t="shared" si="171"/>
        <v>2482845.4865179649</v>
      </c>
      <c r="AU357" s="350">
        <f t="shared" si="154"/>
        <v>2513518.4245743523</v>
      </c>
      <c r="AV357" s="350">
        <f t="shared" si="155"/>
        <v>2542234.3483801442</v>
      </c>
      <c r="AW357" s="350">
        <f t="shared" si="156"/>
        <v>2568923.0443947143</v>
      </c>
      <c r="AX357" s="350">
        <f t="shared" si="157"/>
        <v>2593514.4701630767</v>
      </c>
      <c r="AY357" s="350">
        <f t="shared" si="158"/>
        <v>12701035.774030253</v>
      </c>
      <c r="AZ357" s="365"/>
      <c r="BA357" s="377">
        <f t="shared" si="159"/>
        <v>0</v>
      </c>
      <c r="BB357" s="377">
        <f t="shared" si="160"/>
        <v>0</v>
      </c>
      <c r="BC357" s="377">
        <f t="shared" si="161"/>
        <v>0</v>
      </c>
      <c r="BD357" s="377">
        <f t="shared" si="162"/>
        <v>0</v>
      </c>
      <c r="BE357" s="377">
        <f t="shared" si="163"/>
        <v>0</v>
      </c>
      <c r="BF357" s="377">
        <f t="shared" si="164"/>
        <v>0</v>
      </c>
      <c r="BG357" s="328"/>
    </row>
    <row r="358" spans="2:59">
      <c r="B358" s="332">
        <v>343</v>
      </c>
      <c r="C358" s="350">
        <v>5617547.8384112446</v>
      </c>
      <c r="D358" s="350">
        <v>34699.44018103891</v>
      </c>
      <c r="E358" s="350">
        <v>33223.496385520048</v>
      </c>
      <c r="F358" s="350">
        <v>31707.837278929223</v>
      </c>
      <c r="G358" s="350">
        <v>30152.540279029938</v>
      </c>
      <c r="H358" s="348">
        <v>5747331.1525357636</v>
      </c>
      <c r="I358" s="369"/>
      <c r="J358" s="350">
        <v>7708707.8961703498</v>
      </c>
      <c r="K358" s="350">
        <v>2151693.5755200544</v>
      </c>
      <c r="L358" s="350">
        <v>2174403.4270993997</v>
      </c>
      <c r="M358" s="350">
        <v>2195366.1442761524</v>
      </c>
      <c r="N358" s="350">
        <v>2214522.8116773292</v>
      </c>
      <c r="O358" s="348">
        <v>16444693.854743287</v>
      </c>
      <c r="P358" s="369"/>
      <c r="Q358" s="350">
        <f t="shared" si="165"/>
        <v>2091160.0577591052</v>
      </c>
      <c r="R358" s="350">
        <f t="shared" si="166"/>
        <v>2116994.1353390156</v>
      </c>
      <c r="S358" s="350">
        <f t="shared" si="167"/>
        <v>2141179.9307138799</v>
      </c>
      <c r="T358" s="350">
        <f t="shared" si="168"/>
        <v>2163658.3069972233</v>
      </c>
      <c r="U358" s="350">
        <f t="shared" si="169"/>
        <v>2184370.2713982994</v>
      </c>
      <c r="V358" s="350">
        <f t="shared" si="170"/>
        <v>10697362.702207524</v>
      </c>
      <c r="W358" s="365"/>
      <c r="X358" s="377">
        <f t="shared" si="148"/>
        <v>0</v>
      </c>
      <c r="Y358" s="377">
        <f t="shared" si="149"/>
        <v>0</v>
      </c>
      <c r="Z358" s="377">
        <f t="shared" si="150"/>
        <v>0</v>
      </c>
      <c r="AA358" s="377">
        <f t="shared" si="151"/>
        <v>0</v>
      </c>
      <c r="AB358" s="377">
        <f t="shared" si="152"/>
        <v>0</v>
      </c>
      <c r="AC358" s="377">
        <f t="shared" si="153"/>
        <v>0</v>
      </c>
      <c r="AD358" s="376"/>
      <c r="AE358" s="332">
        <v>343</v>
      </c>
      <c r="AF358" s="350">
        <v>4530067.8063271018</v>
      </c>
      <c r="AG358" s="350">
        <v>27982.105606092766</v>
      </c>
      <c r="AH358" s="350">
        <v>26791.884238271919</v>
      </c>
      <c r="AI358" s="350">
        <v>25569.635897601423</v>
      </c>
      <c r="AJ358" s="350">
        <v>24315.423014830412</v>
      </c>
      <c r="AK358" s="348">
        <v>4634726.8550838986</v>
      </c>
      <c r="AL358" s="369"/>
      <c r="AM358" s="350">
        <v>6760855.9719247203</v>
      </c>
      <c r="AN358" s="350">
        <v>2286329.3068311205</v>
      </c>
      <c r="AO358" s="350">
        <v>2310939.7820181232</v>
      </c>
      <c r="AP358" s="350">
        <v>2333696.8056651093</v>
      </c>
      <c r="AQ358" s="350">
        <v>2354537.5084253419</v>
      </c>
      <c r="AR358" s="348">
        <v>16046359.374864414</v>
      </c>
      <c r="AS358" s="369"/>
      <c r="AT358" s="350">
        <f t="shared" si="171"/>
        <v>2230788.1655976186</v>
      </c>
      <c r="AU358" s="350">
        <f t="shared" si="154"/>
        <v>2258347.2012250279</v>
      </c>
      <c r="AV358" s="350">
        <f t="shared" si="155"/>
        <v>2284147.8977798512</v>
      </c>
      <c r="AW358" s="350">
        <f t="shared" si="156"/>
        <v>2308127.1697675078</v>
      </c>
      <c r="AX358" s="350">
        <f t="shared" si="157"/>
        <v>2330222.0854105116</v>
      </c>
      <c r="AY358" s="350">
        <f t="shared" si="158"/>
        <v>11411632.519780517</v>
      </c>
      <c r="AZ358" s="365"/>
      <c r="BA358" s="377">
        <f t="shared" si="159"/>
        <v>0</v>
      </c>
      <c r="BB358" s="377">
        <f t="shared" si="160"/>
        <v>0</v>
      </c>
      <c r="BC358" s="377">
        <f t="shared" si="161"/>
        <v>0</v>
      </c>
      <c r="BD358" s="377">
        <f t="shared" si="162"/>
        <v>0</v>
      </c>
      <c r="BE358" s="377">
        <f t="shared" si="163"/>
        <v>0</v>
      </c>
      <c r="BF358" s="377">
        <f t="shared" si="164"/>
        <v>0</v>
      </c>
      <c r="BG358" s="328"/>
    </row>
    <row r="359" spans="2:59">
      <c r="B359" s="332">
        <v>344</v>
      </c>
      <c r="C359" s="350">
        <v>6476081.3515733844</v>
      </c>
      <c r="D359" s="350">
        <v>40002.578336746148</v>
      </c>
      <c r="E359" s="350">
        <v>38301.06508486464</v>
      </c>
      <c r="F359" s="350">
        <v>36553.76680492553</v>
      </c>
      <c r="G359" s="350">
        <v>34760.7727464977</v>
      </c>
      <c r="H359" s="348">
        <v>6625699.5345464181</v>
      </c>
      <c r="I359" s="369"/>
      <c r="J359" s="350">
        <v>8615067.4584657941</v>
      </c>
      <c r="K359" s="350">
        <v>2205413.6032179887</v>
      </c>
      <c r="L359" s="350">
        <v>2228451.0285753375</v>
      </c>
      <c r="M359" s="350">
        <v>2249696.2001434937</v>
      </c>
      <c r="N359" s="350">
        <v>2269088.865181786</v>
      </c>
      <c r="O359" s="348">
        <v>17567717.155584399</v>
      </c>
      <c r="P359" s="369"/>
      <c r="Q359" s="350">
        <f t="shared" si="165"/>
        <v>2138986.1068924097</v>
      </c>
      <c r="R359" s="350">
        <f t="shared" si="166"/>
        <v>2165411.0248812428</v>
      </c>
      <c r="S359" s="350">
        <f t="shared" si="167"/>
        <v>2190149.9634904726</v>
      </c>
      <c r="T359" s="350">
        <f t="shared" si="168"/>
        <v>2213142.4333385681</v>
      </c>
      <c r="U359" s="350">
        <f t="shared" si="169"/>
        <v>2234328.0924352882</v>
      </c>
      <c r="V359" s="350">
        <f t="shared" si="170"/>
        <v>10942017.621037981</v>
      </c>
      <c r="W359" s="365"/>
      <c r="X359" s="377">
        <f t="shared" si="148"/>
        <v>0</v>
      </c>
      <c r="Y359" s="377">
        <f t="shared" si="149"/>
        <v>0</v>
      </c>
      <c r="Z359" s="377">
        <f t="shared" si="150"/>
        <v>0</v>
      </c>
      <c r="AA359" s="377">
        <f t="shared" si="151"/>
        <v>0</v>
      </c>
      <c r="AB359" s="377">
        <f t="shared" si="152"/>
        <v>0</v>
      </c>
      <c r="AC359" s="377">
        <f t="shared" si="153"/>
        <v>0</v>
      </c>
      <c r="AD359" s="376"/>
      <c r="AE359" s="332">
        <v>344</v>
      </c>
      <c r="AF359" s="350">
        <v>7773254.104347134</v>
      </c>
      <c r="AG359" s="350">
        <v>48015.179143021902</v>
      </c>
      <c r="AH359" s="350">
        <v>45972.849198296564</v>
      </c>
      <c r="AI359" s="350">
        <v>43875.563387835566</v>
      </c>
      <c r="AJ359" s="350">
        <v>41723.428838080763</v>
      </c>
      <c r="AK359" s="348">
        <v>7952841.1249143686</v>
      </c>
      <c r="AL359" s="369"/>
      <c r="AM359" s="350">
        <v>10120763.638612639</v>
      </c>
      <c r="AN359" s="350">
        <v>2424525.7184740049</v>
      </c>
      <c r="AO359" s="350">
        <v>2449634.0530734006</v>
      </c>
      <c r="AP359" s="350">
        <v>2472770.7049733363</v>
      </c>
      <c r="AQ359" s="350">
        <v>2493869.5567478891</v>
      </c>
      <c r="AR359" s="348">
        <v>19961563.671881273</v>
      </c>
      <c r="AS359" s="369"/>
      <c r="AT359" s="350">
        <f t="shared" si="171"/>
        <v>2347509.5342655051</v>
      </c>
      <c r="AU359" s="350">
        <f t="shared" si="154"/>
        <v>2376510.5393309831</v>
      </c>
      <c r="AV359" s="350">
        <f t="shared" si="155"/>
        <v>2403661.203875104</v>
      </c>
      <c r="AW359" s="350">
        <f t="shared" si="156"/>
        <v>2428895.1415855009</v>
      </c>
      <c r="AX359" s="350">
        <f t="shared" si="157"/>
        <v>2452146.1279098084</v>
      </c>
      <c r="AY359" s="350">
        <f t="shared" si="158"/>
        <v>12008722.546966905</v>
      </c>
      <c r="AZ359" s="365"/>
      <c r="BA359" s="377">
        <f t="shared" si="159"/>
        <v>0</v>
      </c>
      <c r="BB359" s="377">
        <f t="shared" si="160"/>
        <v>0</v>
      </c>
      <c r="BC359" s="377">
        <f t="shared" si="161"/>
        <v>0</v>
      </c>
      <c r="BD359" s="377">
        <f t="shared" si="162"/>
        <v>0</v>
      </c>
      <c r="BE359" s="377">
        <f t="shared" si="163"/>
        <v>0</v>
      </c>
      <c r="BF359" s="377">
        <f t="shared" si="164"/>
        <v>0</v>
      </c>
      <c r="BG359" s="328"/>
    </row>
    <row r="360" spans="2:59">
      <c r="B360" s="332">
        <v>345</v>
      </c>
      <c r="C360" s="350">
        <v>5441909.0284440834</v>
      </c>
      <c r="D360" s="350">
        <v>33614.524029859029</v>
      </c>
      <c r="E360" s="350">
        <v>32184.727239984135</v>
      </c>
      <c r="F360" s="350">
        <v>30716.4568819132</v>
      </c>
      <c r="G360" s="350">
        <v>29209.787952848579</v>
      </c>
      <c r="H360" s="348">
        <v>5567634.5245486889</v>
      </c>
      <c r="I360" s="369"/>
      <c r="J360" s="350">
        <v>7256355.9833909366</v>
      </c>
      <c r="K360" s="350">
        <v>1870477.0579395976</v>
      </c>
      <c r="L360" s="350">
        <v>1890032.6671247729</v>
      </c>
      <c r="M360" s="350">
        <v>1908068.3181657973</v>
      </c>
      <c r="N360" s="350">
        <v>1924532.8994999852</v>
      </c>
      <c r="O360" s="348">
        <v>14849466.92612109</v>
      </c>
      <c r="P360" s="369"/>
      <c r="Q360" s="350">
        <f t="shared" si="165"/>
        <v>1814446.9549468532</v>
      </c>
      <c r="R360" s="350">
        <f t="shared" si="166"/>
        <v>1836862.5339097385</v>
      </c>
      <c r="S360" s="350">
        <f t="shared" si="167"/>
        <v>1857847.9398847888</v>
      </c>
      <c r="T360" s="350">
        <f t="shared" si="168"/>
        <v>1877351.8612838842</v>
      </c>
      <c r="U360" s="350">
        <f t="shared" si="169"/>
        <v>1895323.1115471367</v>
      </c>
      <c r="V360" s="350">
        <f t="shared" si="170"/>
        <v>9281832.4015724007</v>
      </c>
      <c r="W360" s="365"/>
      <c r="X360" s="377">
        <f t="shared" si="148"/>
        <v>0</v>
      </c>
      <c r="Y360" s="377">
        <f t="shared" si="149"/>
        <v>0</v>
      </c>
      <c r="Z360" s="377">
        <f t="shared" si="150"/>
        <v>0</v>
      </c>
      <c r="AA360" s="377">
        <f t="shared" si="151"/>
        <v>0</v>
      </c>
      <c r="AB360" s="377">
        <f t="shared" si="152"/>
        <v>0</v>
      </c>
      <c r="AC360" s="377">
        <f t="shared" si="153"/>
        <v>0</v>
      </c>
      <c r="AD360" s="376"/>
      <c r="AE360" s="332">
        <v>345</v>
      </c>
      <c r="AF360" s="350">
        <v>7328303.5335832853</v>
      </c>
      <c r="AG360" s="350">
        <v>45266.731571615615</v>
      </c>
      <c r="AH360" s="350">
        <v>43341.307090470254</v>
      </c>
      <c r="AI360" s="350">
        <v>41364.072484548975</v>
      </c>
      <c r="AJ360" s="350">
        <v>39335.128748243238</v>
      </c>
      <c r="AK360" s="348">
        <v>7497610.7734781643</v>
      </c>
      <c r="AL360" s="369"/>
      <c r="AM360" s="350">
        <v>10385614.011352293</v>
      </c>
      <c r="AN360" s="350">
        <v>3140347.0566440388</v>
      </c>
      <c r="AO360" s="350">
        <v>3173781.6637101565</v>
      </c>
      <c r="AP360" s="350">
        <v>3204668.1857924461</v>
      </c>
      <c r="AQ360" s="350">
        <v>3232920.4754527141</v>
      </c>
      <c r="AR360" s="348">
        <v>23137331.392951649</v>
      </c>
      <c r="AS360" s="369"/>
      <c r="AT360" s="350">
        <f t="shared" si="171"/>
        <v>3057310.4777690079</v>
      </c>
      <c r="AU360" s="350">
        <f t="shared" si="154"/>
        <v>3095080.3250724231</v>
      </c>
      <c r="AV360" s="350">
        <f t="shared" si="155"/>
        <v>3130440.3566196864</v>
      </c>
      <c r="AW360" s="350">
        <f t="shared" si="156"/>
        <v>3163304.113307897</v>
      </c>
      <c r="AX360" s="350">
        <f t="shared" si="157"/>
        <v>3193585.3467044709</v>
      </c>
      <c r="AY360" s="350">
        <f t="shared" si="158"/>
        <v>15639720.619473483</v>
      </c>
      <c r="AZ360" s="365"/>
      <c r="BA360" s="377">
        <f t="shared" si="159"/>
        <v>0</v>
      </c>
      <c r="BB360" s="377">
        <f t="shared" si="160"/>
        <v>0</v>
      </c>
      <c r="BC360" s="377">
        <f t="shared" si="161"/>
        <v>0</v>
      </c>
      <c r="BD360" s="377">
        <f t="shared" si="162"/>
        <v>0</v>
      </c>
      <c r="BE360" s="377">
        <f t="shared" si="163"/>
        <v>0</v>
      </c>
      <c r="BF360" s="377">
        <f t="shared" si="164"/>
        <v>0</v>
      </c>
      <c r="BG360" s="328"/>
    </row>
    <row r="361" spans="2:59">
      <c r="B361" s="332">
        <v>346</v>
      </c>
      <c r="C361" s="350">
        <v>6093848.3591824537</v>
      </c>
      <c r="D361" s="350">
        <v>37641.535540812525</v>
      </c>
      <c r="E361" s="350">
        <v>36040.449455694485</v>
      </c>
      <c r="F361" s="350">
        <v>34396.280678594587</v>
      </c>
      <c r="G361" s="350">
        <v>32709.113191373541</v>
      </c>
      <c r="H361" s="348">
        <v>6234635.7380489288</v>
      </c>
      <c r="I361" s="369"/>
      <c r="J361" s="350">
        <v>7774188.0325280055</v>
      </c>
      <c r="K361" s="350">
        <v>1738740.0337887132</v>
      </c>
      <c r="L361" s="350">
        <v>1756573.304891611</v>
      </c>
      <c r="M361" s="350">
        <v>1772991.5064821644</v>
      </c>
      <c r="N361" s="350">
        <v>1787947.3192235099</v>
      </c>
      <c r="O361" s="348">
        <v>14830440.196914004</v>
      </c>
      <c r="P361" s="369"/>
      <c r="Q361" s="350">
        <f t="shared" si="165"/>
        <v>1680339.6733455518</v>
      </c>
      <c r="R361" s="350">
        <f t="shared" si="166"/>
        <v>1701098.4982479007</v>
      </c>
      <c r="S361" s="350">
        <f t="shared" si="167"/>
        <v>1720532.8554359165</v>
      </c>
      <c r="T361" s="350">
        <f t="shared" si="168"/>
        <v>1738595.2258035699</v>
      </c>
      <c r="U361" s="350">
        <f t="shared" si="169"/>
        <v>1755238.2060321362</v>
      </c>
      <c r="V361" s="350">
        <f t="shared" si="170"/>
        <v>8595804.4588650763</v>
      </c>
      <c r="W361" s="365"/>
      <c r="X361" s="377">
        <f t="shared" si="148"/>
        <v>0</v>
      </c>
      <c r="Y361" s="377">
        <f t="shared" si="149"/>
        <v>0</v>
      </c>
      <c r="Z361" s="377">
        <f t="shared" si="150"/>
        <v>0</v>
      </c>
      <c r="AA361" s="377">
        <f t="shared" si="151"/>
        <v>0</v>
      </c>
      <c r="AB361" s="377">
        <f t="shared" si="152"/>
        <v>0</v>
      </c>
      <c r="AC361" s="377">
        <f t="shared" si="153"/>
        <v>0</v>
      </c>
      <c r="AD361" s="376"/>
      <c r="AE361" s="332">
        <v>346</v>
      </c>
      <c r="AF361" s="350">
        <v>5375213.8025496164</v>
      </c>
      <c r="AG361" s="350">
        <v>33202.549433849985</v>
      </c>
      <c r="AH361" s="350">
        <v>31790.276020312089</v>
      </c>
      <c r="AI361" s="350">
        <v>30340.000564890706</v>
      </c>
      <c r="AJ361" s="350">
        <v>28851.797145640801</v>
      </c>
      <c r="AK361" s="348">
        <v>5499398.4257143093</v>
      </c>
      <c r="AL361" s="369"/>
      <c r="AM361" s="350">
        <v>7882478.7848647032</v>
      </c>
      <c r="AN361" s="350">
        <v>2571442.1469278131</v>
      </c>
      <c r="AO361" s="350">
        <v>2599028.2266474208</v>
      </c>
      <c r="AP361" s="350">
        <v>2624529.1381685343</v>
      </c>
      <c r="AQ361" s="350">
        <v>2647874.2242266256</v>
      </c>
      <c r="AR361" s="348">
        <v>18325352.520835098</v>
      </c>
      <c r="AS361" s="369"/>
      <c r="AT361" s="350">
        <f t="shared" si="171"/>
        <v>2507264.9823150868</v>
      </c>
      <c r="AU361" s="350">
        <f t="shared" si="154"/>
        <v>2538239.5974939633</v>
      </c>
      <c r="AV361" s="350">
        <f t="shared" si="155"/>
        <v>2567237.9506271086</v>
      </c>
      <c r="AW361" s="350">
        <f t="shared" si="156"/>
        <v>2594189.1376036434</v>
      </c>
      <c r="AX361" s="350">
        <f t="shared" si="157"/>
        <v>2619022.4270809847</v>
      </c>
      <c r="AY361" s="350">
        <f t="shared" si="158"/>
        <v>12825954.095120788</v>
      </c>
      <c r="AZ361" s="365"/>
      <c r="BA361" s="377">
        <f t="shared" si="159"/>
        <v>0</v>
      </c>
      <c r="BB361" s="377">
        <f t="shared" si="160"/>
        <v>0</v>
      </c>
      <c r="BC361" s="377">
        <f t="shared" si="161"/>
        <v>0</v>
      </c>
      <c r="BD361" s="377">
        <f t="shared" si="162"/>
        <v>0</v>
      </c>
      <c r="BE361" s="377">
        <f t="shared" si="163"/>
        <v>0</v>
      </c>
      <c r="BF361" s="377">
        <f t="shared" si="164"/>
        <v>0</v>
      </c>
      <c r="BG361" s="328"/>
    </row>
    <row r="362" spans="2:59">
      <c r="B362" s="332">
        <v>347</v>
      </c>
      <c r="C362" s="350">
        <v>5355849.388585222</v>
      </c>
      <c r="D362" s="350">
        <v>33082.935975571905</v>
      </c>
      <c r="E362" s="350">
        <v>31675.750331192387</v>
      </c>
      <c r="F362" s="350">
        <v>30230.699548744382</v>
      </c>
      <c r="G362" s="350">
        <v>28747.857439414285</v>
      </c>
      <c r="H362" s="348">
        <v>5479586.6318801455</v>
      </c>
      <c r="I362" s="369"/>
      <c r="J362" s="350">
        <v>7850688.3957483191</v>
      </c>
      <c r="K362" s="350">
        <v>2558743.048496576</v>
      </c>
      <c r="L362" s="350">
        <v>2586190.5004953491</v>
      </c>
      <c r="M362" s="350">
        <v>2611563.0669303332</v>
      </c>
      <c r="N362" s="350">
        <v>2634790.4408138269</v>
      </c>
      <c r="O362" s="348">
        <v>18241975.452484403</v>
      </c>
      <c r="P362" s="369"/>
      <c r="Q362" s="350">
        <f t="shared" si="165"/>
        <v>2494839.0071630972</v>
      </c>
      <c r="R362" s="350">
        <f t="shared" si="166"/>
        <v>2525660.1125210039</v>
      </c>
      <c r="S362" s="350">
        <f t="shared" si="167"/>
        <v>2554514.7501641568</v>
      </c>
      <c r="T362" s="350">
        <f t="shared" si="168"/>
        <v>2581332.3673815886</v>
      </c>
      <c r="U362" s="350">
        <f t="shared" si="169"/>
        <v>2606042.5833744127</v>
      </c>
      <c r="V362" s="350">
        <f t="shared" si="170"/>
        <v>12762388.820604257</v>
      </c>
      <c r="W362" s="365"/>
      <c r="X362" s="377">
        <f t="shared" si="148"/>
        <v>0</v>
      </c>
      <c r="Y362" s="377">
        <f t="shared" si="149"/>
        <v>0</v>
      </c>
      <c r="Z362" s="377">
        <f t="shared" si="150"/>
        <v>0</v>
      </c>
      <c r="AA362" s="377">
        <f t="shared" si="151"/>
        <v>0</v>
      </c>
      <c r="AB362" s="377">
        <f t="shared" si="152"/>
        <v>0</v>
      </c>
      <c r="AC362" s="377">
        <f t="shared" si="153"/>
        <v>0</v>
      </c>
      <c r="AD362" s="376"/>
      <c r="AE362" s="332">
        <v>347</v>
      </c>
      <c r="AF362" s="350">
        <v>4870791.8650449291</v>
      </c>
      <c r="AG362" s="350">
        <v>30086.748847913736</v>
      </c>
      <c r="AH362" s="350">
        <v>28807.006291325222</v>
      </c>
      <c r="AI362" s="350">
        <v>27492.827888414733</v>
      </c>
      <c r="AJ362" s="350">
        <v>26144.280765587595</v>
      </c>
      <c r="AK362" s="348">
        <v>4983322.7288381709</v>
      </c>
      <c r="AL362" s="369"/>
      <c r="AM362" s="350">
        <v>6725726.4989192439</v>
      </c>
      <c r="AN362" s="350">
        <v>1907937.1442677733</v>
      </c>
      <c r="AO362" s="350">
        <v>1928111.0773024741</v>
      </c>
      <c r="AP362" s="350">
        <v>1946736.0319786058</v>
      </c>
      <c r="AQ362" s="350">
        <v>1963759.7466826923</v>
      </c>
      <c r="AR362" s="348">
        <v>14472270.499150788</v>
      </c>
      <c r="AS362" s="369"/>
      <c r="AT362" s="350">
        <f t="shared" si="171"/>
        <v>1854934.6338743148</v>
      </c>
      <c r="AU362" s="350">
        <f t="shared" si="154"/>
        <v>1877850.3954198596</v>
      </c>
      <c r="AV362" s="350">
        <f t="shared" si="155"/>
        <v>1899304.0710111489</v>
      </c>
      <c r="AW362" s="350">
        <f t="shared" si="156"/>
        <v>1919243.2040901911</v>
      </c>
      <c r="AX362" s="350">
        <f t="shared" si="157"/>
        <v>1937615.4659171046</v>
      </c>
      <c r="AY362" s="350">
        <f t="shared" si="158"/>
        <v>9488947.7703126185</v>
      </c>
      <c r="AZ362" s="365"/>
      <c r="BA362" s="377">
        <f t="shared" si="159"/>
        <v>0</v>
      </c>
      <c r="BB362" s="377">
        <f t="shared" si="160"/>
        <v>0</v>
      </c>
      <c r="BC362" s="377">
        <f t="shared" si="161"/>
        <v>0</v>
      </c>
      <c r="BD362" s="377">
        <f t="shared" si="162"/>
        <v>0</v>
      </c>
      <c r="BE362" s="377">
        <f t="shared" si="163"/>
        <v>0</v>
      </c>
      <c r="BF362" s="377">
        <f t="shared" si="164"/>
        <v>0</v>
      </c>
      <c r="BG362" s="328"/>
    </row>
    <row r="363" spans="2:59">
      <c r="B363" s="332">
        <v>348</v>
      </c>
      <c r="C363" s="350">
        <v>5426152.4611110408</v>
      </c>
      <c r="D363" s="350">
        <v>33517.196142076755</v>
      </c>
      <c r="E363" s="350">
        <v>32091.539202624164</v>
      </c>
      <c r="F363" s="350">
        <v>30627.520091798193</v>
      </c>
      <c r="G363" s="350">
        <v>29125.213589650262</v>
      </c>
      <c r="H363" s="348">
        <v>5551513.93013719</v>
      </c>
      <c r="I363" s="369"/>
      <c r="J363" s="350">
        <v>7591476.4290182423</v>
      </c>
      <c r="K363" s="350">
        <v>2225591.4585401285</v>
      </c>
      <c r="L363" s="350">
        <v>2249209.3568339404</v>
      </c>
      <c r="M363" s="350">
        <v>2271020.9194966685</v>
      </c>
      <c r="N363" s="350">
        <v>2290965.1363123739</v>
      </c>
      <c r="O363" s="348">
        <v>16628263.300201353</v>
      </c>
      <c r="P363" s="369"/>
      <c r="Q363" s="350">
        <f t="shared" si="165"/>
        <v>2165323.9679072015</v>
      </c>
      <c r="R363" s="350">
        <f t="shared" si="166"/>
        <v>2192074.2623980516</v>
      </c>
      <c r="S363" s="350">
        <f t="shared" si="167"/>
        <v>2217117.8176313164</v>
      </c>
      <c r="T363" s="350">
        <f t="shared" si="168"/>
        <v>2240393.3994048703</v>
      </c>
      <c r="U363" s="350">
        <f t="shared" si="169"/>
        <v>2261839.9227227238</v>
      </c>
      <c r="V363" s="350">
        <f t="shared" si="170"/>
        <v>11076749.370064162</v>
      </c>
      <c r="W363" s="365"/>
      <c r="X363" s="377">
        <f t="shared" si="148"/>
        <v>0</v>
      </c>
      <c r="Y363" s="377">
        <f t="shared" si="149"/>
        <v>0</v>
      </c>
      <c r="Z363" s="377">
        <f t="shared" si="150"/>
        <v>0</v>
      </c>
      <c r="AA363" s="377">
        <f t="shared" si="151"/>
        <v>0</v>
      </c>
      <c r="AB363" s="377">
        <f t="shared" si="152"/>
        <v>0</v>
      </c>
      <c r="AC363" s="377">
        <f t="shared" si="153"/>
        <v>0</v>
      </c>
      <c r="AD363" s="376"/>
      <c r="AE363" s="332">
        <v>348</v>
      </c>
      <c r="AF363" s="350">
        <v>6125181.2967992332</v>
      </c>
      <c r="AG363" s="350">
        <v>37835.078244106713</v>
      </c>
      <c r="AH363" s="350">
        <v>36225.759802771136</v>
      </c>
      <c r="AI363" s="350">
        <v>34573.137149781025</v>
      </c>
      <c r="AJ363" s="350">
        <v>32877.294698809703</v>
      </c>
      <c r="AK363" s="348">
        <v>6266692.5666947011</v>
      </c>
      <c r="AL363" s="369"/>
      <c r="AM363" s="350">
        <v>8802724.6183194965</v>
      </c>
      <c r="AN363" s="350">
        <v>2748456.6242814581</v>
      </c>
      <c r="AO363" s="350">
        <v>2777815.0524941115</v>
      </c>
      <c r="AP363" s="350">
        <v>2804943.9791408787</v>
      </c>
      <c r="AQ363" s="350">
        <v>2829767.9536460079</v>
      </c>
      <c r="AR363" s="348">
        <v>19963708.227881953</v>
      </c>
      <c r="AS363" s="369"/>
      <c r="AT363" s="350">
        <f t="shared" si="171"/>
        <v>2677543.3215202633</v>
      </c>
      <c r="AU363" s="350">
        <f t="shared" si="154"/>
        <v>2710621.5460373512</v>
      </c>
      <c r="AV363" s="350">
        <f t="shared" si="155"/>
        <v>2741589.2926913402</v>
      </c>
      <c r="AW363" s="350">
        <f t="shared" si="156"/>
        <v>2770370.8419910977</v>
      </c>
      <c r="AX363" s="350">
        <f t="shared" si="157"/>
        <v>2796890.6589471982</v>
      </c>
      <c r="AY363" s="350">
        <f t="shared" si="158"/>
        <v>13697015.661187252</v>
      </c>
      <c r="AZ363" s="365"/>
      <c r="BA363" s="377">
        <f t="shared" si="159"/>
        <v>0</v>
      </c>
      <c r="BB363" s="377">
        <f t="shared" si="160"/>
        <v>0</v>
      </c>
      <c r="BC363" s="377">
        <f t="shared" si="161"/>
        <v>0</v>
      </c>
      <c r="BD363" s="377">
        <f t="shared" si="162"/>
        <v>0</v>
      </c>
      <c r="BE363" s="377">
        <f t="shared" si="163"/>
        <v>0</v>
      </c>
      <c r="BF363" s="377">
        <f t="shared" si="164"/>
        <v>0</v>
      </c>
      <c r="BG363" s="328"/>
    </row>
    <row r="364" spans="2:59">
      <c r="B364" s="332">
        <v>349</v>
      </c>
      <c r="C364" s="350">
        <v>4961701.8661161941</v>
      </c>
      <c r="D364" s="350">
        <v>30648.297451463477</v>
      </c>
      <c r="E364" s="350">
        <v>29344.669374734123</v>
      </c>
      <c r="F364" s="350">
        <v>28005.962730149029</v>
      </c>
      <c r="G364" s="350">
        <v>26632.245896978293</v>
      </c>
      <c r="H364" s="348">
        <v>5076333.0415695189</v>
      </c>
      <c r="I364" s="369"/>
      <c r="J364" s="350">
        <v>7422878.7731349431</v>
      </c>
      <c r="K364" s="350">
        <v>2522230.4500743891</v>
      </c>
      <c r="L364" s="350">
        <v>2549392.1328348788</v>
      </c>
      <c r="M364" s="350">
        <v>2574509.2014957611</v>
      </c>
      <c r="N364" s="350">
        <v>2597512.2932640105</v>
      </c>
      <c r="O364" s="348">
        <v>17666522.850803982</v>
      </c>
      <c r="P364" s="369"/>
      <c r="Q364" s="350">
        <f t="shared" si="165"/>
        <v>2461176.907018749</v>
      </c>
      <c r="R364" s="350">
        <f t="shared" si="166"/>
        <v>2491582.1526229256</v>
      </c>
      <c r="S364" s="350">
        <f t="shared" si="167"/>
        <v>2520047.4634601446</v>
      </c>
      <c r="T364" s="350">
        <f t="shared" si="168"/>
        <v>2546503.2387656122</v>
      </c>
      <c r="U364" s="350">
        <f t="shared" si="169"/>
        <v>2570880.0473670322</v>
      </c>
      <c r="V364" s="350">
        <f t="shared" si="170"/>
        <v>12590189.809234463</v>
      </c>
      <c r="W364" s="365"/>
      <c r="X364" s="377">
        <f t="shared" si="148"/>
        <v>0</v>
      </c>
      <c r="Y364" s="377">
        <f t="shared" si="149"/>
        <v>0</v>
      </c>
      <c r="Z364" s="377">
        <f t="shared" si="150"/>
        <v>0</v>
      </c>
      <c r="AA364" s="377">
        <f t="shared" si="151"/>
        <v>0</v>
      </c>
      <c r="AB364" s="377">
        <f t="shared" si="152"/>
        <v>0</v>
      </c>
      <c r="AC364" s="377">
        <f t="shared" si="153"/>
        <v>0</v>
      </c>
      <c r="AD364" s="376"/>
      <c r="AE364" s="332">
        <v>349</v>
      </c>
      <c r="AF364" s="350">
        <v>5444636.4658901626</v>
      </c>
      <c r="AG364" s="350">
        <v>33631.371336767595</v>
      </c>
      <c r="AH364" s="350">
        <v>32200.857945185795</v>
      </c>
      <c r="AI364" s="350">
        <v>30731.851702787335</v>
      </c>
      <c r="AJ364" s="350">
        <v>29224.427644369145</v>
      </c>
      <c r="AK364" s="348">
        <v>5570424.9745192723</v>
      </c>
      <c r="AL364" s="369"/>
      <c r="AM364" s="350">
        <v>7724778.7156845685</v>
      </c>
      <c r="AN364" s="350">
        <v>2341942.3744295449</v>
      </c>
      <c r="AO364" s="350">
        <v>2366883.3736701431</v>
      </c>
      <c r="AP364" s="350">
        <v>2389924.1581920879</v>
      </c>
      <c r="AQ364" s="350">
        <v>2411000.4789464655</v>
      </c>
      <c r="AR364" s="348">
        <v>17234529.100922808</v>
      </c>
      <c r="AS364" s="369"/>
      <c r="AT364" s="350">
        <f t="shared" si="171"/>
        <v>2280142.2497944059</v>
      </c>
      <c r="AU364" s="350">
        <f t="shared" si="154"/>
        <v>2308311.0030927774</v>
      </c>
      <c r="AV364" s="350">
        <f t="shared" si="155"/>
        <v>2334682.5157249575</v>
      </c>
      <c r="AW364" s="350">
        <f t="shared" si="156"/>
        <v>2359192.3064893004</v>
      </c>
      <c r="AX364" s="350">
        <f t="shared" si="157"/>
        <v>2381776.0513020963</v>
      </c>
      <c r="AY364" s="350">
        <f t="shared" si="158"/>
        <v>11664104.126403537</v>
      </c>
      <c r="AZ364" s="365"/>
      <c r="BA364" s="377">
        <f t="shared" si="159"/>
        <v>0</v>
      </c>
      <c r="BB364" s="377">
        <f t="shared" si="160"/>
        <v>0</v>
      </c>
      <c r="BC364" s="377">
        <f t="shared" si="161"/>
        <v>0</v>
      </c>
      <c r="BD364" s="377">
        <f t="shared" si="162"/>
        <v>0</v>
      </c>
      <c r="BE364" s="377">
        <f t="shared" si="163"/>
        <v>0</v>
      </c>
      <c r="BF364" s="377">
        <f t="shared" si="164"/>
        <v>0</v>
      </c>
      <c r="BG364" s="328"/>
    </row>
    <row r="365" spans="2:59">
      <c r="B365" s="332">
        <v>350</v>
      </c>
      <c r="C365" s="350">
        <v>6469092.5707025016</v>
      </c>
      <c r="D365" s="350">
        <v>39959.408827427673</v>
      </c>
      <c r="E365" s="350">
        <v>38259.731794488165</v>
      </c>
      <c r="F365" s="350">
        <v>36514.319143239445</v>
      </c>
      <c r="G365" s="350">
        <v>34723.260026931552</v>
      </c>
      <c r="H365" s="348">
        <v>6618549.2904945891</v>
      </c>
      <c r="I365" s="369"/>
      <c r="J365" s="350">
        <v>9511595.1914924756</v>
      </c>
      <c r="K365" s="350">
        <v>3120048.9414613498</v>
      </c>
      <c r="L365" s="350">
        <v>3153538.0322804311</v>
      </c>
      <c r="M365" s="350">
        <v>3184497.2031446416</v>
      </c>
      <c r="N365" s="350">
        <v>3212840.7125125453</v>
      </c>
      <c r="O365" s="348">
        <v>22182520.080891445</v>
      </c>
      <c r="P365" s="369"/>
      <c r="Q365" s="350">
        <f t="shared" si="165"/>
        <v>3042502.620789974</v>
      </c>
      <c r="R365" s="350">
        <f t="shared" si="166"/>
        <v>3080089.5326339221</v>
      </c>
      <c r="S365" s="350">
        <f t="shared" si="167"/>
        <v>3115278.300485943</v>
      </c>
      <c r="T365" s="350">
        <f t="shared" si="168"/>
        <v>3147982.8840014022</v>
      </c>
      <c r="U365" s="350">
        <f t="shared" si="169"/>
        <v>3178117.4524856135</v>
      </c>
      <c r="V365" s="350">
        <f t="shared" si="170"/>
        <v>15563970.790396856</v>
      </c>
      <c r="W365" s="365"/>
      <c r="X365" s="377">
        <f t="shared" si="148"/>
        <v>0</v>
      </c>
      <c r="Y365" s="377">
        <f t="shared" si="149"/>
        <v>0</v>
      </c>
      <c r="Z365" s="377">
        <f t="shared" si="150"/>
        <v>0</v>
      </c>
      <c r="AA365" s="377">
        <f t="shared" si="151"/>
        <v>0</v>
      </c>
      <c r="AB365" s="377">
        <f t="shared" si="152"/>
        <v>0</v>
      </c>
      <c r="AC365" s="377">
        <f t="shared" si="153"/>
        <v>0</v>
      </c>
      <c r="AD365" s="376"/>
      <c r="AE365" s="332">
        <v>350</v>
      </c>
      <c r="AF365" s="350">
        <v>7385504.9625868611</v>
      </c>
      <c r="AG365" s="350">
        <v>45620.063242493627</v>
      </c>
      <c r="AH365" s="350">
        <v>43679.609767085109</v>
      </c>
      <c r="AI365" s="350">
        <v>41686.941760457339</v>
      </c>
      <c r="AJ365" s="350">
        <v>39642.161005318398</v>
      </c>
      <c r="AK365" s="348">
        <v>7556133.7383622145</v>
      </c>
      <c r="AL365" s="369"/>
      <c r="AM365" s="350">
        <v>9582076.3417003434</v>
      </c>
      <c r="AN365" s="350">
        <v>2269327.7656647898</v>
      </c>
      <c r="AO365" s="350">
        <v>2292792.2665850986</v>
      </c>
      <c r="AP365" s="350">
        <v>2314411.0661989134</v>
      </c>
      <c r="AQ365" s="350">
        <v>2334122.2997860583</v>
      </c>
      <c r="AR365" s="348">
        <v>18792729.739935204</v>
      </c>
      <c r="AS365" s="369"/>
      <c r="AT365" s="350">
        <f t="shared" si="171"/>
        <v>2196571.3791134823</v>
      </c>
      <c r="AU365" s="350">
        <f t="shared" si="154"/>
        <v>2223707.7024222962</v>
      </c>
      <c r="AV365" s="350">
        <f t="shared" si="155"/>
        <v>2249112.6568180136</v>
      </c>
      <c r="AW365" s="350">
        <f t="shared" si="156"/>
        <v>2272724.1244384563</v>
      </c>
      <c r="AX365" s="350">
        <f t="shared" si="157"/>
        <v>2294480.1387807401</v>
      </c>
      <c r="AY365" s="350">
        <f t="shared" si="158"/>
        <v>11236596.001572989</v>
      </c>
      <c r="AZ365" s="365"/>
      <c r="BA365" s="377">
        <f t="shared" si="159"/>
        <v>0</v>
      </c>
      <c r="BB365" s="377">
        <f t="shared" si="160"/>
        <v>0</v>
      </c>
      <c r="BC365" s="377">
        <f t="shared" si="161"/>
        <v>0</v>
      </c>
      <c r="BD365" s="377">
        <f t="shared" si="162"/>
        <v>0</v>
      </c>
      <c r="BE365" s="377">
        <f t="shared" si="163"/>
        <v>0</v>
      </c>
      <c r="BF365" s="377">
        <f t="shared" si="164"/>
        <v>0</v>
      </c>
      <c r="BG365" s="328"/>
    </row>
    <row r="366" spans="2:59">
      <c r="B366" s="332">
        <v>351</v>
      </c>
      <c r="C366" s="350">
        <v>4810273.355824546</v>
      </c>
      <c r="D366" s="350">
        <v>29712.92766277344</v>
      </c>
      <c r="E366" s="350">
        <v>28449.085623771669</v>
      </c>
      <c r="F366" s="350">
        <v>27151.235596205424</v>
      </c>
      <c r="G366" s="350">
        <v>25819.443872446518</v>
      </c>
      <c r="H366" s="348">
        <v>4921406.0485797422</v>
      </c>
      <c r="I366" s="369"/>
      <c r="J366" s="350">
        <v>6877872.1597283147</v>
      </c>
      <c r="K366" s="350">
        <v>2122854.7346982206</v>
      </c>
      <c r="L366" s="350">
        <v>2145504.184902431</v>
      </c>
      <c r="M366" s="350">
        <v>2166431.4456427828</v>
      </c>
      <c r="N366" s="350">
        <v>2185578.2550970009</v>
      </c>
      <c r="O366" s="348">
        <v>15498240.780068751</v>
      </c>
      <c r="P366" s="369"/>
      <c r="Q366" s="350">
        <f t="shared" si="165"/>
        <v>2067598.8039037688</v>
      </c>
      <c r="R366" s="350">
        <f t="shared" si="166"/>
        <v>2093141.8070354471</v>
      </c>
      <c r="S366" s="350">
        <f t="shared" si="167"/>
        <v>2117055.0992786591</v>
      </c>
      <c r="T366" s="350">
        <f t="shared" si="168"/>
        <v>2139280.2100465773</v>
      </c>
      <c r="U366" s="350">
        <f t="shared" si="169"/>
        <v>2159758.8112245542</v>
      </c>
      <c r="V366" s="350">
        <f t="shared" si="170"/>
        <v>10576834.73148901</v>
      </c>
      <c r="W366" s="365"/>
      <c r="X366" s="377">
        <f t="shared" si="148"/>
        <v>0</v>
      </c>
      <c r="Y366" s="377">
        <f t="shared" si="149"/>
        <v>0</v>
      </c>
      <c r="Z366" s="377">
        <f t="shared" si="150"/>
        <v>0</v>
      </c>
      <c r="AA366" s="377">
        <f t="shared" si="151"/>
        <v>0</v>
      </c>
      <c r="AB366" s="377">
        <f t="shared" si="152"/>
        <v>0</v>
      </c>
      <c r="AC366" s="377">
        <f t="shared" si="153"/>
        <v>0</v>
      </c>
      <c r="AD366" s="376"/>
      <c r="AE366" s="332">
        <v>351</v>
      </c>
      <c r="AF366" s="350">
        <v>6323666.8914222326</v>
      </c>
      <c r="AG366" s="350">
        <v>39061.118362596106</v>
      </c>
      <c r="AH366" s="350">
        <v>37399.650195024893</v>
      </c>
      <c r="AI366" s="350">
        <v>35693.474549221151</v>
      </c>
      <c r="AJ366" s="350">
        <v>33942.67857427011</v>
      </c>
      <c r="AK366" s="348">
        <v>6469763.8131033452</v>
      </c>
      <c r="AL366" s="369"/>
      <c r="AM366" s="350">
        <v>8233178.0413467009</v>
      </c>
      <c r="AN366" s="350">
        <v>1972162.2651425491</v>
      </c>
      <c r="AO366" s="350">
        <v>1992585.6898872803</v>
      </c>
      <c r="AP366" s="350">
        <v>2011405.3032579487</v>
      </c>
      <c r="AQ366" s="350">
        <v>2028567.3240298324</v>
      </c>
      <c r="AR366" s="348">
        <v>16237898.623664312</v>
      </c>
      <c r="AS366" s="369"/>
      <c r="AT366" s="350">
        <f t="shared" si="171"/>
        <v>1909511.1499244682</v>
      </c>
      <c r="AU366" s="350">
        <f t="shared" si="154"/>
        <v>1933101.146779953</v>
      </c>
      <c r="AV366" s="350">
        <f t="shared" si="155"/>
        <v>1955186.0396922554</v>
      </c>
      <c r="AW366" s="350">
        <f t="shared" si="156"/>
        <v>1975711.8287087276</v>
      </c>
      <c r="AX366" s="350">
        <f t="shared" si="157"/>
        <v>1994624.6454555623</v>
      </c>
      <c r="AY366" s="350">
        <f t="shared" si="158"/>
        <v>9768134.8105609678</v>
      </c>
      <c r="AZ366" s="365"/>
      <c r="BA366" s="377">
        <f t="shared" si="159"/>
        <v>0</v>
      </c>
      <c r="BB366" s="377">
        <f t="shared" si="160"/>
        <v>0</v>
      </c>
      <c r="BC366" s="377">
        <f t="shared" si="161"/>
        <v>0</v>
      </c>
      <c r="BD366" s="377">
        <f t="shared" si="162"/>
        <v>0</v>
      </c>
      <c r="BE366" s="377">
        <f t="shared" si="163"/>
        <v>0</v>
      </c>
      <c r="BF366" s="377">
        <f t="shared" si="164"/>
        <v>0</v>
      </c>
      <c r="BG366" s="328"/>
    </row>
    <row r="367" spans="2:59">
      <c r="B367" s="332">
        <v>352</v>
      </c>
      <c r="C367" s="350">
        <v>6013528.965518456</v>
      </c>
      <c r="D367" s="350">
        <v>37145.404831117026</v>
      </c>
      <c r="E367" s="350">
        <v>35565.421710163922</v>
      </c>
      <c r="F367" s="350">
        <v>33942.923744590946</v>
      </c>
      <c r="G367" s="350">
        <v>32277.993809340729</v>
      </c>
      <c r="H367" s="348">
        <v>6152460.7096136687</v>
      </c>
      <c r="I367" s="369"/>
      <c r="J367" s="350">
        <v>7811582.7587666241</v>
      </c>
      <c r="K367" s="350">
        <v>1857412.256814447</v>
      </c>
      <c r="L367" s="350">
        <v>1876628.0807648539</v>
      </c>
      <c r="M367" s="350">
        <v>1894333.2902085548</v>
      </c>
      <c r="N367" s="350">
        <v>1910477.2439208284</v>
      </c>
      <c r="O367" s="348">
        <v>15350433.630475309</v>
      </c>
      <c r="P367" s="369"/>
      <c r="Q367" s="350">
        <f t="shared" si="165"/>
        <v>1798053.7932481682</v>
      </c>
      <c r="R367" s="350">
        <f t="shared" si="166"/>
        <v>1820266.85198333</v>
      </c>
      <c r="S367" s="350">
        <f t="shared" si="167"/>
        <v>1841062.65905469</v>
      </c>
      <c r="T367" s="350">
        <f t="shared" si="168"/>
        <v>1860390.3664639639</v>
      </c>
      <c r="U367" s="350">
        <f t="shared" si="169"/>
        <v>1878199.2501114877</v>
      </c>
      <c r="V367" s="350">
        <f t="shared" si="170"/>
        <v>9197972.9208616391</v>
      </c>
      <c r="W367" s="365"/>
      <c r="X367" s="377">
        <f t="shared" si="148"/>
        <v>0</v>
      </c>
      <c r="Y367" s="377">
        <f t="shared" si="149"/>
        <v>0</v>
      </c>
      <c r="Z367" s="377">
        <f t="shared" si="150"/>
        <v>0</v>
      </c>
      <c r="AA367" s="377">
        <f t="shared" si="151"/>
        <v>0</v>
      </c>
      <c r="AB367" s="377">
        <f t="shared" si="152"/>
        <v>0</v>
      </c>
      <c r="AC367" s="377">
        <f t="shared" si="153"/>
        <v>0</v>
      </c>
      <c r="AD367" s="376"/>
      <c r="AE367" s="332">
        <v>352</v>
      </c>
      <c r="AF367" s="350">
        <v>5112325.1956450604</v>
      </c>
      <c r="AG367" s="350">
        <v>31578.693660484514</v>
      </c>
      <c r="AH367" s="350">
        <v>30235.491097686012</v>
      </c>
      <c r="AI367" s="350">
        <v>28856.145080258153</v>
      </c>
      <c r="AJ367" s="350">
        <v>27440.726063275764</v>
      </c>
      <c r="AK367" s="348">
        <v>5230436.2515467647</v>
      </c>
      <c r="AL367" s="369"/>
      <c r="AM367" s="350">
        <v>6607365.6049994947</v>
      </c>
      <c r="AN367" s="350">
        <v>1545088.7508914913</v>
      </c>
      <c r="AO367" s="350">
        <v>1561036.7840156164</v>
      </c>
      <c r="AP367" s="350">
        <v>1575727.9825533894</v>
      </c>
      <c r="AQ367" s="350">
        <v>1589120.2410366698</v>
      </c>
      <c r="AR367" s="348">
        <v>12878339.363496661</v>
      </c>
      <c r="AS367" s="369"/>
      <c r="AT367" s="350">
        <f t="shared" si="171"/>
        <v>1495040.4093544343</v>
      </c>
      <c r="AU367" s="350">
        <f t="shared" si="154"/>
        <v>1513510.0572310067</v>
      </c>
      <c r="AV367" s="350">
        <f t="shared" si="155"/>
        <v>1530801.2929179303</v>
      </c>
      <c r="AW367" s="350">
        <f t="shared" si="156"/>
        <v>1546871.8374731313</v>
      </c>
      <c r="AX367" s="350">
        <f t="shared" si="157"/>
        <v>1561679.5149733941</v>
      </c>
      <c r="AY367" s="350">
        <f t="shared" si="158"/>
        <v>7647903.1119498964</v>
      </c>
      <c r="AZ367" s="365"/>
      <c r="BA367" s="377">
        <f t="shared" si="159"/>
        <v>0</v>
      </c>
      <c r="BB367" s="377">
        <f t="shared" si="160"/>
        <v>0</v>
      </c>
      <c r="BC367" s="377">
        <f t="shared" si="161"/>
        <v>0</v>
      </c>
      <c r="BD367" s="377">
        <f t="shared" si="162"/>
        <v>0</v>
      </c>
      <c r="BE367" s="377">
        <f t="shared" si="163"/>
        <v>0</v>
      </c>
      <c r="BF367" s="377">
        <f t="shared" si="164"/>
        <v>0</v>
      </c>
      <c r="BG367" s="328"/>
    </row>
    <row r="368" spans="2:59">
      <c r="B368" s="332">
        <v>353</v>
      </c>
      <c r="C368" s="350">
        <v>6529305.4393622717</v>
      </c>
      <c r="D368" s="350">
        <v>40331.342079139045</v>
      </c>
      <c r="E368" s="350">
        <v>38615.844832029812</v>
      </c>
      <c r="F368" s="350">
        <v>36854.18626969419</v>
      </c>
      <c r="G368" s="350">
        <v>35046.456375198133</v>
      </c>
      <c r="H368" s="348">
        <v>6680153.2689183336</v>
      </c>
      <c r="I368" s="369"/>
      <c r="J368" s="350">
        <v>8253787.0686715934</v>
      </c>
      <c r="K368" s="350">
        <v>1786117.1236131596</v>
      </c>
      <c r="L368" s="350">
        <v>1804346.517556672</v>
      </c>
      <c r="M368" s="350">
        <v>1821121.7217339929</v>
      </c>
      <c r="N368" s="350">
        <v>1836394.1775402713</v>
      </c>
      <c r="O368" s="348">
        <v>15501766.60911569</v>
      </c>
      <c r="P368" s="369"/>
      <c r="Q368" s="350">
        <f t="shared" si="165"/>
        <v>1724481.6293093218</v>
      </c>
      <c r="R368" s="350">
        <f t="shared" si="166"/>
        <v>1745785.7815340206</v>
      </c>
      <c r="S368" s="350">
        <f t="shared" si="167"/>
        <v>1765730.6727246421</v>
      </c>
      <c r="T368" s="350">
        <f t="shared" si="168"/>
        <v>1784267.5354642987</v>
      </c>
      <c r="U368" s="350">
        <f t="shared" si="169"/>
        <v>1801347.7211650731</v>
      </c>
      <c r="V368" s="350">
        <f t="shared" si="170"/>
        <v>8821613.3401973564</v>
      </c>
      <c r="W368" s="365"/>
      <c r="X368" s="377">
        <f t="shared" si="148"/>
        <v>0</v>
      </c>
      <c r="Y368" s="377">
        <f t="shared" si="149"/>
        <v>0</v>
      </c>
      <c r="Z368" s="377">
        <f t="shared" si="150"/>
        <v>0</v>
      </c>
      <c r="AA368" s="377">
        <f t="shared" si="151"/>
        <v>0</v>
      </c>
      <c r="AB368" s="377">
        <f t="shared" si="152"/>
        <v>0</v>
      </c>
      <c r="AC368" s="377">
        <f t="shared" si="153"/>
        <v>0</v>
      </c>
      <c r="AD368" s="376"/>
      <c r="AE368" s="332">
        <v>353</v>
      </c>
      <c r="AF368" s="350">
        <v>5521958.9155797707</v>
      </c>
      <c r="AG368" s="350">
        <v>34108.990005060237</v>
      </c>
      <c r="AH368" s="350">
        <v>32658.161060651917</v>
      </c>
      <c r="AI368" s="350">
        <v>31168.292606058996</v>
      </c>
      <c r="AJ368" s="350">
        <v>29639.460741692372</v>
      </c>
      <c r="AK368" s="348">
        <v>5649533.8199932342</v>
      </c>
      <c r="AL368" s="369"/>
      <c r="AM368" s="350">
        <v>7673265.1056950036</v>
      </c>
      <c r="AN368" s="350">
        <v>2211992.2997469641</v>
      </c>
      <c r="AO368" s="350">
        <v>2235422.9001841787</v>
      </c>
      <c r="AP368" s="350">
        <v>2257057.9330792781</v>
      </c>
      <c r="AQ368" s="350">
        <v>2276836.7849860098</v>
      </c>
      <c r="AR368" s="348">
        <v>16654575.023691434</v>
      </c>
      <c r="AS368" s="369"/>
      <c r="AT368" s="350">
        <f t="shared" si="171"/>
        <v>2151306.190115233</v>
      </c>
      <c r="AU368" s="350">
        <f t="shared" si="154"/>
        <v>2177883.309741904</v>
      </c>
      <c r="AV368" s="350">
        <f t="shared" si="155"/>
        <v>2202764.739123527</v>
      </c>
      <c r="AW368" s="350">
        <f t="shared" si="156"/>
        <v>2225889.6404732191</v>
      </c>
      <c r="AX368" s="350">
        <f t="shared" si="157"/>
        <v>2247197.3242443176</v>
      </c>
      <c r="AY368" s="350">
        <f t="shared" si="158"/>
        <v>11005041.203698199</v>
      </c>
      <c r="AZ368" s="365"/>
      <c r="BA368" s="377">
        <f t="shared" si="159"/>
        <v>0</v>
      </c>
      <c r="BB368" s="377">
        <f t="shared" si="160"/>
        <v>0</v>
      </c>
      <c r="BC368" s="377">
        <f t="shared" si="161"/>
        <v>0</v>
      </c>
      <c r="BD368" s="377">
        <f t="shared" si="162"/>
        <v>0</v>
      </c>
      <c r="BE368" s="377">
        <f t="shared" si="163"/>
        <v>0</v>
      </c>
      <c r="BF368" s="377">
        <f t="shared" si="164"/>
        <v>0</v>
      </c>
      <c r="BG368" s="328"/>
    </row>
    <row r="369" spans="2:59">
      <c r="B369" s="332">
        <v>354</v>
      </c>
      <c r="C369" s="350">
        <v>5093614.7678093147</v>
      </c>
      <c r="D369" s="350">
        <v>31463.119856732566</v>
      </c>
      <c r="E369" s="350">
        <v>30124.833236026039</v>
      </c>
      <c r="F369" s="350">
        <v>28750.535440909927</v>
      </c>
      <c r="G369" s="350">
        <v>27340.296668603303</v>
      </c>
      <c r="H369" s="348">
        <v>5211293.553011586</v>
      </c>
      <c r="I369" s="369"/>
      <c r="J369" s="350">
        <v>6481292.8412778284</v>
      </c>
      <c r="K369" s="350">
        <v>1436284.4927455415</v>
      </c>
      <c r="L369" s="350">
        <v>1450995.7178810309</v>
      </c>
      <c r="M369" s="350">
        <v>1464537.9013852929</v>
      </c>
      <c r="N369" s="350">
        <v>1476871.9662836667</v>
      </c>
      <c r="O369" s="348">
        <v>12309982.919573359</v>
      </c>
      <c r="P369" s="369"/>
      <c r="Q369" s="350">
        <f t="shared" si="165"/>
        <v>1387678.0734685138</v>
      </c>
      <c r="R369" s="350">
        <f t="shared" si="166"/>
        <v>1404821.3728888088</v>
      </c>
      <c r="S369" s="350">
        <f t="shared" si="167"/>
        <v>1420870.8846450048</v>
      </c>
      <c r="T369" s="350">
        <f t="shared" si="168"/>
        <v>1435787.365944383</v>
      </c>
      <c r="U369" s="350">
        <f t="shared" si="169"/>
        <v>1449531.6696150634</v>
      </c>
      <c r="V369" s="350">
        <f t="shared" si="170"/>
        <v>7098689.3665617732</v>
      </c>
      <c r="W369" s="365"/>
      <c r="X369" s="377">
        <f t="shared" si="148"/>
        <v>0</v>
      </c>
      <c r="Y369" s="377">
        <f t="shared" si="149"/>
        <v>0</v>
      </c>
      <c r="Z369" s="377">
        <f t="shared" si="150"/>
        <v>0</v>
      </c>
      <c r="AA369" s="377">
        <f t="shared" si="151"/>
        <v>0</v>
      </c>
      <c r="AB369" s="377">
        <f t="shared" si="152"/>
        <v>0</v>
      </c>
      <c r="AC369" s="377">
        <f t="shared" si="153"/>
        <v>0</v>
      </c>
      <c r="AD369" s="376"/>
      <c r="AE369" s="332">
        <v>354</v>
      </c>
      <c r="AF369" s="350">
        <v>5524751.2764967643</v>
      </c>
      <c r="AG369" s="350">
        <v>34126.238342483201</v>
      </c>
      <c r="AH369" s="350">
        <v>32674.675738496964</v>
      </c>
      <c r="AI369" s="350">
        <v>31184.053882710195</v>
      </c>
      <c r="AJ369" s="350">
        <v>29654.448914013665</v>
      </c>
      <c r="AK369" s="348">
        <v>5652390.6933744689</v>
      </c>
      <c r="AL369" s="369"/>
      <c r="AM369" s="350">
        <v>6903692.3139263354</v>
      </c>
      <c r="AN369" s="350">
        <v>1430102.6383244805</v>
      </c>
      <c r="AO369" s="350">
        <v>1444599.537265332</v>
      </c>
      <c r="AP369" s="350">
        <v>1457931.4802327771</v>
      </c>
      <c r="AQ369" s="350">
        <v>1470059.6426704803</v>
      </c>
      <c r="AR369" s="348">
        <v>12706385.612419406</v>
      </c>
      <c r="AS369" s="369"/>
      <c r="AT369" s="350">
        <f t="shared" si="171"/>
        <v>1378941.0374295712</v>
      </c>
      <c r="AU369" s="350">
        <f t="shared" si="154"/>
        <v>1395976.3999819972</v>
      </c>
      <c r="AV369" s="350">
        <f t="shared" si="155"/>
        <v>1411924.861526835</v>
      </c>
      <c r="AW369" s="350">
        <f t="shared" si="156"/>
        <v>1426747.4263500669</v>
      </c>
      <c r="AX369" s="350">
        <f t="shared" si="157"/>
        <v>1440405.1937564667</v>
      </c>
      <c r="AY369" s="350">
        <f t="shared" si="158"/>
        <v>7053994.919044937</v>
      </c>
      <c r="AZ369" s="365"/>
      <c r="BA369" s="377">
        <f t="shared" si="159"/>
        <v>0</v>
      </c>
      <c r="BB369" s="377">
        <f t="shared" si="160"/>
        <v>0</v>
      </c>
      <c r="BC369" s="377">
        <f t="shared" si="161"/>
        <v>0</v>
      </c>
      <c r="BD369" s="377">
        <f t="shared" si="162"/>
        <v>0</v>
      </c>
      <c r="BE369" s="377">
        <f t="shared" si="163"/>
        <v>0</v>
      </c>
      <c r="BF369" s="377">
        <f t="shared" si="164"/>
        <v>0</v>
      </c>
      <c r="BG369" s="328"/>
    </row>
    <row r="370" spans="2:59">
      <c r="B370" s="332">
        <v>355</v>
      </c>
      <c r="C370" s="350">
        <v>5761483.3397014476</v>
      </c>
      <c r="D370" s="350">
        <v>35588.525856962573</v>
      </c>
      <c r="E370" s="350">
        <v>34074.764722597916</v>
      </c>
      <c r="F370" s="350">
        <v>32520.270672440456</v>
      </c>
      <c r="G370" s="350">
        <v>30925.123107885884</v>
      </c>
      <c r="H370" s="348">
        <v>5894592.0240613343</v>
      </c>
      <c r="I370" s="369"/>
      <c r="J370" s="350">
        <v>8150487.8967715297</v>
      </c>
      <c r="K370" s="350">
        <v>2454106.7152466327</v>
      </c>
      <c r="L370" s="350">
        <v>2480223.5389412586</v>
      </c>
      <c r="M370" s="350">
        <v>2504349.0224601021</v>
      </c>
      <c r="N370" s="350">
        <v>2526415.8500544801</v>
      </c>
      <c r="O370" s="348">
        <v>18115583.023474004</v>
      </c>
      <c r="P370" s="369"/>
      <c r="Q370" s="350">
        <f t="shared" si="165"/>
        <v>2389004.5570700821</v>
      </c>
      <c r="R370" s="350">
        <f t="shared" si="166"/>
        <v>2418518.1893896703</v>
      </c>
      <c r="S370" s="350">
        <f t="shared" si="167"/>
        <v>2446148.7742186608</v>
      </c>
      <c r="T370" s="350">
        <f t="shared" si="168"/>
        <v>2471828.7517876616</v>
      </c>
      <c r="U370" s="350">
        <f t="shared" si="169"/>
        <v>2495490.7269465942</v>
      </c>
      <c r="V370" s="350">
        <f t="shared" si="170"/>
        <v>12220990.999412671</v>
      </c>
      <c r="W370" s="365"/>
      <c r="X370" s="377">
        <f t="shared" si="148"/>
        <v>0</v>
      </c>
      <c r="Y370" s="377">
        <f t="shared" si="149"/>
        <v>0</v>
      </c>
      <c r="Z370" s="377">
        <f t="shared" si="150"/>
        <v>0</v>
      </c>
      <c r="AA370" s="377">
        <f t="shared" si="151"/>
        <v>0</v>
      </c>
      <c r="AB370" s="377">
        <f t="shared" si="152"/>
        <v>0</v>
      </c>
      <c r="AC370" s="377">
        <f t="shared" si="153"/>
        <v>0</v>
      </c>
      <c r="AD370" s="376"/>
      <c r="AE370" s="332">
        <v>355</v>
      </c>
      <c r="AF370" s="350">
        <v>5730327.7326752497</v>
      </c>
      <c r="AG370" s="350">
        <v>35396.078519903604</v>
      </c>
      <c r="AH370" s="350">
        <v>33890.503150253404</v>
      </c>
      <c r="AI370" s="350">
        <v>32344.415130782272</v>
      </c>
      <c r="AJ370" s="350">
        <v>30757.893433516721</v>
      </c>
      <c r="AK370" s="348">
        <v>5862716.6229097061</v>
      </c>
      <c r="AL370" s="369"/>
      <c r="AM370" s="350">
        <v>7196895.7600491587</v>
      </c>
      <c r="AN370" s="350">
        <v>1520082.007512494</v>
      </c>
      <c r="AO370" s="350">
        <v>1535538.3639097468</v>
      </c>
      <c r="AP370" s="350">
        <v>1549756.7640470339</v>
      </c>
      <c r="AQ370" s="350">
        <v>1562695.9141949357</v>
      </c>
      <c r="AR370" s="348">
        <v>13364968.809713369</v>
      </c>
      <c r="AS370" s="369"/>
      <c r="AT370" s="350">
        <f t="shared" si="171"/>
        <v>1466568.027373909</v>
      </c>
      <c r="AU370" s="350">
        <f t="shared" si="154"/>
        <v>1484685.9289925904</v>
      </c>
      <c r="AV370" s="350">
        <f t="shared" si="155"/>
        <v>1501647.8607594934</v>
      </c>
      <c r="AW370" s="350">
        <f t="shared" si="156"/>
        <v>1517412.3489162517</v>
      </c>
      <c r="AX370" s="350">
        <f t="shared" si="157"/>
        <v>1531938.0207614191</v>
      </c>
      <c r="AY370" s="350">
        <f t="shared" si="158"/>
        <v>7502252.1868036631</v>
      </c>
      <c r="AZ370" s="365"/>
      <c r="BA370" s="377">
        <f t="shared" si="159"/>
        <v>0</v>
      </c>
      <c r="BB370" s="377">
        <f t="shared" si="160"/>
        <v>0</v>
      </c>
      <c r="BC370" s="377">
        <f t="shared" si="161"/>
        <v>0</v>
      </c>
      <c r="BD370" s="377">
        <f t="shared" si="162"/>
        <v>0</v>
      </c>
      <c r="BE370" s="377">
        <f t="shared" si="163"/>
        <v>0</v>
      </c>
      <c r="BF370" s="377">
        <f t="shared" si="164"/>
        <v>0</v>
      </c>
      <c r="BG370" s="328"/>
    </row>
    <row r="371" spans="2:59">
      <c r="B371" s="332">
        <v>356</v>
      </c>
      <c r="C371" s="350">
        <v>8018459.1984372418</v>
      </c>
      <c r="D371" s="350">
        <v>49529.804338785478</v>
      </c>
      <c r="E371" s="350">
        <v>47423.04967572094</v>
      </c>
      <c r="F371" s="350">
        <v>45259.605579734729</v>
      </c>
      <c r="G371" s="350">
        <v>43039.58255654449</v>
      </c>
      <c r="H371" s="348">
        <v>8203711.240588028</v>
      </c>
      <c r="I371" s="369"/>
      <c r="J371" s="350">
        <v>11257302.981104847</v>
      </c>
      <c r="K371" s="350">
        <v>3328386.0868818471</v>
      </c>
      <c r="L371" s="350">
        <v>3363738.9291961091</v>
      </c>
      <c r="M371" s="350">
        <v>3396390.5864117802</v>
      </c>
      <c r="N371" s="350">
        <v>3426249.7994462801</v>
      </c>
      <c r="O371" s="348">
        <v>24772068.383040864</v>
      </c>
      <c r="P371" s="369"/>
      <c r="Q371" s="350">
        <f t="shared" si="165"/>
        <v>3238843.7826676052</v>
      </c>
      <c r="R371" s="350">
        <f t="shared" si="166"/>
        <v>3278856.2825430618</v>
      </c>
      <c r="S371" s="350">
        <f t="shared" si="167"/>
        <v>3316315.8795203883</v>
      </c>
      <c r="T371" s="350">
        <f t="shared" si="168"/>
        <v>3351130.9808320454</v>
      </c>
      <c r="U371" s="350">
        <f t="shared" si="169"/>
        <v>3383210.2168897358</v>
      </c>
      <c r="V371" s="350">
        <f t="shared" si="170"/>
        <v>16568357.142452836</v>
      </c>
      <c r="W371" s="365"/>
      <c r="X371" s="377">
        <f t="shared" si="148"/>
        <v>0</v>
      </c>
      <c r="Y371" s="377">
        <f t="shared" si="149"/>
        <v>0</v>
      </c>
      <c r="Z371" s="377">
        <f t="shared" si="150"/>
        <v>0</v>
      </c>
      <c r="AA371" s="377">
        <f t="shared" si="151"/>
        <v>0</v>
      </c>
      <c r="AB371" s="377">
        <f t="shared" si="152"/>
        <v>0</v>
      </c>
      <c r="AC371" s="377">
        <f t="shared" si="153"/>
        <v>0</v>
      </c>
      <c r="AD371" s="376"/>
      <c r="AE371" s="332">
        <v>356</v>
      </c>
      <c r="AF371" s="350">
        <v>4912771.4498497825</v>
      </c>
      <c r="AG371" s="350">
        <v>30346.055601263346</v>
      </c>
      <c r="AH371" s="350">
        <v>29055.283408699099</v>
      </c>
      <c r="AI371" s="350">
        <v>27729.778579769576</v>
      </c>
      <c r="AJ371" s="350">
        <v>26369.608819417477</v>
      </c>
      <c r="AK371" s="348">
        <v>5026272.1762589328</v>
      </c>
      <c r="AL371" s="369"/>
      <c r="AM371" s="350">
        <v>6664246.8264711462</v>
      </c>
      <c r="AN371" s="350">
        <v>1803459.0637329705</v>
      </c>
      <c r="AO371" s="350">
        <v>1822425.3851597561</v>
      </c>
      <c r="AP371" s="350">
        <v>1839926.9052735749</v>
      </c>
      <c r="AQ371" s="350">
        <v>1855914.2816827968</v>
      </c>
      <c r="AR371" s="348">
        <v>13985972.462320246</v>
      </c>
      <c r="AS371" s="369"/>
      <c r="AT371" s="350">
        <f t="shared" si="171"/>
        <v>1751475.3766213637</v>
      </c>
      <c r="AU371" s="350">
        <f t="shared" si="154"/>
        <v>1773113.0081317071</v>
      </c>
      <c r="AV371" s="350">
        <f t="shared" si="155"/>
        <v>1793370.101751057</v>
      </c>
      <c r="AW371" s="350">
        <f t="shared" si="156"/>
        <v>1812197.1266938052</v>
      </c>
      <c r="AX371" s="350">
        <f t="shared" si="157"/>
        <v>1829544.6728633794</v>
      </c>
      <c r="AY371" s="350">
        <f t="shared" si="158"/>
        <v>8959700.286061313</v>
      </c>
      <c r="AZ371" s="365"/>
      <c r="BA371" s="377">
        <f t="shared" si="159"/>
        <v>0</v>
      </c>
      <c r="BB371" s="377">
        <f t="shared" si="160"/>
        <v>0</v>
      </c>
      <c r="BC371" s="377">
        <f t="shared" si="161"/>
        <v>0</v>
      </c>
      <c r="BD371" s="377">
        <f t="shared" si="162"/>
        <v>0</v>
      </c>
      <c r="BE371" s="377">
        <f t="shared" si="163"/>
        <v>0</v>
      </c>
      <c r="BF371" s="377">
        <f t="shared" si="164"/>
        <v>0</v>
      </c>
      <c r="BG371" s="328"/>
    </row>
    <row r="372" spans="2:59">
      <c r="B372" s="332">
        <v>357</v>
      </c>
      <c r="C372" s="350">
        <v>6267099.0268314583</v>
      </c>
      <c r="D372" s="350">
        <v>38711.700201860782</v>
      </c>
      <c r="E372" s="350">
        <v>37065.094567047607</v>
      </c>
      <c r="F372" s="350">
        <v>35374.18138123212</v>
      </c>
      <c r="G372" s="350">
        <v>33639.047013911302</v>
      </c>
      <c r="H372" s="348">
        <v>6411889.0499955099</v>
      </c>
      <c r="I372" s="369"/>
      <c r="J372" s="350">
        <v>7651180.2172108507</v>
      </c>
      <c r="K372" s="350">
        <v>1439891.7543035625</v>
      </c>
      <c r="L372" s="350">
        <v>1454253.0598415467</v>
      </c>
      <c r="M372" s="350">
        <v>1467439.9642042292</v>
      </c>
      <c r="N372" s="350">
        <v>1479413.5080593023</v>
      </c>
      <c r="O372" s="348">
        <v>13492178.503619492</v>
      </c>
      <c r="P372" s="369"/>
      <c r="Q372" s="350">
        <f t="shared" si="165"/>
        <v>1384081.1903793924</v>
      </c>
      <c r="R372" s="350">
        <f t="shared" si="166"/>
        <v>1401180.0541017016</v>
      </c>
      <c r="S372" s="350">
        <f t="shared" si="167"/>
        <v>1417187.965274499</v>
      </c>
      <c r="T372" s="350">
        <f t="shared" si="168"/>
        <v>1432065.7828229971</v>
      </c>
      <c r="U372" s="350">
        <f t="shared" si="169"/>
        <v>1445774.4610453909</v>
      </c>
      <c r="V372" s="350">
        <f t="shared" si="170"/>
        <v>7080289.4536239821</v>
      </c>
      <c r="W372" s="365"/>
      <c r="X372" s="377">
        <f t="shared" si="148"/>
        <v>0</v>
      </c>
      <c r="Y372" s="377">
        <f t="shared" si="149"/>
        <v>0</v>
      </c>
      <c r="Z372" s="377">
        <f t="shared" si="150"/>
        <v>0</v>
      </c>
      <c r="AA372" s="377">
        <f t="shared" si="151"/>
        <v>0</v>
      </c>
      <c r="AB372" s="377">
        <f t="shared" si="152"/>
        <v>0</v>
      </c>
      <c r="AC372" s="377">
        <f t="shared" si="153"/>
        <v>0</v>
      </c>
      <c r="AD372" s="376"/>
      <c r="AE372" s="332">
        <v>357</v>
      </c>
      <c r="AF372" s="350">
        <v>6319163.2419703146</v>
      </c>
      <c r="AG372" s="350">
        <v>39033.299442445532</v>
      </c>
      <c r="AH372" s="350">
        <v>37373.014555134352</v>
      </c>
      <c r="AI372" s="350">
        <v>35668.054029790474</v>
      </c>
      <c r="AJ372" s="350">
        <v>33918.50495342927</v>
      </c>
      <c r="AK372" s="348">
        <v>6465156.1149511151</v>
      </c>
      <c r="AL372" s="369"/>
      <c r="AM372" s="350">
        <v>8187285.6508195084</v>
      </c>
      <c r="AN372" s="350">
        <v>1930234.390891715</v>
      </c>
      <c r="AO372" s="350">
        <v>1950180.30785776</v>
      </c>
      <c r="AP372" s="350">
        <v>1968556.2389378413</v>
      </c>
      <c r="AQ372" s="350">
        <v>1985309.5704446195</v>
      </c>
      <c r="AR372" s="348">
        <v>16021566.158951443</v>
      </c>
      <c r="AS372" s="369"/>
      <c r="AT372" s="350">
        <f t="shared" si="171"/>
        <v>1868122.4088491937</v>
      </c>
      <c r="AU372" s="350">
        <f t="shared" si="154"/>
        <v>1891201.0914492693</v>
      </c>
      <c r="AV372" s="350">
        <f t="shared" si="155"/>
        <v>1912807.2933026257</v>
      </c>
      <c r="AW372" s="350">
        <f t="shared" si="156"/>
        <v>1932888.1849080508</v>
      </c>
      <c r="AX372" s="350">
        <f t="shared" si="157"/>
        <v>1951391.0654911902</v>
      </c>
      <c r="AY372" s="350">
        <f t="shared" si="158"/>
        <v>9556410.0440003276</v>
      </c>
      <c r="AZ372" s="365"/>
      <c r="BA372" s="377">
        <f t="shared" si="159"/>
        <v>0</v>
      </c>
      <c r="BB372" s="377">
        <f t="shared" si="160"/>
        <v>0</v>
      </c>
      <c r="BC372" s="377">
        <f t="shared" si="161"/>
        <v>0</v>
      </c>
      <c r="BD372" s="377">
        <f t="shared" si="162"/>
        <v>0</v>
      </c>
      <c r="BE372" s="377">
        <f t="shared" si="163"/>
        <v>0</v>
      </c>
      <c r="BF372" s="377">
        <f t="shared" si="164"/>
        <v>0</v>
      </c>
      <c r="BG372" s="328"/>
    </row>
    <row r="373" spans="2:59">
      <c r="B373" s="332">
        <v>358</v>
      </c>
      <c r="C373" s="350">
        <v>5937768.6315026768</v>
      </c>
      <c r="D373" s="350">
        <v>36677.435308845517</v>
      </c>
      <c r="E373" s="350">
        <v>35117.357313430621</v>
      </c>
      <c r="F373" s="350">
        <v>33515.300088814402</v>
      </c>
      <c r="G373" s="350">
        <v>31871.34546584995</v>
      </c>
      <c r="H373" s="348">
        <v>6074950.0696796179</v>
      </c>
      <c r="I373" s="369"/>
      <c r="J373" s="350">
        <v>8265873.0565027688</v>
      </c>
      <c r="K373" s="350">
        <v>2393543.1357103209</v>
      </c>
      <c r="L373" s="350">
        <v>2418909.2879790328</v>
      </c>
      <c r="M373" s="350">
        <v>2442332.5783350077</v>
      </c>
      <c r="N373" s="350">
        <v>2463747.4114856878</v>
      </c>
      <c r="O373" s="348">
        <v>17984405.470012818</v>
      </c>
      <c r="P373" s="369"/>
      <c r="Q373" s="350">
        <f t="shared" si="165"/>
        <v>2328104.425000092</v>
      </c>
      <c r="R373" s="350">
        <f t="shared" si="166"/>
        <v>2356865.7004014752</v>
      </c>
      <c r="S373" s="350">
        <f t="shared" si="167"/>
        <v>2383791.9306656024</v>
      </c>
      <c r="T373" s="350">
        <f t="shared" si="168"/>
        <v>2408817.2782461932</v>
      </c>
      <c r="U373" s="350">
        <f t="shared" si="169"/>
        <v>2431876.0660198377</v>
      </c>
      <c r="V373" s="350">
        <f t="shared" si="170"/>
        <v>11909455.4003332</v>
      </c>
      <c r="W373" s="365"/>
      <c r="X373" s="377">
        <f t="shared" si="148"/>
        <v>0</v>
      </c>
      <c r="Y373" s="377">
        <f t="shared" si="149"/>
        <v>0</v>
      </c>
      <c r="Z373" s="377">
        <f t="shared" si="150"/>
        <v>0</v>
      </c>
      <c r="AA373" s="377">
        <f t="shared" si="151"/>
        <v>0</v>
      </c>
      <c r="AB373" s="377">
        <f t="shared" si="152"/>
        <v>0</v>
      </c>
      <c r="AC373" s="377">
        <f t="shared" si="153"/>
        <v>0</v>
      </c>
      <c r="AD373" s="376"/>
      <c r="AE373" s="332">
        <v>358</v>
      </c>
      <c r="AF373" s="350">
        <v>6364731.9704631846</v>
      </c>
      <c r="AG373" s="350">
        <v>39314.776238718056</v>
      </c>
      <c r="AH373" s="350">
        <v>37642.518710670243</v>
      </c>
      <c r="AI373" s="350">
        <v>35925.263379781129</v>
      </c>
      <c r="AJ373" s="350">
        <v>34163.097961067215</v>
      </c>
      <c r="AK373" s="348">
        <v>6511777.6267534215</v>
      </c>
      <c r="AL373" s="369"/>
      <c r="AM373" s="350">
        <v>8040818.5733534992</v>
      </c>
      <c r="AN373" s="350">
        <v>1736107.6618303747</v>
      </c>
      <c r="AO373" s="350">
        <v>1753820.5716201707</v>
      </c>
      <c r="AP373" s="350">
        <v>1770119.9693921602</v>
      </c>
      <c r="AQ373" s="350">
        <v>1784958.6595241157</v>
      </c>
      <c r="AR373" s="348">
        <v>15085825.435720321</v>
      </c>
      <c r="AS373" s="369"/>
      <c r="AT373" s="350">
        <f t="shared" si="171"/>
        <v>1676086.6028903145</v>
      </c>
      <c r="AU373" s="350">
        <f t="shared" si="154"/>
        <v>1696792.8855916567</v>
      </c>
      <c r="AV373" s="350">
        <f t="shared" si="155"/>
        <v>1716178.0529095004</v>
      </c>
      <c r="AW373" s="350">
        <f t="shared" si="156"/>
        <v>1734194.7060123791</v>
      </c>
      <c r="AX373" s="350">
        <f t="shared" si="157"/>
        <v>1750795.5615630485</v>
      </c>
      <c r="AY373" s="350">
        <f t="shared" si="158"/>
        <v>8574047.8089668993</v>
      </c>
      <c r="AZ373" s="365"/>
      <c r="BA373" s="377">
        <f t="shared" si="159"/>
        <v>0</v>
      </c>
      <c r="BB373" s="377">
        <f t="shared" si="160"/>
        <v>0</v>
      </c>
      <c r="BC373" s="377">
        <f t="shared" si="161"/>
        <v>0</v>
      </c>
      <c r="BD373" s="377">
        <f t="shared" si="162"/>
        <v>0</v>
      </c>
      <c r="BE373" s="377">
        <f t="shared" si="163"/>
        <v>0</v>
      </c>
      <c r="BF373" s="377">
        <f t="shared" si="164"/>
        <v>0</v>
      </c>
      <c r="BG373" s="328"/>
    </row>
    <row r="374" spans="2:59">
      <c r="B374" s="332">
        <v>359</v>
      </c>
      <c r="C374" s="350">
        <v>4737594.1323755551</v>
      </c>
      <c r="D374" s="350">
        <v>29263.990076656144</v>
      </c>
      <c r="E374" s="350">
        <v>28019.243638083666</v>
      </c>
      <c r="F374" s="350">
        <v>26741.003043323621</v>
      </c>
      <c r="G374" s="350">
        <v>25429.333583130796</v>
      </c>
      <c r="H374" s="348">
        <v>4847047.7027167492</v>
      </c>
      <c r="I374" s="369"/>
      <c r="J374" s="350">
        <v>6608467.579307124</v>
      </c>
      <c r="K374" s="350">
        <v>1923250.1057830947</v>
      </c>
      <c r="L374" s="350">
        <v>1943643.378965192</v>
      </c>
      <c r="M374" s="350">
        <v>1962475.6015378013</v>
      </c>
      <c r="N374" s="350">
        <v>1979694.0604090099</v>
      </c>
      <c r="O374" s="348">
        <v>14417530.72600222</v>
      </c>
      <c r="P374" s="369"/>
      <c r="Q374" s="350">
        <f t="shared" si="165"/>
        <v>1870873.4469315689</v>
      </c>
      <c r="R374" s="350">
        <f t="shared" si="166"/>
        <v>1893986.1157064384</v>
      </c>
      <c r="S374" s="350">
        <f t="shared" si="167"/>
        <v>1915624.1353271084</v>
      </c>
      <c r="T374" s="350">
        <f t="shared" si="168"/>
        <v>1935734.5984944778</v>
      </c>
      <c r="U374" s="350">
        <f t="shared" si="169"/>
        <v>1954264.7268258792</v>
      </c>
      <c r="V374" s="350">
        <f t="shared" si="170"/>
        <v>9570483.0232854709</v>
      </c>
      <c r="W374" s="365"/>
      <c r="X374" s="377">
        <f t="shared" si="148"/>
        <v>0</v>
      </c>
      <c r="Y374" s="377">
        <f t="shared" si="149"/>
        <v>0</v>
      </c>
      <c r="Z374" s="377">
        <f t="shared" si="150"/>
        <v>0</v>
      </c>
      <c r="AA374" s="377">
        <f t="shared" si="151"/>
        <v>0</v>
      </c>
      <c r="AB374" s="377">
        <f t="shared" si="152"/>
        <v>0</v>
      </c>
      <c r="AC374" s="377">
        <f t="shared" si="153"/>
        <v>0</v>
      </c>
      <c r="AD374" s="376"/>
      <c r="AE374" s="332">
        <v>359</v>
      </c>
      <c r="AF374" s="350">
        <v>5776604.4638444791</v>
      </c>
      <c r="AG374" s="350">
        <v>35681.92862944807</v>
      </c>
      <c r="AH374" s="350">
        <v>34164.19459978924</v>
      </c>
      <c r="AI374" s="350">
        <v>32605.620750016584</v>
      </c>
      <c r="AJ374" s="350">
        <v>31006.286689917546</v>
      </c>
      <c r="AK374" s="348">
        <v>5910062.4945136504</v>
      </c>
      <c r="AL374" s="369"/>
      <c r="AM374" s="350">
        <v>7494962.8623251775</v>
      </c>
      <c r="AN374" s="350">
        <v>1775268.8332743354</v>
      </c>
      <c r="AO374" s="350">
        <v>1793625.1707927256</v>
      </c>
      <c r="AP374" s="350">
        <v>1810537.6396196594</v>
      </c>
      <c r="AQ374" s="350">
        <v>1825957.8435167698</v>
      </c>
      <c r="AR374" s="348">
        <v>14700352.349528667</v>
      </c>
      <c r="AS374" s="369"/>
      <c r="AT374" s="350">
        <f t="shared" si="171"/>
        <v>1718358.3984806985</v>
      </c>
      <c r="AU374" s="350">
        <f t="shared" si="154"/>
        <v>1739586.9046448872</v>
      </c>
      <c r="AV374" s="350">
        <f t="shared" si="155"/>
        <v>1759460.9761929363</v>
      </c>
      <c r="AW374" s="350">
        <f t="shared" si="156"/>
        <v>1777932.0188696429</v>
      </c>
      <c r="AX374" s="350">
        <f t="shared" si="157"/>
        <v>1794951.5568268523</v>
      </c>
      <c r="AY374" s="350">
        <f t="shared" si="158"/>
        <v>8790289.8550150171</v>
      </c>
      <c r="AZ374" s="365"/>
      <c r="BA374" s="377">
        <f t="shared" si="159"/>
        <v>0</v>
      </c>
      <c r="BB374" s="377">
        <f t="shared" si="160"/>
        <v>0</v>
      </c>
      <c r="BC374" s="377">
        <f t="shared" si="161"/>
        <v>0</v>
      </c>
      <c r="BD374" s="377">
        <f t="shared" si="162"/>
        <v>0</v>
      </c>
      <c r="BE374" s="377">
        <f t="shared" si="163"/>
        <v>0</v>
      </c>
      <c r="BF374" s="377">
        <f t="shared" si="164"/>
        <v>0</v>
      </c>
      <c r="BG374" s="328"/>
    </row>
    <row r="375" spans="2:59">
      <c r="B375" s="332">
        <v>360</v>
      </c>
      <c r="C375" s="350">
        <v>5708365.0008284748</v>
      </c>
      <c r="D375" s="350">
        <v>35260.415322747394</v>
      </c>
      <c r="E375" s="350">
        <v>33760.610399338933</v>
      </c>
      <c r="F375" s="350">
        <v>32220.448099680703</v>
      </c>
      <c r="G375" s="350">
        <v>30640.007093125143</v>
      </c>
      <c r="H375" s="348">
        <v>5840246.4817433665</v>
      </c>
      <c r="I375" s="369"/>
      <c r="J375" s="350">
        <v>7880411.9996580463</v>
      </c>
      <c r="K375" s="350">
        <v>2234140.7646014011</v>
      </c>
      <c r="L375" s="350">
        <v>2257762.2716805618</v>
      </c>
      <c r="M375" s="350">
        <v>2279569.9586111149</v>
      </c>
      <c r="N375" s="350">
        <v>2299502.6294059763</v>
      </c>
      <c r="O375" s="348">
        <v>16951387.623957098</v>
      </c>
      <c r="P375" s="369"/>
      <c r="Q375" s="350">
        <f t="shared" si="165"/>
        <v>2172046.9988295715</v>
      </c>
      <c r="R375" s="350">
        <f t="shared" si="166"/>
        <v>2198880.3492786535</v>
      </c>
      <c r="S375" s="350">
        <f t="shared" si="167"/>
        <v>2224001.6612812229</v>
      </c>
      <c r="T375" s="350">
        <f t="shared" si="168"/>
        <v>2247349.5105114342</v>
      </c>
      <c r="U375" s="350">
        <f t="shared" si="169"/>
        <v>2268862.6223128513</v>
      </c>
      <c r="V375" s="350">
        <f t="shared" si="170"/>
        <v>11111141.142213732</v>
      </c>
      <c r="W375" s="365"/>
      <c r="X375" s="377">
        <f t="shared" si="148"/>
        <v>0</v>
      </c>
      <c r="Y375" s="377">
        <f t="shared" si="149"/>
        <v>0</v>
      </c>
      <c r="Z375" s="377">
        <f t="shared" si="150"/>
        <v>0</v>
      </c>
      <c r="AA375" s="377">
        <f t="shared" si="151"/>
        <v>0</v>
      </c>
      <c r="AB375" s="377">
        <f t="shared" si="152"/>
        <v>0</v>
      </c>
      <c r="AC375" s="377">
        <f t="shared" si="153"/>
        <v>0</v>
      </c>
      <c r="AD375" s="376"/>
      <c r="AE375" s="332">
        <v>360</v>
      </c>
      <c r="AF375" s="350">
        <v>4930772.8264564686</v>
      </c>
      <c r="AG375" s="350">
        <v>30457.249614862336</v>
      </c>
      <c r="AH375" s="350">
        <v>29161.747774972795</v>
      </c>
      <c r="AI375" s="350">
        <v>27831.386031394661</v>
      </c>
      <c r="AJ375" s="350">
        <v>26466.232337154954</v>
      </c>
      <c r="AK375" s="348">
        <v>5044689.4422148541</v>
      </c>
      <c r="AL375" s="369"/>
      <c r="AM375" s="350">
        <v>6577823.1189456545</v>
      </c>
      <c r="AN375" s="350">
        <v>1697855.1118064732</v>
      </c>
      <c r="AO375" s="350">
        <v>1715608.9511198075</v>
      </c>
      <c r="AP375" s="350">
        <v>1731983.1242800965</v>
      </c>
      <c r="AQ375" s="350">
        <v>1746931.235033616</v>
      </c>
      <c r="AR375" s="348">
        <v>13470201.541185649</v>
      </c>
      <c r="AS375" s="369"/>
      <c r="AT375" s="350">
        <f t="shared" si="171"/>
        <v>1647050.2924891859</v>
      </c>
      <c r="AU375" s="350">
        <f t="shared" si="154"/>
        <v>1667397.862191611</v>
      </c>
      <c r="AV375" s="350">
        <f t="shared" si="155"/>
        <v>1686447.2033448347</v>
      </c>
      <c r="AW375" s="350">
        <f t="shared" si="156"/>
        <v>1704151.7382487019</v>
      </c>
      <c r="AX375" s="350">
        <f t="shared" si="157"/>
        <v>1720465.002696461</v>
      </c>
      <c r="AY375" s="350">
        <f t="shared" si="158"/>
        <v>8425512.0989707951</v>
      </c>
      <c r="AZ375" s="365"/>
      <c r="BA375" s="377">
        <f t="shared" si="159"/>
        <v>0</v>
      </c>
      <c r="BB375" s="377">
        <f t="shared" si="160"/>
        <v>0</v>
      </c>
      <c r="BC375" s="377">
        <f t="shared" si="161"/>
        <v>0</v>
      </c>
      <c r="BD375" s="377">
        <f t="shared" si="162"/>
        <v>0</v>
      </c>
      <c r="BE375" s="377">
        <f t="shared" si="163"/>
        <v>0</v>
      </c>
      <c r="BF375" s="377">
        <f t="shared" si="164"/>
        <v>0</v>
      </c>
      <c r="BG375" s="328"/>
    </row>
    <row r="376" spans="2:59">
      <c r="B376" s="332">
        <v>361</v>
      </c>
      <c r="C376" s="350">
        <v>7573779.9837666079</v>
      </c>
      <c r="D376" s="350">
        <v>46783.032926586187</v>
      </c>
      <c r="E376" s="350">
        <v>44793.112431519519</v>
      </c>
      <c r="F376" s="350">
        <v>42749.64632603724</v>
      </c>
      <c r="G376" s="350">
        <v>40652.738987555706</v>
      </c>
      <c r="H376" s="348">
        <v>7748758.5144383069</v>
      </c>
      <c r="I376" s="369"/>
      <c r="J376" s="350">
        <v>10628827.522713779</v>
      </c>
      <c r="K376" s="350">
        <v>3139572.4629540863</v>
      </c>
      <c r="L376" s="350">
        <v>3172916.4014638797</v>
      </c>
      <c r="M376" s="350">
        <v>3203712.3671795772</v>
      </c>
      <c r="N376" s="350">
        <v>3231874.2798847817</v>
      </c>
      <c r="O376" s="348">
        <v>23376903.034196105</v>
      </c>
      <c r="P376" s="369"/>
      <c r="Q376" s="350">
        <f t="shared" si="165"/>
        <v>3055047.5389471706</v>
      </c>
      <c r="R376" s="350">
        <f t="shared" si="166"/>
        <v>3092789.4300275003</v>
      </c>
      <c r="S376" s="350">
        <f t="shared" si="167"/>
        <v>3128123.2890323601</v>
      </c>
      <c r="T376" s="350">
        <f t="shared" si="168"/>
        <v>3160962.7208535401</v>
      </c>
      <c r="U376" s="350">
        <f t="shared" si="169"/>
        <v>3191221.540897226</v>
      </c>
      <c r="V376" s="350">
        <f t="shared" si="170"/>
        <v>15628144.519757798</v>
      </c>
      <c r="W376" s="365"/>
      <c r="X376" s="377">
        <f t="shared" si="148"/>
        <v>0</v>
      </c>
      <c r="Y376" s="377">
        <f t="shared" si="149"/>
        <v>0</v>
      </c>
      <c r="Z376" s="377">
        <f t="shared" si="150"/>
        <v>0</v>
      </c>
      <c r="AA376" s="377">
        <f t="shared" si="151"/>
        <v>0</v>
      </c>
      <c r="AB376" s="377">
        <f t="shared" si="152"/>
        <v>0</v>
      </c>
      <c r="AC376" s="377">
        <f t="shared" si="153"/>
        <v>0</v>
      </c>
      <c r="AD376" s="376"/>
      <c r="AE376" s="332">
        <v>361</v>
      </c>
      <c r="AF376" s="350">
        <v>5754069.2537491657</v>
      </c>
      <c r="AG376" s="350">
        <v>35542.729249724471</v>
      </c>
      <c r="AH376" s="350">
        <v>34030.916078149807</v>
      </c>
      <c r="AI376" s="350">
        <v>32478.422407376082</v>
      </c>
      <c r="AJ376" s="350">
        <v>30885.327536627581</v>
      </c>
      <c r="AK376" s="348">
        <v>5887006.6490210425</v>
      </c>
      <c r="AL376" s="369"/>
      <c r="AM376" s="350">
        <v>7273596.1919762213</v>
      </c>
      <c r="AN376" s="350">
        <v>1573841.8205988079</v>
      </c>
      <c r="AO376" s="350">
        <v>1589904.4477280548</v>
      </c>
      <c r="AP376" s="350">
        <v>1604685.7101288966</v>
      </c>
      <c r="AQ376" s="350">
        <v>1618142.8203987197</v>
      </c>
      <c r="AR376" s="348">
        <v>13660170.990830699</v>
      </c>
      <c r="AS376" s="369"/>
      <c r="AT376" s="350">
        <f t="shared" si="171"/>
        <v>1519526.9382270556</v>
      </c>
      <c r="AU376" s="350">
        <f t="shared" si="154"/>
        <v>1538299.0913490835</v>
      </c>
      <c r="AV376" s="350">
        <f t="shared" si="155"/>
        <v>1555873.531649905</v>
      </c>
      <c r="AW376" s="350">
        <f t="shared" si="156"/>
        <v>1572207.2877215205</v>
      </c>
      <c r="AX376" s="350">
        <f t="shared" si="157"/>
        <v>1587257.4928620921</v>
      </c>
      <c r="AY376" s="350">
        <f t="shared" si="158"/>
        <v>7773164.3418096565</v>
      </c>
      <c r="AZ376" s="365"/>
      <c r="BA376" s="377">
        <f t="shared" si="159"/>
        <v>0</v>
      </c>
      <c r="BB376" s="377">
        <f t="shared" si="160"/>
        <v>0</v>
      </c>
      <c r="BC376" s="377">
        <f t="shared" si="161"/>
        <v>0</v>
      </c>
      <c r="BD376" s="377">
        <f t="shared" si="162"/>
        <v>0</v>
      </c>
      <c r="BE376" s="377">
        <f t="shared" si="163"/>
        <v>0</v>
      </c>
      <c r="BF376" s="377">
        <f t="shared" si="164"/>
        <v>0</v>
      </c>
      <c r="BG376" s="328"/>
    </row>
    <row r="377" spans="2:59">
      <c r="B377" s="332">
        <v>362</v>
      </c>
      <c r="C377" s="350">
        <v>6091647.092416456</v>
      </c>
      <c r="D377" s="350">
        <v>37627.938375882375</v>
      </c>
      <c r="E377" s="350">
        <v>36027.430647389068</v>
      </c>
      <c r="F377" s="350">
        <v>34383.855789582347</v>
      </c>
      <c r="G377" s="350">
        <v>32697.297753973595</v>
      </c>
      <c r="H377" s="348">
        <v>6232383.6149832839</v>
      </c>
      <c r="I377" s="369"/>
      <c r="J377" s="350">
        <v>7983616.5427883267</v>
      </c>
      <c r="K377" s="350">
        <v>1952970.6764013579</v>
      </c>
      <c r="L377" s="350">
        <v>1973252.1790012459</v>
      </c>
      <c r="M377" s="350">
        <v>1991945.8332638273</v>
      </c>
      <c r="N377" s="350">
        <v>2008998.349627919</v>
      </c>
      <c r="O377" s="348">
        <v>15910783.581082677</v>
      </c>
      <c r="P377" s="369"/>
      <c r="Q377" s="350">
        <f t="shared" si="165"/>
        <v>1891969.4503718708</v>
      </c>
      <c r="R377" s="350">
        <f t="shared" si="166"/>
        <v>1915342.7380254755</v>
      </c>
      <c r="S377" s="350">
        <f t="shared" si="167"/>
        <v>1937224.7483538568</v>
      </c>
      <c r="T377" s="350">
        <f t="shared" si="168"/>
        <v>1957561.977474245</v>
      </c>
      <c r="U377" s="350">
        <f t="shared" si="169"/>
        <v>1976301.0518739454</v>
      </c>
      <c r="V377" s="350">
        <f t="shared" si="170"/>
        <v>9678399.9660993926</v>
      </c>
      <c r="W377" s="365"/>
      <c r="X377" s="377">
        <f t="shared" si="148"/>
        <v>0</v>
      </c>
      <c r="Y377" s="377">
        <f t="shared" si="149"/>
        <v>0</v>
      </c>
      <c r="Z377" s="377">
        <f t="shared" si="150"/>
        <v>0</v>
      </c>
      <c r="AA377" s="377">
        <f t="shared" si="151"/>
        <v>0</v>
      </c>
      <c r="AB377" s="377">
        <f t="shared" si="152"/>
        <v>0</v>
      </c>
      <c r="AC377" s="377">
        <f t="shared" si="153"/>
        <v>0</v>
      </c>
      <c r="AD377" s="376"/>
      <c r="AE377" s="332">
        <v>362</v>
      </c>
      <c r="AF377" s="350">
        <v>5313027.5414621355</v>
      </c>
      <c r="AG377" s="350">
        <v>32818.426590794639</v>
      </c>
      <c r="AH377" s="350">
        <v>31422.491876785327</v>
      </c>
      <c r="AI377" s="350">
        <v>29988.994769432811</v>
      </c>
      <c r="AJ377" s="350">
        <v>28518.008489775315</v>
      </c>
      <c r="AK377" s="348">
        <v>5435775.4631889239</v>
      </c>
      <c r="AL377" s="369"/>
      <c r="AM377" s="350">
        <v>8591150.4545230232</v>
      </c>
      <c r="AN377" s="350">
        <v>3351439.0917669591</v>
      </c>
      <c r="AO377" s="350">
        <v>3387957.0458988864</v>
      </c>
      <c r="AP377" s="350">
        <v>3421760.8708078116</v>
      </c>
      <c r="AQ377" s="350">
        <v>3452758.1620403132</v>
      </c>
      <c r="AR377" s="348">
        <v>22205065.625036992</v>
      </c>
      <c r="AS377" s="369"/>
      <c r="AT377" s="350">
        <f t="shared" si="171"/>
        <v>3278122.9130608877</v>
      </c>
      <c r="AU377" s="350">
        <f t="shared" si="154"/>
        <v>3318620.6651761644</v>
      </c>
      <c r="AV377" s="350">
        <f t="shared" si="155"/>
        <v>3356534.5540221012</v>
      </c>
      <c r="AW377" s="350">
        <f t="shared" si="156"/>
        <v>3391771.876038379</v>
      </c>
      <c r="AX377" s="350">
        <f t="shared" si="157"/>
        <v>3424240.1535505378</v>
      </c>
      <c r="AY377" s="350">
        <f t="shared" si="158"/>
        <v>16769290.161848068</v>
      </c>
      <c r="AZ377" s="365"/>
      <c r="BA377" s="377">
        <f t="shared" si="159"/>
        <v>0</v>
      </c>
      <c r="BB377" s="377">
        <f t="shared" si="160"/>
        <v>0</v>
      </c>
      <c r="BC377" s="377">
        <f t="shared" si="161"/>
        <v>0</v>
      </c>
      <c r="BD377" s="377">
        <f t="shared" si="162"/>
        <v>0</v>
      </c>
      <c r="BE377" s="377">
        <f t="shared" si="163"/>
        <v>0</v>
      </c>
      <c r="BF377" s="377">
        <f t="shared" si="164"/>
        <v>0</v>
      </c>
      <c r="BG377" s="328"/>
    </row>
    <row r="378" spans="2:59">
      <c r="B378" s="332">
        <v>363</v>
      </c>
      <c r="C378" s="350">
        <v>6281518.0227378374</v>
      </c>
      <c r="D378" s="350">
        <v>38800.765947327651</v>
      </c>
      <c r="E378" s="350">
        <v>37150.371893055271</v>
      </c>
      <c r="F378" s="350">
        <v>35455.56834740944</v>
      </c>
      <c r="G378" s="350">
        <v>33716.441878601348</v>
      </c>
      <c r="H378" s="348">
        <v>6426641.1708042314</v>
      </c>
      <c r="I378" s="369"/>
      <c r="J378" s="350">
        <v>8909541.0687419511</v>
      </c>
      <c r="K378" s="350">
        <v>2699290.2656790516</v>
      </c>
      <c r="L378" s="350">
        <v>2728034.8800772615</v>
      </c>
      <c r="M378" s="350">
        <v>2754589.3206247129</v>
      </c>
      <c r="N378" s="350">
        <v>2778879.5358947609</v>
      </c>
      <c r="O378" s="348">
        <v>19870335.071017735</v>
      </c>
      <c r="P378" s="369"/>
      <c r="Q378" s="350">
        <f t="shared" si="165"/>
        <v>2628023.0460041137</v>
      </c>
      <c r="R378" s="350">
        <f t="shared" si="166"/>
        <v>2660489.4997317242</v>
      </c>
      <c r="S378" s="350">
        <f t="shared" si="167"/>
        <v>2690884.5081842062</v>
      </c>
      <c r="T378" s="350">
        <f t="shared" si="168"/>
        <v>2719133.7522773035</v>
      </c>
      <c r="U378" s="350">
        <f t="shared" si="169"/>
        <v>2745163.0940161594</v>
      </c>
      <c r="V378" s="350">
        <f t="shared" si="170"/>
        <v>13443693.900213502</v>
      </c>
      <c r="W378" s="365"/>
      <c r="X378" s="377">
        <f t="shared" si="148"/>
        <v>0</v>
      </c>
      <c r="Y378" s="377">
        <f t="shared" si="149"/>
        <v>0</v>
      </c>
      <c r="Z378" s="377">
        <f t="shared" si="150"/>
        <v>0</v>
      </c>
      <c r="AA378" s="377">
        <f t="shared" si="151"/>
        <v>0</v>
      </c>
      <c r="AB378" s="377">
        <f t="shared" si="152"/>
        <v>0</v>
      </c>
      <c r="AC378" s="377">
        <f t="shared" si="153"/>
        <v>0</v>
      </c>
      <c r="AD378" s="376"/>
      <c r="AE378" s="332">
        <v>363</v>
      </c>
      <c r="AF378" s="350">
        <v>5458941.552591892</v>
      </c>
      <c r="AG378" s="350">
        <v>33719.733468174854</v>
      </c>
      <c r="AH378" s="350">
        <v>32285.461585422247</v>
      </c>
      <c r="AI378" s="350">
        <v>30812.595716802887</v>
      </c>
      <c r="AJ378" s="350">
        <v>29301.211094262173</v>
      </c>
      <c r="AK378" s="348">
        <v>5585060.5544565544</v>
      </c>
      <c r="AL378" s="369"/>
      <c r="AM378" s="350">
        <v>7620843.4741440117</v>
      </c>
      <c r="AN378" s="350">
        <v>2222329.6737366542</v>
      </c>
      <c r="AO378" s="350">
        <v>2245899.3786184606</v>
      </c>
      <c r="AP378" s="350">
        <v>2267665.3101341054</v>
      </c>
      <c r="AQ378" s="350">
        <v>2287566.5550573869</v>
      </c>
      <c r="AR378" s="348">
        <v>16644304.391690619</v>
      </c>
      <c r="AS378" s="369"/>
      <c r="AT378" s="350">
        <f t="shared" si="171"/>
        <v>2161901.9215521198</v>
      </c>
      <c r="AU378" s="350">
        <f t="shared" si="154"/>
        <v>2188609.9402684793</v>
      </c>
      <c r="AV378" s="350">
        <f t="shared" si="155"/>
        <v>2213613.9170330386</v>
      </c>
      <c r="AW378" s="350">
        <f t="shared" si="156"/>
        <v>2236852.7144173025</v>
      </c>
      <c r="AX378" s="350">
        <f t="shared" si="157"/>
        <v>2258265.3439631248</v>
      </c>
      <c r="AY378" s="350">
        <f t="shared" si="158"/>
        <v>11059243.837234065</v>
      </c>
      <c r="AZ378" s="365"/>
      <c r="BA378" s="377">
        <f t="shared" si="159"/>
        <v>0</v>
      </c>
      <c r="BB378" s="377">
        <f t="shared" si="160"/>
        <v>0</v>
      </c>
      <c r="BC378" s="377">
        <f t="shared" si="161"/>
        <v>0</v>
      </c>
      <c r="BD378" s="377">
        <f t="shared" si="162"/>
        <v>0</v>
      </c>
      <c r="BE378" s="377">
        <f t="shared" si="163"/>
        <v>0</v>
      </c>
      <c r="BF378" s="377">
        <f t="shared" si="164"/>
        <v>0</v>
      </c>
      <c r="BG378" s="328"/>
    </row>
    <row r="379" spans="2:59">
      <c r="B379" s="332">
        <v>364</v>
      </c>
      <c r="C379" s="350">
        <v>5139580.7142055286</v>
      </c>
      <c r="D379" s="350">
        <v>31747.050257188293</v>
      </c>
      <c r="E379" s="350">
        <v>30396.686631472432</v>
      </c>
      <c r="F379" s="350">
        <v>29009.98685825858</v>
      </c>
      <c r="G379" s="350">
        <v>27587.021768246155</v>
      </c>
      <c r="H379" s="348">
        <v>5258321.4597206945</v>
      </c>
      <c r="I379" s="369"/>
      <c r="J379" s="350">
        <v>6922971.9505973998</v>
      </c>
      <c r="K379" s="350">
        <v>1837170.2049545641</v>
      </c>
      <c r="L379" s="350">
        <v>1856446.065207148</v>
      </c>
      <c r="M379" s="350">
        <v>1874229.4615359928</v>
      </c>
      <c r="N379" s="350">
        <v>1890470.1543110483</v>
      </c>
      <c r="O379" s="348">
        <v>14381287.836606152</v>
      </c>
      <c r="P379" s="369"/>
      <c r="Q379" s="350">
        <f t="shared" si="165"/>
        <v>1783391.2363918712</v>
      </c>
      <c r="R379" s="350">
        <f t="shared" si="166"/>
        <v>1805423.1546973758</v>
      </c>
      <c r="S379" s="350">
        <f t="shared" si="167"/>
        <v>1826049.3785756757</v>
      </c>
      <c r="T379" s="350">
        <f t="shared" si="168"/>
        <v>1845219.4746777343</v>
      </c>
      <c r="U379" s="350">
        <f t="shared" si="169"/>
        <v>1862883.1325428023</v>
      </c>
      <c r="V379" s="350">
        <f t="shared" si="170"/>
        <v>9122966.3768854588</v>
      </c>
      <c r="W379" s="365"/>
      <c r="X379" s="377">
        <f t="shared" si="148"/>
        <v>0</v>
      </c>
      <c r="Y379" s="377">
        <f t="shared" si="149"/>
        <v>0</v>
      </c>
      <c r="Z379" s="377">
        <f t="shared" si="150"/>
        <v>0</v>
      </c>
      <c r="AA379" s="377">
        <f t="shared" si="151"/>
        <v>0</v>
      </c>
      <c r="AB379" s="377">
        <f t="shared" si="152"/>
        <v>0</v>
      </c>
      <c r="AC379" s="377">
        <f t="shared" si="153"/>
        <v>0</v>
      </c>
      <c r="AD379" s="376"/>
      <c r="AE379" s="332">
        <v>364</v>
      </c>
      <c r="AF379" s="350">
        <v>4685707.1417346885</v>
      </c>
      <c r="AG379" s="350">
        <v>28943.485546974935</v>
      </c>
      <c r="AH379" s="350">
        <v>27712.371797273488</v>
      </c>
      <c r="AI379" s="350">
        <v>26448.130725462284</v>
      </c>
      <c r="AJ379" s="350">
        <v>25150.82690721731</v>
      </c>
      <c r="AK379" s="348">
        <v>4793961.9567116173</v>
      </c>
      <c r="AL379" s="369"/>
      <c r="AM379" s="350">
        <v>6424727.7986771604</v>
      </c>
      <c r="AN379" s="350">
        <v>1789447.9090705002</v>
      </c>
      <c r="AO379" s="350">
        <v>1808329.8409986803</v>
      </c>
      <c r="AP379" s="350">
        <v>1825758.7461287663</v>
      </c>
      <c r="AQ379" s="350">
        <v>1841685.6302944515</v>
      </c>
      <c r="AR379" s="348">
        <v>13689949.925169557</v>
      </c>
      <c r="AS379" s="369"/>
      <c r="AT379" s="350">
        <f t="shared" si="171"/>
        <v>1739020.6569424719</v>
      </c>
      <c r="AU379" s="350">
        <f t="shared" si="154"/>
        <v>1760504.4235235252</v>
      </c>
      <c r="AV379" s="350">
        <f t="shared" si="155"/>
        <v>1780617.4692014069</v>
      </c>
      <c r="AW379" s="350">
        <f t="shared" si="156"/>
        <v>1799310.6154033041</v>
      </c>
      <c r="AX379" s="350">
        <f t="shared" si="157"/>
        <v>1816534.8033872342</v>
      </c>
      <c r="AY379" s="350">
        <f t="shared" si="158"/>
        <v>8895987.968457941</v>
      </c>
      <c r="AZ379" s="365"/>
      <c r="BA379" s="377">
        <f t="shared" si="159"/>
        <v>0</v>
      </c>
      <c r="BB379" s="377">
        <f t="shared" si="160"/>
        <v>0</v>
      </c>
      <c r="BC379" s="377">
        <f t="shared" si="161"/>
        <v>0</v>
      </c>
      <c r="BD379" s="377">
        <f t="shared" si="162"/>
        <v>0</v>
      </c>
      <c r="BE379" s="377">
        <f t="shared" si="163"/>
        <v>0</v>
      </c>
      <c r="BF379" s="377">
        <f t="shared" si="164"/>
        <v>0</v>
      </c>
      <c r="BG379" s="328"/>
    </row>
    <row r="380" spans="2:59">
      <c r="B380" s="332">
        <v>365</v>
      </c>
      <c r="C380" s="350">
        <v>4199981.6243206859</v>
      </c>
      <c r="D380" s="350">
        <v>25943.172239330539</v>
      </c>
      <c r="E380" s="350">
        <v>24839.67708485551</v>
      </c>
      <c r="F380" s="350">
        <v>23706.488622643272</v>
      </c>
      <c r="G380" s="350">
        <v>22543.664734386384</v>
      </c>
      <c r="H380" s="348">
        <v>4297014.6270019021</v>
      </c>
      <c r="I380" s="369"/>
      <c r="J380" s="350">
        <v>5631020.3026706241</v>
      </c>
      <c r="K380" s="350">
        <v>1474660.8245631515</v>
      </c>
      <c r="L380" s="350">
        <v>1490108.3382707976</v>
      </c>
      <c r="M380" s="350">
        <v>1504357.7245515436</v>
      </c>
      <c r="N380" s="350">
        <v>1517368.6708883708</v>
      </c>
      <c r="O380" s="348">
        <v>11617515.860944487</v>
      </c>
      <c r="P380" s="369"/>
      <c r="Q380" s="350">
        <f t="shared" si="165"/>
        <v>1431038.6783499382</v>
      </c>
      <c r="R380" s="350">
        <f t="shared" si="166"/>
        <v>1448717.6523238209</v>
      </c>
      <c r="S380" s="350">
        <f t="shared" si="167"/>
        <v>1465268.6611859421</v>
      </c>
      <c r="T380" s="350">
        <f t="shared" si="168"/>
        <v>1480651.2359289003</v>
      </c>
      <c r="U380" s="350">
        <f t="shared" si="169"/>
        <v>1494825.0061539845</v>
      </c>
      <c r="V380" s="350">
        <f t="shared" si="170"/>
        <v>7320501.2339425851</v>
      </c>
      <c r="W380" s="365"/>
      <c r="X380" s="377">
        <f t="shared" si="148"/>
        <v>0</v>
      </c>
      <c r="Y380" s="377">
        <f t="shared" si="149"/>
        <v>0</v>
      </c>
      <c r="Z380" s="377">
        <f t="shared" si="150"/>
        <v>0</v>
      </c>
      <c r="AA380" s="377">
        <f t="shared" si="151"/>
        <v>0</v>
      </c>
      <c r="AB380" s="377">
        <f t="shared" si="152"/>
        <v>0</v>
      </c>
      <c r="AC380" s="377">
        <f t="shared" si="153"/>
        <v>0</v>
      </c>
      <c r="AD380" s="376"/>
      <c r="AE380" s="332">
        <v>365</v>
      </c>
      <c r="AF380" s="350">
        <v>4550658.3977804622</v>
      </c>
      <c r="AG380" s="350">
        <v>28109.293129364196</v>
      </c>
      <c r="AH380" s="350">
        <v>26913.661828850571</v>
      </c>
      <c r="AI380" s="350">
        <v>25685.857982763864</v>
      </c>
      <c r="AJ380" s="350">
        <v>24425.944305618887</v>
      </c>
      <c r="AK380" s="348">
        <v>4655793.1550270598</v>
      </c>
      <c r="AL380" s="369"/>
      <c r="AM380" s="350">
        <v>6569702.7286312189</v>
      </c>
      <c r="AN380" s="350">
        <v>2072096.7877934035</v>
      </c>
      <c r="AO380" s="350">
        <v>2094252.8807463925</v>
      </c>
      <c r="AP380" s="350">
        <v>2114728.2641016957</v>
      </c>
      <c r="AQ380" s="350">
        <v>2133466.0422079312</v>
      </c>
      <c r="AR380" s="348">
        <v>14984246.703480642</v>
      </c>
      <c r="AS380" s="369"/>
      <c r="AT380" s="350">
        <f t="shared" si="171"/>
        <v>2019044.3308507567</v>
      </c>
      <c r="AU380" s="350">
        <f t="shared" si="154"/>
        <v>2043987.4946640392</v>
      </c>
      <c r="AV380" s="350">
        <f t="shared" si="155"/>
        <v>2067339.2189175419</v>
      </c>
      <c r="AW380" s="350">
        <f t="shared" si="156"/>
        <v>2089042.4061189319</v>
      </c>
      <c r="AX380" s="350">
        <f t="shared" si="157"/>
        <v>2109040.0979023124</v>
      </c>
      <c r="AY380" s="350">
        <f t="shared" si="158"/>
        <v>10328453.548453582</v>
      </c>
      <c r="AZ380" s="365"/>
      <c r="BA380" s="377">
        <f t="shared" si="159"/>
        <v>0</v>
      </c>
      <c r="BB380" s="377">
        <f t="shared" si="160"/>
        <v>0</v>
      </c>
      <c r="BC380" s="377">
        <f t="shared" si="161"/>
        <v>0</v>
      </c>
      <c r="BD380" s="377">
        <f t="shared" si="162"/>
        <v>0</v>
      </c>
      <c r="BE380" s="377">
        <f t="shared" si="163"/>
        <v>0</v>
      </c>
      <c r="BF380" s="377">
        <f t="shared" si="164"/>
        <v>0</v>
      </c>
      <c r="BG380" s="328"/>
    </row>
    <row r="381" spans="2:59">
      <c r="B381" s="332">
        <v>366</v>
      </c>
      <c r="C381" s="350">
        <v>5876283.5074263522</v>
      </c>
      <c r="D381" s="350">
        <v>36297.643370036967</v>
      </c>
      <c r="E381" s="350">
        <v>34753.719858748635</v>
      </c>
      <c r="F381" s="350">
        <v>33168.251809855035</v>
      </c>
      <c r="G381" s="350">
        <v>31541.320206858141</v>
      </c>
      <c r="H381" s="348">
        <v>6012044.4426718513</v>
      </c>
      <c r="I381" s="369"/>
      <c r="J381" s="350">
        <v>7743839.600639143</v>
      </c>
      <c r="K381" s="350">
        <v>1926925.4229503451</v>
      </c>
      <c r="L381" s="350">
        <v>1946981.1514379187</v>
      </c>
      <c r="M381" s="350">
        <v>1965470.4875331321</v>
      </c>
      <c r="N381" s="350">
        <v>1982340.8274211986</v>
      </c>
      <c r="O381" s="348">
        <v>15565557.489981737</v>
      </c>
      <c r="P381" s="369"/>
      <c r="Q381" s="350">
        <f t="shared" si="165"/>
        <v>1867556.0932127908</v>
      </c>
      <c r="R381" s="350">
        <f t="shared" si="166"/>
        <v>1890627.7795803081</v>
      </c>
      <c r="S381" s="350">
        <f t="shared" si="167"/>
        <v>1912227.4315791701</v>
      </c>
      <c r="T381" s="350">
        <f t="shared" si="168"/>
        <v>1932302.2357232771</v>
      </c>
      <c r="U381" s="350">
        <f t="shared" si="169"/>
        <v>1950799.5072143404</v>
      </c>
      <c r="V381" s="350">
        <f t="shared" si="170"/>
        <v>9553513.0473098867</v>
      </c>
      <c r="W381" s="365"/>
      <c r="X381" s="377">
        <f t="shared" si="148"/>
        <v>0</v>
      </c>
      <c r="Y381" s="377">
        <f t="shared" si="149"/>
        <v>0</v>
      </c>
      <c r="Z381" s="377">
        <f t="shared" si="150"/>
        <v>0</v>
      </c>
      <c r="AA381" s="377">
        <f t="shared" si="151"/>
        <v>0</v>
      </c>
      <c r="AB381" s="377">
        <f t="shared" si="152"/>
        <v>0</v>
      </c>
      <c r="AC381" s="377">
        <f t="shared" si="153"/>
        <v>0</v>
      </c>
      <c r="AD381" s="376"/>
      <c r="AE381" s="332">
        <v>366</v>
      </c>
      <c r="AF381" s="350">
        <v>6334485.4718249645</v>
      </c>
      <c r="AG381" s="350">
        <v>39127.944439439489</v>
      </c>
      <c r="AH381" s="350">
        <v>37463.633818706607</v>
      </c>
      <c r="AI381" s="350">
        <v>35754.539233824289</v>
      </c>
      <c r="AJ381" s="350">
        <v>34000.747982977024</v>
      </c>
      <c r="AK381" s="348">
        <v>6480832.3372999113</v>
      </c>
      <c r="AL381" s="369"/>
      <c r="AM381" s="350">
        <v>8435542.6789954081</v>
      </c>
      <c r="AN381" s="350">
        <v>2166141.4980351473</v>
      </c>
      <c r="AO381" s="350">
        <v>2188777.4505602019</v>
      </c>
      <c r="AP381" s="350">
        <v>2209653.1190690687</v>
      </c>
      <c r="AQ381" s="350">
        <v>2228709.3188650985</v>
      </c>
      <c r="AR381" s="348">
        <v>17228824.065524925</v>
      </c>
      <c r="AS381" s="369"/>
      <c r="AT381" s="350">
        <f t="shared" si="171"/>
        <v>2101057.2071704436</v>
      </c>
      <c r="AU381" s="350">
        <f t="shared" si="154"/>
        <v>2127013.5535957078</v>
      </c>
      <c r="AV381" s="350">
        <f t="shared" si="155"/>
        <v>2151313.8167414954</v>
      </c>
      <c r="AW381" s="350">
        <f t="shared" si="156"/>
        <v>2173898.5798352445</v>
      </c>
      <c r="AX381" s="350">
        <f t="shared" si="157"/>
        <v>2194708.5708821216</v>
      </c>
      <c r="AY381" s="350">
        <f t="shared" si="158"/>
        <v>10747991.728225013</v>
      </c>
      <c r="AZ381" s="365"/>
      <c r="BA381" s="377">
        <f t="shared" si="159"/>
        <v>0</v>
      </c>
      <c r="BB381" s="377">
        <f t="shared" si="160"/>
        <v>0</v>
      </c>
      <c r="BC381" s="377">
        <f t="shared" si="161"/>
        <v>0</v>
      </c>
      <c r="BD381" s="377">
        <f t="shared" si="162"/>
        <v>0</v>
      </c>
      <c r="BE381" s="377">
        <f t="shared" si="163"/>
        <v>0</v>
      </c>
      <c r="BF381" s="377">
        <f t="shared" si="164"/>
        <v>0</v>
      </c>
      <c r="BG381" s="328"/>
    </row>
    <row r="382" spans="2:59">
      <c r="B382" s="332">
        <v>367</v>
      </c>
      <c r="C382" s="350">
        <v>6548170.7841587542</v>
      </c>
      <c r="D382" s="350">
        <v>40447.872800743593</v>
      </c>
      <c r="E382" s="350">
        <v>38727.418908956482</v>
      </c>
      <c r="F382" s="350">
        <v>36960.670326478961</v>
      </c>
      <c r="G382" s="350">
        <v>35147.717296370422</v>
      </c>
      <c r="H382" s="348">
        <v>6699454.4634913029</v>
      </c>
      <c r="I382" s="369"/>
      <c r="J382" s="350">
        <v>8295917.6710682055</v>
      </c>
      <c r="K382" s="350">
        <v>1809786.3296614948</v>
      </c>
      <c r="L382" s="350">
        <v>1828279.8466788202</v>
      </c>
      <c r="M382" s="350">
        <v>1845300.044617353</v>
      </c>
      <c r="N382" s="350">
        <v>1860797.7088063578</v>
      </c>
      <c r="O382" s="348">
        <v>15640081.600832231</v>
      </c>
      <c r="P382" s="369"/>
      <c r="Q382" s="350">
        <f t="shared" si="165"/>
        <v>1747746.8869094513</v>
      </c>
      <c r="R382" s="350">
        <f t="shared" si="166"/>
        <v>1769338.4568607511</v>
      </c>
      <c r="S382" s="350">
        <f t="shared" si="167"/>
        <v>1789552.4277698637</v>
      </c>
      <c r="T382" s="350">
        <f t="shared" si="168"/>
        <v>1808339.374290874</v>
      </c>
      <c r="U382" s="350">
        <f t="shared" si="169"/>
        <v>1825649.9915099875</v>
      </c>
      <c r="V382" s="350">
        <f t="shared" si="170"/>
        <v>8940627.1373409294</v>
      </c>
      <c r="W382" s="365"/>
      <c r="X382" s="377">
        <f t="shared" si="148"/>
        <v>0</v>
      </c>
      <c r="Y382" s="377">
        <f t="shared" si="149"/>
        <v>0</v>
      </c>
      <c r="Z382" s="377">
        <f t="shared" si="150"/>
        <v>0</v>
      </c>
      <c r="AA382" s="377">
        <f t="shared" si="151"/>
        <v>0</v>
      </c>
      <c r="AB382" s="377">
        <f t="shared" si="152"/>
        <v>0</v>
      </c>
      <c r="AC382" s="377">
        <f t="shared" si="153"/>
        <v>0</v>
      </c>
      <c r="AD382" s="376"/>
      <c r="AE382" s="332">
        <v>367</v>
      </c>
      <c r="AF382" s="350">
        <v>4880896.8519295091</v>
      </c>
      <c r="AG382" s="350">
        <v>30149.167077009555</v>
      </c>
      <c r="AH382" s="350">
        <v>28866.7695554567</v>
      </c>
      <c r="AI382" s="350">
        <v>27549.864746677013</v>
      </c>
      <c r="AJ382" s="350">
        <v>26198.519916337682</v>
      </c>
      <c r="AK382" s="348">
        <v>4993661.1732249903</v>
      </c>
      <c r="AL382" s="369"/>
      <c r="AM382" s="350">
        <v>7306299.1413981859</v>
      </c>
      <c r="AN382" s="350">
        <v>2485514.7444710378</v>
      </c>
      <c r="AO382" s="350">
        <v>2512283.8981720493</v>
      </c>
      <c r="AP382" s="350">
        <v>2537038.2188052768</v>
      </c>
      <c r="AQ382" s="350">
        <v>2559709.3516859915</v>
      </c>
      <c r="AR382" s="348">
        <v>17400845.35453254</v>
      </c>
      <c r="AS382" s="369"/>
      <c r="AT382" s="350">
        <f t="shared" si="171"/>
        <v>2425402.2894686768</v>
      </c>
      <c r="AU382" s="350">
        <f t="shared" si="154"/>
        <v>2455365.5773940282</v>
      </c>
      <c r="AV382" s="350">
        <f t="shared" si="155"/>
        <v>2483417.1286165928</v>
      </c>
      <c r="AW382" s="350">
        <f t="shared" si="156"/>
        <v>2509488.3540585996</v>
      </c>
      <c r="AX382" s="350">
        <f t="shared" si="157"/>
        <v>2533510.8317696536</v>
      </c>
      <c r="AY382" s="350">
        <f t="shared" si="158"/>
        <v>12407184.181307551</v>
      </c>
      <c r="AZ382" s="365"/>
      <c r="BA382" s="377">
        <f t="shared" si="159"/>
        <v>0</v>
      </c>
      <c r="BB382" s="377">
        <f t="shared" si="160"/>
        <v>0</v>
      </c>
      <c r="BC382" s="377">
        <f t="shared" si="161"/>
        <v>0</v>
      </c>
      <c r="BD382" s="377">
        <f t="shared" si="162"/>
        <v>0</v>
      </c>
      <c r="BE382" s="377">
        <f t="shared" si="163"/>
        <v>0</v>
      </c>
      <c r="BF382" s="377">
        <f t="shared" si="164"/>
        <v>0</v>
      </c>
      <c r="BG382" s="328"/>
    </row>
    <row r="383" spans="2:59">
      <c r="B383" s="332">
        <v>368</v>
      </c>
      <c r="C383" s="350">
        <v>6306035.8085237565</v>
      </c>
      <c r="D383" s="350">
        <v>38952.211643159557</v>
      </c>
      <c r="E383" s="350">
        <v>37295.375832650869</v>
      </c>
      <c r="F383" s="350">
        <v>35593.957193308932</v>
      </c>
      <c r="G383" s="350">
        <v>33848.04263123047</v>
      </c>
      <c r="H383" s="348">
        <v>6451725.3958241055</v>
      </c>
      <c r="I383" s="369"/>
      <c r="J383" s="350">
        <v>8548118.8922104612</v>
      </c>
      <c r="K383" s="350">
        <v>2308733.8677608222</v>
      </c>
      <c r="L383" s="350">
        <v>2333008.362493034</v>
      </c>
      <c r="M383" s="350">
        <v>2355407.6275993632</v>
      </c>
      <c r="N383" s="350">
        <v>2375868.4995724768</v>
      </c>
      <c r="O383" s="348">
        <v>17921137.249636158</v>
      </c>
      <c r="P383" s="369"/>
      <c r="Q383" s="350">
        <f t="shared" si="165"/>
        <v>2242083.0836867047</v>
      </c>
      <c r="R383" s="350">
        <f t="shared" si="166"/>
        <v>2269781.6561176628</v>
      </c>
      <c r="S383" s="350">
        <f t="shared" si="167"/>
        <v>2295712.9866603832</v>
      </c>
      <c r="T383" s="350">
        <f t="shared" si="168"/>
        <v>2319813.6704060542</v>
      </c>
      <c r="U383" s="350">
        <f t="shared" si="169"/>
        <v>2342020.4569412465</v>
      </c>
      <c r="V383" s="350">
        <f t="shared" si="170"/>
        <v>11469411.853812054</v>
      </c>
      <c r="W383" s="365"/>
      <c r="X383" s="377">
        <f t="shared" si="148"/>
        <v>0</v>
      </c>
      <c r="Y383" s="377">
        <f t="shared" si="149"/>
        <v>0</v>
      </c>
      <c r="Z383" s="377">
        <f t="shared" si="150"/>
        <v>0</v>
      </c>
      <c r="AA383" s="377">
        <f t="shared" si="151"/>
        <v>0</v>
      </c>
      <c r="AB383" s="377">
        <f t="shared" si="152"/>
        <v>0</v>
      </c>
      <c r="AC383" s="377">
        <f t="shared" si="153"/>
        <v>0</v>
      </c>
      <c r="AD383" s="376"/>
      <c r="AE383" s="332">
        <v>368</v>
      </c>
      <c r="AF383" s="350">
        <v>3993714.0671829134</v>
      </c>
      <c r="AG383" s="350">
        <v>24669.063150084767</v>
      </c>
      <c r="AH383" s="350">
        <v>23619.762339820481</v>
      </c>
      <c r="AI383" s="350">
        <v>22542.22650583127</v>
      </c>
      <c r="AJ383" s="350">
        <v>21436.510687146918</v>
      </c>
      <c r="AK383" s="348">
        <v>4085981.6298657968</v>
      </c>
      <c r="AL383" s="369"/>
      <c r="AM383" s="350">
        <v>5233113.6751457006</v>
      </c>
      <c r="AN383" s="350">
        <v>1279380.1464376897</v>
      </c>
      <c r="AO383" s="350">
        <v>1292665.4084910601</v>
      </c>
      <c r="AP383" s="350">
        <v>1304910.4735023989</v>
      </c>
      <c r="AQ383" s="350">
        <v>1316080.4323570079</v>
      </c>
      <c r="AR383" s="348">
        <v>10426150.135933857</v>
      </c>
      <c r="AS383" s="369"/>
      <c r="AT383" s="350">
        <f t="shared" si="171"/>
        <v>1239399.6079627872</v>
      </c>
      <c r="AU383" s="350">
        <f t="shared" si="154"/>
        <v>1254711.0832876049</v>
      </c>
      <c r="AV383" s="350">
        <f t="shared" si="155"/>
        <v>1269045.6461512398</v>
      </c>
      <c r="AW383" s="350">
        <f t="shared" si="156"/>
        <v>1282368.2469965676</v>
      </c>
      <c r="AX383" s="350">
        <f t="shared" si="157"/>
        <v>1294643.9216698608</v>
      </c>
      <c r="AY383" s="350">
        <f t="shared" si="158"/>
        <v>6340168.5060680602</v>
      </c>
      <c r="AZ383" s="365"/>
      <c r="BA383" s="377">
        <f t="shared" si="159"/>
        <v>0</v>
      </c>
      <c r="BB383" s="377">
        <f t="shared" si="160"/>
        <v>0</v>
      </c>
      <c r="BC383" s="377">
        <f t="shared" si="161"/>
        <v>0</v>
      </c>
      <c r="BD383" s="377">
        <f t="shared" si="162"/>
        <v>0</v>
      </c>
      <c r="BE383" s="377">
        <f t="shared" si="163"/>
        <v>0</v>
      </c>
      <c r="BF383" s="377">
        <f t="shared" si="164"/>
        <v>0</v>
      </c>
      <c r="BG383" s="328"/>
    </row>
    <row r="384" spans="2:59">
      <c r="B384" s="332">
        <v>369</v>
      </c>
      <c r="C384" s="350">
        <v>5087761.1681280276</v>
      </c>
      <c r="D384" s="350">
        <v>31426.962330739636</v>
      </c>
      <c r="E384" s="350">
        <v>30090.213673638536</v>
      </c>
      <c r="F384" s="350">
        <v>28717.495226295458</v>
      </c>
      <c r="G384" s="350">
        <v>27308.877105255629</v>
      </c>
      <c r="H384" s="348">
        <v>5205304.716463957</v>
      </c>
      <c r="I384" s="369"/>
      <c r="J384" s="350">
        <v>7740344.2370817605</v>
      </c>
      <c r="K384" s="350">
        <v>2716779.8981993687</v>
      </c>
      <c r="L384" s="350">
        <v>2746122.2126213904</v>
      </c>
      <c r="M384" s="350">
        <v>2773262.7397888605</v>
      </c>
      <c r="N384" s="350">
        <v>2798126.7189715141</v>
      </c>
      <c r="O384" s="348">
        <v>18774635.806662895</v>
      </c>
      <c r="P384" s="369"/>
      <c r="Q384" s="350">
        <f t="shared" si="165"/>
        <v>2652583.068953733</v>
      </c>
      <c r="R384" s="350">
        <f t="shared" si="166"/>
        <v>2685352.9358686293</v>
      </c>
      <c r="S384" s="350">
        <f t="shared" si="167"/>
        <v>2716031.9989477517</v>
      </c>
      <c r="T384" s="350">
        <f t="shared" si="168"/>
        <v>2744545.2445625649</v>
      </c>
      <c r="U384" s="350">
        <f t="shared" si="169"/>
        <v>2770817.8418662585</v>
      </c>
      <c r="V384" s="350">
        <f t="shared" si="170"/>
        <v>13569331.090198938</v>
      </c>
      <c r="W384" s="365"/>
      <c r="X384" s="377">
        <f t="shared" si="148"/>
        <v>0</v>
      </c>
      <c r="Y384" s="377">
        <f t="shared" si="149"/>
        <v>0</v>
      </c>
      <c r="Z384" s="377">
        <f t="shared" si="150"/>
        <v>0</v>
      </c>
      <c r="AA384" s="377">
        <f t="shared" si="151"/>
        <v>0</v>
      </c>
      <c r="AB384" s="377">
        <f t="shared" si="152"/>
        <v>0</v>
      </c>
      <c r="AC384" s="377">
        <f t="shared" si="153"/>
        <v>0</v>
      </c>
      <c r="AD384" s="376"/>
      <c r="AE384" s="332">
        <v>369</v>
      </c>
      <c r="AF384" s="350">
        <v>6585768.6691859933</v>
      </c>
      <c r="AG384" s="350">
        <v>40680.11391376362</v>
      </c>
      <c r="AH384" s="350">
        <v>38949.781625437048</v>
      </c>
      <c r="AI384" s="350">
        <v>37172.888834405669</v>
      </c>
      <c r="AJ384" s="350">
        <v>35349.526301883496</v>
      </c>
      <c r="AK384" s="348">
        <v>6737920.979861482</v>
      </c>
      <c r="AL384" s="369"/>
      <c r="AM384" s="350">
        <v>8164130.4886625968</v>
      </c>
      <c r="AN384" s="350">
        <v>1638540.9294343262</v>
      </c>
      <c r="AO384" s="350">
        <v>1655065.5058755898</v>
      </c>
      <c r="AP384" s="350">
        <v>1670254.7992728467</v>
      </c>
      <c r="AQ384" s="350">
        <v>1684064.3739206851</v>
      </c>
      <c r="AR384" s="348">
        <v>14812056.097166043</v>
      </c>
      <c r="AS384" s="369"/>
      <c r="AT384" s="350">
        <f t="shared" si="171"/>
        <v>1578361.8194766035</v>
      </c>
      <c r="AU384" s="350">
        <f t="shared" si="154"/>
        <v>1597860.8155205627</v>
      </c>
      <c r="AV384" s="350">
        <f t="shared" si="155"/>
        <v>1616115.7242501527</v>
      </c>
      <c r="AW384" s="350">
        <f t="shared" si="156"/>
        <v>1633081.910438441</v>
      </c>
      <c r="AX384" s="350">
        <f t="shared" si="157"/>
        <v>1648714.8476188018</v>
      </c>
      <c r="AY384" s="350">
        <f t="shared" si="158"/>
        <v>8074135.1173045607</v>
      </c>
      <c r="AZ384" s="365"/>
      <c r="BA384" s="377">
        <f t="shared" si="159"/>
        <v>0</v>
      </c>
      <c r="BB384" s="377">
        <f t="shared" si="160"/>
        <v>0</v>
      </c>
      <c r="BC384" s="377">
        <f t="shared" si="161"/>
        <v>0</v>
      </c>
      <c r="BD384" s="377">
        <f t="shared" si="162"/>
        <v>0</v>
      </c>
      <c r="BE384" s="377">
        <f t="shared" si="163"/>
        <v>0</v>
      </c>
      <c r="BF384" s="377">
        <f t="shared" si="164"/>
        <v>0</v>
      </c>
      <c r="BG384" s="328"/>
    </row>
    <row r="385" spans="2:59">
      <c r="B385" s="332">
        <v>370</v>
      </c>
      <c r="C385" s="350">
        <v>3782761.1339616268</v>
      </c>
      <c r="D385" s="350">
        <v>23366.012620229933</v>
      </c>
      <c r="E385" s="350">
        <v>22372.137180944643</v>
      </c>
      <c r="F385" s="350">
        <v>21351.518126926308</v>
      </c>
      <c r="G385" s="350">
        <v>20304.20758997717</v>
      </c>
      <c r="H385" s="348">
        <v>3870155.0094797043</v>
      </c>
      <c r="I385" s="369"/>
      <c r="J385" s="350">
        <v>5221188.9611125309</v>
      </c>
      <c r="K385" s="350">
        <v>1479564.0988872815</v>
      </c>
      <c r="L385" s="350">
        <v>1495206.6932198321</v>
      </c>
      <c r="M385" s="350">
        <v>1509648.0766247632</v>
      </c>
      <c r="N385" s="350">
        <v>1522847.7223831629</v>
      </c>
      <c r="O385" s="348">
        <v>11228455.552227572</v>
      </c>
      <c r="P385" s="369"/>
      <c r="Q385" s="350">
        <f t="shared" si="165"/>
        <v>1438427.8271509041</v>
      </c>
      <c r="R385" s="350">
        <f t="shared" si="166"/>
        <v>1456198.0862670515</v>
      </c>
      <c r="S385" s="350">
        <f t="shared" si="167"/>
        <v>1472834.5560388875</v>
      </c>
      <c r="T385" s="350">
        <f t="shared" si="168"/>
        <v>1488296.5584978368</v>
      </c>
      <c r="U385" s="350">
        <f t="shared" si="169"/>
        <v>1502543.5147931858</v>
      </c>
      <c r="V385" s="350">
        <f t="shared" si="170"/>
        <v>7358300.5427478673</v>
      </c>
      <c r="W385" s="365"/>
      <c r="X385" s="377">
        <f t="shared" si="148"/>
        <v>0</v>
      </c>
      <c r="Y385" s="377">
        <f t="shared" si="149"/>
        <v>0</v>
      </c>
      <c r="Z385" s="377">
        <f t="shared" si="150"/>
        <v>0</v>
      </c>
      <c r="AA385" s="377">
        <f t="shared" si="151"/>
        <v>0</v>
      </c>
      <c r="AB385" s="377">
        <f t="shared" si="152"/>
        <v>0</v>
      </c>
      <c r="AC385" s="377">
        <f t="shared" si="153"/>
        <v>0</v>
      </c>
      <c r="AD385" s="376"/>
      <c r="AE385" s="332">
        <v>370</v>
      </c>
      <c r="AF385" s="350">
        <v>5755381.2831132971</v>
      </c>
      <c r="AG385" s="350">
        <v>35550.833619415738</v>
      </c>
      <c r="AH385" s="350">
        <v>34038.675727748567</v>
      </c>
      <c r="AI385" s="350">
        <v>32485.828061014945</v>
      </c>
      <c r="AJ385" s="350">
        <v>30892.369936512074</v>
      </c>
      <c r="AK385" s="348">
        <v>5888348.9904579883</v>
      </c>
      <c r="AL385" s="369"/>
      <c r="AM385" s="350">
        <v>7138483.7931043692</v>
      </c>
      <c r="AN385" s="350">
        <v>1435740.1167685257</v>
      </c>
      <c r="AO385" s="350">
        <v>1450224.5508952364</v>
      </c>
      <c r="AP385" s="350">
        <v>1463539.00070899</v>
      </c>
      <c r="AQ385" s="350">
        <v>1475644.5274343975</v>
      </c>
      <c r="AR385" s="348">
        <v>12963631.988911519</v>
      </c>
      <c r="AS385" s="369"/>
      <c r="AT385" s="350">
        <f t="shared" si="171"/>
        <v>1383102.5099910721</v>
      </c>
      <c r="AU385" s="350">
        <f t="shared" si="154"/>
        <v>1400189.2831491099</v>
      </c>
      <c r="AV385" s="350">
        <f t="shared" si="155"/>
        <v>1416185.8751674879</v>
      </c>
      <c r="AW385" s="350">
        <f t="shared" si="156"/>
        <v>1431053.1726479752</v>
      </c>
      <c r="AX385" s="350">
        <f t="shared" si="157"/>
        <v>1444752.1574978854</v>
      </c>
      <c r="AY385" s="350">
        <f t="shared" si="158"/>
        <v>7075282.9984535305</v>
      </c>
      <c r="AZ385" s="365"/>
      <c r="BA385" s="377">
        <f t="shared" si="159"/>
        <v>0</v>
      </c>
      <c r="BB385" s="377">
        <f t="shared" si="160"/>
        <v>0</v>
      </c>
      <c r="BC385" s="377">
        <f t="shared" si="161"/>
        <v>0</v>
      </c>
      <c r="BD385" s="377">
        <f t="shared" si="162"/>
        <v>0</v>
      </c>
      <c r="BE385" s="377">
        <f t="shared" si="163"/>
        <v>0</v>
      </c>
      <c r="BF385" s="377">
        <f t="shared" si="164"/>
        <v>0</v>
      </c>
      <c r="BG385" s="328"/>
    </row>
    <row r="386" spans="2:59">
      <c r="B386" s="332">
        <v>371</v>
      </c>
      <c r="C386" s="350">
        <v>4585878.4005618542</v>
      </c>
      <c r="D386" s="350">
        <v>28326.846128438858</v>
      </c>
      <c r="E386" s="350">
        <v>27121.961191626226</v>
      </c>
      <c r="F386" s="350">
        <v>25884.654708538761</v>
      </c>
      <c r="G386" s="350">
        <v>24614.989879068558</v>
      </c>
      <c r="H386" s="348">
        <v>4691826.8524695272</v>
      </c>
      <c r="I386" s="369"/>
      <c r="J386" s="350">
        <v>5966933.6962877233</v>
      </c>
      <c r="K386" s="350">
        <v>1426443.6238386976</v>
      </c>
      <c r="L386" s="350">
        <v>1441211.6533901165</v>
      </c>
      <c r="M386" s="350">
        <v>1454819.6383949982</v>
      </c>
      <c r="N386" s="350">
        <v>1467228.6817136018</v>
      </c>
      <c r="O386" s="348">
        <v>11756637.293625137</v>
      </c>
      <c r="P386" s="369"/>
      <c r="Q386" s="350">
        <f t="shared" si="165"/>
        <v>1381055.295725869</v>
      </c>
      <c r="R386" s="350">
        <f t="shared" si="166"/>
        <v>1398116.7777102587</v>
      </c>
      <c r="S386" s="350">
        <f t="shared" si="167"/>
        <v>1414089.6921984903</v>
      </c>
      <c r="T386" s="350">
        <f t="shared" si="168"/>
        <v>1428934.9836864595</v>
      </c>
      <c r="U386" s="350">
        <f t="shared" si="169"/>
        <v>1442613.6918345334</v>
      </c>
      <c r="V386" s="350">
        <f t="shared" si="170"/>
        <v>7064810.4411556097</v>
      </c>
      <c r="W386" s="365"/>
      <c r="X386" s="377">
        <f t="shared" si="148"/>
        <v>0</v>
      </c>
      <c r="Y386" s="377">
        <f t="shared" si="149"/>
        <v>0</v>
      </c>
      <c r="Z386" s="377">
        <f t="shared" si="150"/>
        <v>0</v>
      </c>
      <c r="AA386" s="377">
        <f t="shared" si="151"/>
        <v>0</v>
      </c>
      <c r="AB386" s="377">
        <f t="shared" si="152"/>
        <v>0</v>
      </c>
      <c r="AC386" s="377">
        <f t="shared" si="153"/>
        <v>0</v>
      </c>
      <c r="AD386" s="376"/>
      <c r="AE386" s="332">
        <v>371</v>
      </c>
      <c r="AF386" s="350">
        <v>5989052.441256051</v>
      </c>
      <c r="AG386" s="350">
        <v>36994.214006595183</v>
      </c>
      <c r="AH386" s="350">
        <v>35420.66180090257</v>
      </c>
      <c r="AI386" s="350">
        <v>33804.767796339627</v>
      </c>
      <c r="AJ386" s="350">
        <v>32146.614530526484</v>
      </c>
      <c r="AK386" s="348">
        <v>6127418.6993904142</v>
      </c>
      <c r="AL386" s="369"/>
      <c r="AM386" s="350">
        <v>8476252.591269508</v>
      </c>
      <c r="AN386" s="350">
        <v>2554921.0993523411</v>
      </c>
      <c r="AO386" s="350">
        <v>2582113.835820416</v>
      </c>
      <c r="AP386" s="350">
        <v>2607233.4471429321</v>
      </c>
      <c r="AQ386" s="350">
        <v>2630209.8505550199</v>
      </c>
      <c r="AR386" s="348">
        <v>18850730.824140217</v>
      </c>
      <c r="AS386" s="369"/>
      <c r="AT386" s="350">
        <f t="shared" si="171"/>
        <v>2487200.1500134571</v>
      </c>
      <c r="AU386" s="350">
        <f t="shared" si="154"/>
        <v>2517926.8853457458</v>
      </c>
      <c r="AV386" s="350">
        <f t="shared" si="155"/>
        <v>2546693.1740195137</v>
      </c>
      <c r="AW386" s="350">
        <f t="shared" si="156"/>
        <v>2573428.6793465926</v>
      </c>
      <c r="AX386" s="350">
        <f t="shared" si="157"/>
        <v>2598063.2360244934</v>
      </c>
      <c r="AY386" s="350">
        <f t="shared" si="158"/>
        <v>12723312.124749802</v>
      </c>
      <c r="AZ386" s="365"/>
      <c r="BA386" s="377">
        <f t="shared" si="159"/>
        <v>0</v>
      </c>
      <c r="BB386" s="377">
        <f t="shared" si="160"/>
        <v>0</v>
      </c>
      <c r="BC386" s="377">
        <f t="shared" si="161"/>
        <v>0</v>
      </c>
      <c r="BD386" s="377">
        <f t="shared" si="162"/>
        <v>0</v>
      </c>
      <c r="BE386" s="377">
        <f t="shared" si="163"/>
        <v>0</v>
      </c>
      <c r="BF386" s="377">
        <f t="shared" si="164"/>
        <v>0</v>
      </c>
      <c r="BG386" s="328"/>
    </row>
    <row r="387" spans="2:59">
      <c r="B387" s="332">
        <v>372</v>
      </c>
      <c r="C387" s="350">
        <v>5453475.0882029124</v>
      </c>
      <c r="D387" s="350">
        <v>33685.967266351028</v>
      </c>
      <c r="E387" s="350">
        <v>32253.131632017055</v>
      </c>
      <c r="F387" s="350">
        <v>30781.740658987794</v>
      </c>
      <c r="G387" s="350">
        <v>29271.869503871265</v>
      </c>
      <c r="H387" s="348">
        <v>5579467.7972641401</v>
      </c>
      <c r="I387" s="369"/>
      <c r="J387" s="350">
        <v>6981318.4193295166</v>
      </c>
      <c r="K387" s="350">
        <v>1580404.1917803953</v>
      </c>
      <c r="L387" s="350">
        <v>1596641.9816127087</v>
      </c>
      <c r="M387" s="350">
        <v>1611593.7415944021</v>
      </c>
      <c r="N387" s="350">
        <v>1625216.4455701581</v>
      </c>
      <c r="O387" s="348">
        <v>13395174.779887181</v>
      </c>
      <c r="P387" s="369"/>
      <c r="Q387" s="350">
        <f t="shared" si="165"/>
        <v>1527843.3311266042</v>
      </c>
      <c r="R387" s="350">
        <f t="shared" si="166"/>
        <v>1546718.2245140444</v>
      </c>
      <c r="S387" s="350">
        <f t="shared" si="167"/>
        <v>1564388.8499806917</v>
      </c>
      <c r="T387" s="350">
        <f t="shared" si="168"/>
        <v>1580812.0009354143</v>
      </c>
      <c r="U387" s="350">
        <f t="shared" si="169"/>
        <v>1595944.5760662868</v>
      </c>
      <c r="V387" s="350">
        <f t="shared" si="170"/>
        <v>7815706.9826230407</v>
      </c>
      <c r="W387" s="365"/>
      <c r="X387" s="377">
        <f t="shared" si="148"/>
        <v>0</v>
      </c>
      <c r="Y387" s="377">
        <f t="shared" si="149"/>
        <v>0</v>
      </c>
      <c r="Z387" s="377">
        <f t="shared" si="150"/>
        <v>0</v>
      </c>
      <c r="AA387" s="377">
        <f t="shared" si="151"/>
        <v>0</v>
      </c>
      <c r="AB387" s="377">
        <f t="shared" si="152"/>
        <v>0</v>
      </c>
      <c r="AC387" s="377">
        <f t="shared" si="153"/>
        <v>0</v>
      </c>
      <c r="AD387" s="376"/>
      <c r="AE387" s="332">
        <v>372</v>
      </c>
      <c r="AF387" s="350">
        <v>7716349.8662239462</v>
      </c>
      <c r="AG387" s="350">
        <v>47663.683212128293</v>
      </c>
      <c r="AH387" s="350">
        <v>45636.304178300765</v>
      </c>
      <c r="AI387" s="350">
        <v>43554.371584080101</v>
      </c>
      <c r="AJ387" s="350">
        <v>41417.991771693814</v>
      </c>
      <c r="AK387" s="348">
        <v>7894622.2169701494</v>
      </c>
      <c r="AL387" s="369"/>
      <c r="AM387" s="350">
        <v>9304886.956952583</v>
      </c>
      <c r="AN387" s="350">
        <v>1655825.4747321629</v>
      </c>
      <c r="AO387" s="350">
        <v>1672170.6888813332</v>
      </c>
      <c r="AP387" s="350">
        <v>1687164.3188835541</v>
      </c>
      <c r="AQ387" s="350">
        <v>1700761.6575643523</v>
      </c>
      <c r="AR387" s="348">
        <v>16020809.097013988</v>
      </c>
      <c r="AS387" s="369"/>
      <c r="AT387" s="350">
        <f t="shared" si="171"/>
        <v>1588537.0907286368</v>
      </c>
      <c r="AU387" s="350">
        <f t="shared" si="154"/>
        <v>1608161.7915200347</v>
      </c>
      <c r="AV387" s="350">
        <f t="shared" si="155"/>
        <v>1626534.3847030324</v>
      </c>
      <c r="AW387" s="350">
        <f t="shared" si="156"/>
        <v>1643609.9472994739</v>
      </c>
      <c r="AX387" s="350">
        <f t="shared" si="157"/>
        <v>1659343.6657926585</v>
      </c>
      <c r="AY387" s="350">
        <f t="shared" si="158"/>
        <v>8126186.8800438382</v>
      </c>
      <c r="AZ387" s="365"/>
      <c r="BA387" s="377">
        <f t="shared" si="159"/>
        <v>0</v>
      </c>
      <c r="BB387" s="377">
        <f t="shared" si="160"/>
        <v>0</v>
      </c>
      <c r="BC387" s="377">
        <f t="shared" si="161"/>
        <v>0</v>
      </c>
      <c r="BD387" s="377">
        <f t="shared" si="162"/>
        <v>0</v>
      </c>
      <c r="BE387" s="377">
        <f t="shared" si="163"/>
        <v>0</v>
      </c>
      <c r="BF387" s="377">
        <f t="shared" si="164"/>
        <v>0</v>
      </c>
      <c r="BG387" s="328"/>
    </row>
    <row r="388" spans="2:59">
      <c r="B388" s="332">
        <v>373</v>
      </c>
      <c r="C388" s="350">
        <v>5368172.9379525743</v>
      </c>
      <c r="D388" s="350">
        <v>33159.05820477027</v>
      </c>
      <c r="E388" s="350">
        <v>31748.634694555501</v>
      </c>
      <c r="F388" s="350">
        <v>30300.258920427437</v>
      </c>
      <c r="G388" s="350">
        <v>28814.004863409886</v>
      </c>
      <c r="H388" s="348">
        <v>5492194.8946357379</v>
      </c>
      <c r="I388" s="369"/>
      <c r="J388" s="350">
        <v>7231306.9602426682</v>
      </c>
      <c r="K388" s="350">
        <v>1919310.1368387928</v>
      </c>
      <c r="L388" s="350">
        <v>1939448.2208432727</v>
      </c>
      <c r="M388" s="350">
        <v>1958027.1153222939</v>
      </c>
      <c r="N388" s="350">
        <v>1974994.3342076915</v>
      </c>
      <c r="O388" s="348">
        <v>15023086.767454717</v>
      </c>
      <c r="P388" s="369"/>
      <c r="Q388" s="350">
        <f t="shared" si="165"/>
        <v>1863134.0222900938</v>
      </c>
      <c r="R388" s="350">
        <f t="shared" si="166"/>
        <v>1886151.0786340225</v>
      </c>
      <c r="S388" s="350">
        <f t="shared" si="167"/>
        <v>1907699.5861487172</v>
      </c>
      <c r="T388" s="350">
        <f t="shared" si="168"/>
        <v>1927726.8564018665</v>
      </c>
      <c r="U388" s="350">
        <f t="shared" si="169"/>
        <v>1946180.3293442817</v>
      </c>
      <c r="V388" s="350">
        <f t="shared" si="170"/>
        <v>9530891.8728189804</v>
      </c>
      <c r="W388" s="365"/>
      <c r="X388" s="377">
        <f t="shared" si="148"/>
        <v>0</v>
      </c>
      <c r="Y388" s="377">
        <f t="shared" si="149"/>
        <v>0</v>
      </c>
      <c r="Z388" s="377">
        <f t="shared" si="150"/>
        <v>0</v>
      </c>
      <c r="AA388" s="377">
        <f t="shared" si="151"/>
        <v>0</v>
      </c>
      <c r="AB388" s="377">
        <f t="shared" si="152"/>
        <v>0</v>
      </c>
      <c r="AC388" s="377">
        <f t="shared" si="153"/>
        <v>0</v>
      </c>
      <c r="AD388" s="376"/>
      <c r="AE388" s="332">
        <v>373</v>
      </c>
      <c r="AF388" s="350">
        <v>5430716.0194513407</v>
      </c>
      <c r="AG388" s="350">
        <v>33545.385117798309</v>
      </c>
      <c r="AH388" s="350">
        <v>32118.529157742392</v>
      </c>
      <c r="AI388" s="350">
        <v>30653.278762560327</v>
      </c>
      <c r="AJ388" s="350">
        <v>29149.708775206625</v>
      </c>
      <c r="AK388" s="348">
        <v>5556182.9212646475</v>
      </c>
      <c r="AL388" s="369"/>
      <c r="AM388" s="350">
        <v>7066718.5268270671</v>
      </c>
      <c r="AN388" s="350">
        <v>1689758.9784597338</v>
      </c>
      <c r="AO388" s="350">
        <v>1707253.6879386024</v>
      </c>
      <c r="AP388" s="350">
        <v>1723374.2171803403</v>
      </c>
      <c r="AQ388" s="350">
        <v>1738074.4884853426</v>
      </c>
      <c r="AR388" s="348">
        <v>13925179.898891086</v>
      </c>
      <c r="AS388" s="369"/>
      <c r="AT388" s="350">
        <f t="shared" si="171"/>
        <v>1636002.5073757265</v>
      </c>
      <c r="AU388" s="350">
        <f t="shared" si="154"/>
        <v>1656213.5933419354</v>
      </c>
      <c r="AV388" s="350">
        <f t="shared" si="155"/>
        <v>1675135.15878086</v>
      </c>
      <c r="AW388" s="350">
        <f t="shared" si="156"/>
        <v>1692720.93841778</v>
      </c>
      <c r="AX388" s="350">
        <f t="shared" si="157"/>
        <v>1708924.7797101359</v>
      </c>
      <c r="AY388" s="350">
        <f t="shared" si="158"/>
        <v>8368996.9776264383</v>
      </c>
      <c r="AZ388" s="365"/>
      <c r="BA388" s="377">
        <f t="shared" si="159"/>
        <v>0</v>
      </c>
      <c r="BB388" s="377">
        <f t="shared" si="160"/>
        <v>0</v>
      </c>
      <c r="BC388" s="377">
        <f t="shared" si="161"/>
        <v>0</v>
      </c>
      <c r="BD388" s="377">
        <f t="shared" si="162"/>
        <v>0</v>
      </c>
      <c r="BE388" s="377">
        <f t="shared" si="163"/>
        <v>0</v>
      </c>
      <c r="BF388" s="377">
        <f t="shared" si="164"/>
        <v>0</v>
      </c>
      <c r="BG388" s="328"/>
    </row>
    <row r="389" spans="2:59">
      <c r="B389" s="332">
        <v>374</v>
      </c>
      <c r="C389" s="350">
        <v>6297128.1610514037</v>
      </c>
      <c r="D389" s="350">
        <v>38897.189347041109</v>
      </c>
      <c r="E389" s="350">
        <v>37242.693914825519</v>
      </c>
      <c r="F389" s="350">
        <v>35543.678629650538</v>
      </c>
      <c r="G389" s="350">
        <v>33800.23027485604</v>
      </c>
      <c r="H389" s="348">
        <v>6442611.9532177765</v>
      </c>
      <c r="I389" s="369"/>
      <c r="J389" s="350">
        <v>8159233.0972940121</v>
      </c>
      <c r="K389" s="350">
        <v>1924006.4686605381</v>
      </c>
      <c r="L389" s="350">
        <v>1943888.5786102852</v>
      </c>
      <c r="M389" s="350">
        <v>1962205.7716878438</v>
      </c>
      <c r="N389" s="350">
        <v>1978905.6036584515</v>
      </c>
      <c r="O389" s="348">
        <v>15968239.519911131</v>
      </c>
      <c r="P389" s="369"/>
      <c r="Q389" s="350">
        <f t="shared" si="165"/>
        <v>1862104.9362426084</v>
      </c>
      <c r="R389" s="350">
        <f t="shared" si="166"/>
        <v>1885109.279313497</v>
      </c>
      <c r="S389" s="350">
        <f t="shared" si="167"/>
        <v>1906645.8846954596</v>
      </c>
      <c r="T389" s="350">
        <f t="shared" si="168"/>
        <v>1926662.0930581933</v>
      </c>
      <c r="U389" s="350">
        <f t="shared" si="169"/>
        <v>1945105.3733835954</v>
      </c>
      <c r="V389" s="350">
        <f t="shared" si="170"/>
        <v>9525627.5666933544</v>
      </c>
      <c r="W389" s="365"/>
      <c r="X389" s="377">
        <f t="shared" si="148"/>
        <v>0</v>
      </c>
      <c r="Y389" s="377">
        <f t="shared" si="149"/>
        <v>0</v>
      </c>
      <c r="Z389" s="377">
        <f t="shared" si="150"/>
        <v>0</v>
      </c>
      <c r="AA389" s="377">
        <f t="shared" si="151"/>
        <v>0</v>
      </c>
      <c r="AB389" s="377">
        <f t="shared" si="152"/>
        <v>0</v>
      </c>
      <c r="AC389" s="377">
        <f t="shared" si="153"/>
        <v>0</v>
      </c>
      <c r="AD389" s="376"/>
      <c r="AE389" s="332">
        <v>374</v>
      </c>
      <c r="AF389" s="350">
        <v>5812340.3519661808</v>
      </c>
      <c r="AG389" s="350">
        <v>35902.668238234408</v>
      </c>
      <c r="AH389" s="350">
        <v>34375.5450295509</v>
      </c>
      <c r="AI389" s="350">
        <v>32807.329352804925</v>
      </c>
      <c r="AJ389" s="350">
        <v>31198.101310278133</v>
      </c>
      <c r="AK389" s="348">
        <v>5946623.99589705</v>
      </c>
      <c r="AL389" s="369"/>
      <c r="AM389" s="350">
        <v>7777993.4022836788</v>
      </c>
      <c r="AN389" s="350">
        <v>2025839.2893941617</v>
      </c>
      <c r="AO389" s="350">
        <v>2047046.3812335134</v>
      </c>
      <c r="AP389" s="350">
        <v>2066607.4371988822</v>
      </c>
      <c r="AQ389" s="350">
        <v>2084467.0852244443</v>
      </c>
      <c r="AR389" s="348">
        <v>16001953.595334681</v>
      </c>
      <c r="AS389" s="369"/>
      <c r="AT389" s="350">
        <f t="shared" si="171"/>
        <v>1965653.0503174979</v>
      </c>
      <c r="AU389" s="350">
        <f t="shared" si="154"/>
        <v>1989936.6211559272</v>
      </c>
      <c r="AV389" s="350">
        <f t="shared" si="155"/>
        <v>2012670.8362039626</v>
      </c>
      <c r="AW389" s="350">
        <f t="shared" si="156"/>
        <v>2033800.1078460773</v>
      </c>
      <c r="AX389" s="350">
        <f t="shared" si="157"/>
        <v>2053268.9839141662</v>
      </c>
      <c r="AY389" s="350">
        <f t="shared" si="158"/>
        <v>10055329.599437632</v>
      </c>
      <c r="AZ389" s="365"/>
      <c r="BA389" s="377">
        <f t="shared" si="159"/>
        <v>0</v>
      </c>
      <c r="BB389" s="377">
        <f t="shared" si="160"/>
        <v>0</v>
      </c>
      <c r="BC389" s="377">
        <f t="shared" si="161"/>
        <v>0</v>
      </c>
      <c r="BD389" s="377">
        <f t="shared" si="162"/>
        <v>0</v>
      </c>
      <c r="BE389" s="377">
        <f t="shared" si="163"/>
        <v>0</v>
      </c>
      <c r="BF389" s="377">
        <f t="shared" si="164"/>
        <v>0</v>
      </c>
      <c r="BG389" s="328"/>
    </row>
    <row r="390" spans="2:59">
      <c r="B390" s="332">
        <v>375</v>
      </c>
      <c r="C390" s="350">
        <v>5539760.5642572166</v>
      </c>
      <c r="D390" s="350">
        <v>34218.950304674006</v>
      </c>
      <c r="E390" s="350">
        <v>32763.444189074373</v>
      </c>
      <c r="F390" s="350">
        <v>31268.772708017321</v>
      </c>
      <c r="G390" s="350">
        <v>29735.012207246462</v>
      </c>
      <c r="H390" s="348">
        <v>5667746.7436662288</v>
      </c>
      <c r="I390" s="369"/>
      <c r="J390" s="350">
        <v>7268697.7252341863</v>
      </c>
      <c r="K390" s="350">
        <v>1784515.3069021516</v>
      </c>
      <c r="L390" s="350">
        <v>1803056.2234593304</v>
      </c>
      <c r="M390" s="350">
        <v>1820146.3082863777</v>
      </c>
      <c r="N390" s="350">
        <v>1835736.8634480976</v>
      </c>
      <c r="O390" s="348">
        <v>14512152.427330146</v>
      </c>
      <c r="P390" s="369"/>
      <c r="Q390" s="350">
        <f t="shared" si="165"/>
        <v>1728937.1609769696</v>
      </c>
      <c r="R390" s="350">
        <f t="shared" si="166"/>
        <v>1750296.3565974776</v>
      </c>
      <c r="S390" s="350">
        <f t="shared" si="167"/>
        <v>1770292.7792702559</v>
      </c>
      <c r="T390" s="350">
        <f t="shared" si="168"/>
        <v>1788877.5355783603</v>
      </c>
      <c r="U390" s="350">
        <f t="shared" si="169"/>
        <v>1806001.8512408512</v>
      </c>
      <c r="V390" s="350">
        <f t="shared" si="170"/>
        <v>8844405.6836639158</v>
      </c>
      <c r="W390" s="365"/>
      <c r="X390" s="377">
        <f t="shared" si="148"/>
        <v>0</v>
      </c>
      <c r="Y390" s="377">
        <f t="shared" si="149"/>
        <v>0</v>
      </c>
      <c r="Z390" s="377">
        <f t="shared" si="150"/>
        <v>0</v>
      </c>
      <c r="AA390" s="377">
        <f t="shared" si="151"/>
        <v>0</v>
      </c>
      <c r="AB390" s="377">
        <f t="shared" si="152"/>
        <v>0</v>
      </c>
      <c r="AC390" s="377">
        <f t="shared" si="153"/>
        <v>0</v>
      </c>
      <c r="AD390" s="376"/>
      <c r="AE390" s="332">
        <v>375</v>
      </c>
      <c r="AF390" s="350">
        <v>6506172.2212294592</v>
      </c>
      <c r="AG390" s="350">
        <v>40188.448820036538</v>
      </c>
      <c r="AH390" s="350">
        <v>38479.029550501393</v>
      </c>
      <c r="AI390" s="350">
        <v>36723.612514490545</v>
      </c>
      <c r="AJ390" s="350">
        <v>34922.287376268381</v>
      </c>
      <c r="AK390" s="348">
        <v>6656485.5994907562</v>
      </c>
      <c r="AL390" s="369"/>
      <c r="AM390" s="350">
        <v>8297727.5996594019</v>
      </c>
      <c r="AN390" s="350">
        <v>1853876.6049220366</v>
      </c>
      <c r="AO390" s="350">
        <v>1872887.8338040691</v>
      </c>
      <c r="AP390" s="350">
        <v>1890390.27117254</v>
      </c>
      <c r="AQ390" s="350">
        <v>1906333.4659159628</v>
      </c>
      <c r="AR390" s="348">
        <v>15821215.775474012</v>
      </c>
      <c r="AS390" s="369"/>
      <c r="AT390" s="350">
        <f t="shared" si="171"/>
        <v>1791555.3784299428</v>
      </c>
      <c r="AU390" s="350">
        <f t="shared" si="154"/>
        <v>1813688.156102</v>
      </c>
      <c r="AV390" s="350">
        <f t="shared" si="155"/>
        <v>1834408.8042535677</v>
      </c>
      <c r="AW390" s="350">
        <f t="shared" si="156"/>
        <v>1853666.6586580495</v>
      </c>
      <c r="AX390" s="350">
        <f t="shared" si="157"/>
        <v>1871411.1785396945</v>
      </c>
      <c r="AY390" s="350">
        <f t="shared" si="158"/>
        <v>9164730.1759832557</v>
      </c>
      <c r="AZ390" s="365"/>
      <c r="BA390" s="377">
        <f t="shared" si="159"/>
        <v>0</v>
      </c>
      <c r="BB390" s="377">
        <f t="shared" si="160"/>
        <v>0</v>
      </c>
      <c r="BC390" s="377">
        <f t="shared" si="161"/>
        <v>0</v>
      </c>
      <c r="BD390" s="377">
        <f t="shared" si="162"/>
        <v>0</v>
      </c>
      <c r="BE390" s="377">
        <f t="shared" si="163"/>
        <v>0</v>
      </c>
      <c r="BF390" s="377">
        <f t="shared" si="164"/>
        <v>0</v>
      </c>
      <c r="BG390" s="328"/>
    </row>
    <row r="391" spans="2:59">
      <c r="B391" s="332">
        <v>376</v>
      </c>
      <c r="C391" s="350">
        <v>5788415.6244731173</v>
      </c>
      <c r="D391" s="350">
        <v>35754.885847345686</v>
      </c>
      <c r="E391" s="350">
        <v>34234.048575891109</v>
      </c>
      <c r="F391" s="350">
        <v>32672.287980998535</v>
      </c>
      <c r="G391" s="350">
        <v>31069.683835225136</v>
      </c>
      <c r="H391" s="348">
        <v>5922146.5307125784</v>
      </c>
      <c r="I391" s="369"/>
      <c r="J391" s="350">
        <v>7851735.9434695747</v>
      </c>
      <c r="K391" s="350">
        <v>2124565.3518057149</v>
      </c>
      <c r="L391" s="350">
        <v>2146908.3229705784</v>
      </c>
      <c r="M391" s="350">
        <v>2167525.6826928426</v>
      </c>
      <c r="N391" s="350">
        <v>2186359.3033288633</v>
      </c>
      <c r="O391" s="348">
        <v>16477094.604267575</v>
      </c>
      <c r="P391" s="369"/>
      <c r="Q391" s="350">
        <f t="shared" si="165"/>
        <v>2063320.3189964574</v>
      </c>
      <c r="R391" s="350">
        <f t="shared" si="166"/>
        <v>2088810.4659583692</v>
      </c>
      <c r="S391" s="350">
        <f t="shared" si="167"/>
        <v>2112674.2743946873</v>
      </c>
      <c r="T391" s="350">
        <f t="shared" si="168"/>
        <v>2134853.3947118442</v>
      </c>
      <c r="U391" s="350">
        <f t="shared" si="169"/>
        <v>2155289.6194936382</v>
      </c>
      <c r="V391" s="350">
        <f t="shared" si="170"/>
        <v>10554948.073554996</v>
      </c>
      <c r="W391" s="365"/>
      <c r="X391" s="377">
        <f t="shared" si="148"/>
        <v>0</v>
      </c>
      <c r="Y391" s="377">
        <f t="shared" si="149"/>
        <v>0</v>
      </c>
      <c r="Z391" s="377">
        <f t="shared" si="150"/>
        <v>0</v>
      </c>
      <c r="AA391" s="377">
        <f t="shared" si="151"/>
        <v>0</v>
      </c>
      <c r="AB391" s="377">
        <f t="shared" si="152"/>
        <v>0</v>
      </c>
      <c r="AC391" s="377">
        <f t="shared" si="153"/>
        <v>0</v>
      </c>
      <c r="AD391" s="376"/>
      <c r="AE391" s="332">
        <v>376</v>
      </c>
      <c r="AF391" s="350">
        <v>4821182.4009868698</v>
      </c>
      <c r="AG391" s="350">
        <v>29780.312537977206</v>
      </c>
      <c r="AH391" s="350">
        <v>28513.604277274033</v>
      </c>
      <c r="AI391" s="350">
        <v>27212.810902516805</v>
      </c>
      <c r="AJ391" s="350">
        <v>25877.998856423226</v>
      </c>
      <c r="AK391" s="348">
        <v>4932567.1275610607</v>
      </c>
      <c r="AL391" s="369"/>
      <c r="AM391" s="350">
        <v>7064057.5841468163</v>
      </c>
      <c r="AN391" s="350">
        <v>2300363.8536826796</v>
      </c>
      <c r="AO391" s="350">
        <v>2325037.6371743828</v>
      </c>
      <c r="AP391" s="350">
        <v>2347846.0420107218</v>
      </c>
      <c r="AQ391" s="350">
        <v>2368725.8618754242</v>
      </c>
      <c r="AR391" s="348">
        <v>16406030.978890026</v>
      </c>
      <c r="AS391" s="369"/>
      <c r="AT391" s="350">
        <f t="shared" si="171"/>
        <v>2242875.1831599465</v>
      </c>
      <c r="AU391" s="350">
        <f t="shared" si="154"/>
        <v>2270583.5411447026</v>
      </c>
      <c r="AV391" s="350">
        <f t="shared" si="155"/>
        <v>2296524.0328971087</v>
      </c>
      <c r="AW391" s="350">
        <f t="shared" si="156"/>
        <v>2320633.2311082049</v>
      </c>
      <c r="AX391" s="350">
        <f t="shared" si="157"/>
        <v>2342847.8630190007</v>
      </c>
      <c r="AY391" s="350">
        <f t="shared" si="158"/>
        <v>11473463.851328965</v>
      </c>
      <c r="AZ391" s="365"/>
      <c r="BA391" s="377">
        <f t="shared" si="159"/>
        <v>0</v>
      </c>
      <c r="BB391" s="377">
        <f t="shared" si="160"/>
        <v>0</v>
      </c>
      <c r="BC391" s="377">
        <f t="shared" si="161"/>
        <v>0</v>
      </c>
      <c r="BD391" s="377">
        <f t="shared" si="162"/>
        <v>0</v>
      </c>
      <c r="BE391" s="377">
        <f t="shared" si="163"/>
        <v>0</v>
      </c>
      <c r="BF391" s="377">
        <f t="shared" si="164"/>
        <v>0</v>
      </c>
      <c r="BG391" s="328"/>
    </row>
    <row r="392" spans="2:59">
      <c r="B392" s="332">
        <v>377</v>
      </c>
      <c r="C392" s="350">
        <v>4241760.8655164717</v>
      </c>
      <c r="D392" s="350">
        <v>26201.24147565605</v>
      </c>
      <c r="E392" s="350">
        <v>25086.769323103286</v>
      </c>
      <c r="F392" s="350">
        <v>23942.308489172796</v>
      </c>
      <c r="G392" s="350">
        <v>22767.917431330945</v>
      </c>
      <c r="H392" s="348">
        <v>4339759.1022357345</v>
      </c>
      <c r="I392" s="369"/>
      <c r="J392" s="350">
        <v>5741791.9885217585</v>
      </c>
      <c r="K392" s="350">
        <v>1544763.6673624306</v>
      </c>
      <c r="L392" s="350">
        <v>1560998.1521499814</v>
      </c>
      <c r="M392" s="350">
        <v>1575977.8822379918</v>
      </c>
      <c r="N392" s="350">
        <v>1589660.5993698905</v>
      </c>
      <c r="O392" s="348">
        <v>12013192.289642053</v>
      </c>
      <c r="P392" s="369"/>
      <c r="Q392" s="350">
        <f t="shared" si="165"/>
        <v>1500031.1230052868</v>
      </c>
      <c r="R392" s="350">
        <f t="shared" si="166"/>
        <v>1518562.4258867744</v>
      </c>
      <c r="S392" s="350">
        <f t="shared" si="167"/>
        <v>1535911.382826878</v>
      </c>
      <c r="T392" s="350">
        <f t="shared" si="168"/>
        <v>1552035.5737488191</v>
      </c>
      <c r="U392" s="350">
        <f t="shared" si="169"/>
        <v>1566892.6819385595</v>
      </c>
      <c r="V392" s="350">
        <f t="shared" si="170"/>
        <v>7673433.1874063183</v>
      </c>
      <c r="W392" s="365"/>
      <c r="X392" s="377">
        <f t="shared" si="148"/>
        <v>0</v>
      </c>
      <c r="Y392" s="377">
        <f t="shared" si="149"/>
        <v>0</v>
      </c>
      <c r="Z392" s="377">
        <f t="shared" si="150"/>
        <v>0</v>
      </c>
      <c r="AA392" s="377">
        <f t="shared" si="151"/>
        <v>0</v>
      </c>
      <c r="AB392" s="377">
        <f t="shared" si="152"/>
        <v>0</v>
      </c>
      <c r="AC392" s="377">
        <f t="shared" si="153"/>
        <v>0</v>
      </c>
      <c r="AD392" s="376"/>
      <c r="AE392" s="332">
        <v>377</v>
      </c>
      <c r="AF392" s="350">
        <v>4149363.3894310659</v>
      </c>
      <c r="AG392" s="350">
        <v>25630.504779409141</v>
      </c>
      <c r="AH392" s="350">
        <v>24540.308963342155</v>
      </c>
      <c r="AI392" s="350">
        <v>23420.777703681615</v>
      </c>
      <c r="AJ392" s="350">
        <v>22271.96818452709</v>
      </c>
      <c r="AK392" s="348">
        <v>4245226.9490620261</v>
      </c>
      <c r="AL392" s="369"/>
      <c r="AM392" s="350">
        <v>5364954.1943816002</v>
      </c>
      <c r="AN392" s="350">
        <v>1256238.6523977122</v>
      </c>
      <c r="AO392" s="350">
        <v>1269207.6532265935</v>
      </c>
      <c r="AP392" s="350">
        <v>1281154.7963321335</v>
      </c>
      <c r="AQ392" s="350">
        <v>1292045.8464043068</v>
      </c>
      <c r="AR392" s="348">
        <v>10463601.142742347</v>
      </c>
      <c r="AS392" s="369"/>
      <c r="AT392" s="350">
        <f t="shared" si="171"/>
        <v>1215590.8049505344</v>
      </c>
      <c r="AU392" s="350">
        <f t="shared" si="154"/>
        <v>1230608.1476183031</v>
      </c>
      <c r="AV392" s="350">
        <f t="shared" si="155"/>
        <v>1244667.3442632514</v>
      </c>
      <c r="AW392" s="350">
        <f t="shared" si="156"/>
        <v>1257734.0186284517</v>
      </c>
      <c r="AX392" s="350">
        <f t="shared" si="157"/>
        <v>1269773.8782197798</v>
      </c>
      <c r="AY392" s="350">
        <f t="shared" si="158"/>
        <v>6218374.1936803209</v>
      </c>
      <c r="AZ392" s="365"/>
      <c r="BA392" s="377">
        <f t="shared" si="159"/>
        <v>0</v>
      </c>
      <c r="BB392" s="377">
        <f t="shared" si="160"/>
        <v>0</v>
      </c>
      <c r="BC392" s="377">
        <f t="shared" si="161"/>
        <v>0</v>
      </c>
      <c r="BD392" s="377">
        <f t="shared" si="162"/>
        <v>0</v>
      </c>
      <c r="BE392" s="377">
        <f t="shared" si="163"/>
        <v>0</v>
      </c>
      <c r="BF392" s="377">
        <f t="shared" si="164"/>
        <v>0</v>
      </c>
      <c r="BG392" s="328"/>
    </row>
    <row r="393" spans="2:59">
      <c r="B393" s="332">
        <v>378</v>
      </c>
      <c r="C393" s="350">
        <v>6228799.8160675103</v>
      </c>
      <c r="D393" s="350">
        <v>38475.127018845298</v>
      </c>
      <c r="E393" s="350">
        <v>36838.584045554831</v>
      </c>
      <c r="F393" s="350">
        <v>35158.004291558347</v>
      </c>
      <c r="G393" s="350">
        <v>33433.473598527671</v>
      </c>
      <c r="H393" s="348">
        <v>6372705.0050219968</v>
      </c>
      <c r="I393" s="369"/>
      <c r="J393" s="350">
        <v>7882008.9041342251</v>
      </c>
      <c r="K393" s="350">
        <v>1712107.870213469</v>
      </c>
      <c r="L393" s="350">
        <v>1729591.8993683071</v>
      </c>
      <c r="M393" s="350">
        <v>1745682.0568750573</v>
      </c>
      <c r="N393" s="350">
        <v>1760331.7906255974</v>
      </c>
      <c r="O393" s="348">
        <v>14829722.521216657</v>
      </c>
      <c r="P393" s="369"/>
      <c r="Q393" s="350">
        <f t="shared" si="165"/>
        <v>1653209.0880667148</v>
      </c>
      <c r="R393" s="350">
        <f t="shared" si="166"/>
        <v>1673632.7431946236</v>
      </c>
      <c r="S393" s="350">
        <f t="shared" si="167"/>
        <v>1692753.3153227523</v>
      </c>
      <c r="T393" s="350">
        <f t="shared" si="168"/>
        <v>1710524.0525834989</v>
      </c>
      <c r="U393" s="350">
        <f t="shared" si="169"/>
        <v>1726898.3170270696</v>
      </c>
      <c r="V393" s="350">
        <f t="shared" si="170"/>
        <v>8457017.5161946602</v>
      </c>
      <c r="W393" s="365"/>
      <c r="X393" s="377">
        <f t="shared" si="148"/>
        <v>0</v>
      </c>
      <c r="Y393" s="377">
        <f t="shared" si="149"/>
        <v>0</v>
      </c>
      <c r="Z393" s="377">
        <f t="shared" si="150"/>
        <v>0</v>
      </c>
      <c r="AA393" s="377">
        <f t="shared" si="151"/>
        <v>0</v>
      </c>
      <c r="AB393" s="377">
        <f t="shared" si="152"/>
        <v>0</v>
      </c>
      <c r="AC393" s="377">
        <f t="shared" si="153"/>
        <v>0</v>
      </c>
      <c r="AD393" s="376"/>
      <c r="AE393" s="332">
        <v>378</v>
      </c>
      <c r="AF393" s="350">
        <v>6558427.9202200789</v>
      </c>
      <c r="AG393" s="350">
        <v>40511.230851163258</v>
      </c>
      <c r="AH393" s="350">
        <v>38788.082019029964</v>
      </c>
      <c r="AI393" s="350">
        <v>37018.565979624553</v>
      </c>
      <c r="AJ393" s="350">
        <v>35202.773117368692</v>
      </c>
      <c r="AK393" s="348">
        <v>6709948.5721872654</v>
      </c>
      <c r="AL393" s="369"/>
      <c r="AM393" s="350">
        <v>8195250.1033793278</v>
      </c>
      <c r="AN393" s="350">
        <v>1697554.6262066558</v>
      </c>
      <c r="AO393" s="350">
        <v>1714762.5229633285</v>
      </c>
      <c r="AP393" s="350">
        <v>1730587.5974505811</v>
      </c>
      <c r="AQ393" s="350">
        <v>1744983.7643867673</v>
      </c>
      <c r="AR393" s="348">
        <v>15083138.614386659</v>
      </c>
      <c r="AS393" s="369"/>
      <c r="AT393" s="350">
        <f t="shared" si="171"/>
        <v>1636822.1831592489</v>
      </c>
      <c r="AU393" s="350">
        <f t="shared" si="154"/>
        <v>1657043.3953554926</v>
      </c>
      <c r="AV393" s="350">
        <f t="shared" si="155"/>
        <v>1675974.4409442986</v>
      </c>
      <c r="AW393" s="350">
        <f t="shared" si="156"/>
        <v>1693569.0314709565</v>
      </c>
      <c r="AX393" s="350">
        <f t="shared" si="157"/>
        <v>1709780.9912693985</v>
      </c>
      <c r="AY393" s="350">
        <f t="shared" si="158"/>
        <v>8373190.0421993937</v>
      </c>
      <c r="AZ393" s="365"/>
      <c r="BA393" s="377">
        <f t="shared" si="159"/>
        <v>0</v>
      </c>
      <c r="BB393" s="377">
        <f t="shared" si="160"/>
        <v>0</v>
      </c>
      <c r="BC393" s="377">
        <f t="shared" si="161"/>
        <v>0</v>
      </c>
      <c r="BD393" s="377">
        <f t="shared" si="162"/>
        <v>0</v>
      </c>
      <c r="BE393" s="377">
        <f t="shared" si="163"/>
        <v>0</v>
      </c>
      <c r="BF393" s="377">
        <f t="shared" si="164"/>
        <v>0</v>
      </c>
      <c r="BG393" s="328"/>
    </row>
    <row r="394" spans="2:59">
      <c r="B394" s="332">
        <v>379</v>
      </c>
      <c r="C394" s="350">
        <v>4564775.0720347911</v>
      </c>
      <c r="D394" s="350">
        <v>28196.491442210157</v>
      </c>
      <c r="E394" s="350">
        <v>26997.151153651215</v>
      </c>
      <c r="F394" s="350">
        <v>25765.53851652316</v>
      </c>
      <c r="G394" s="350">
        <v>24501.716439884673</v>
      </c>
      <c r="H394" s="348">
        <v>4670235.9695870606</v>
      </c>
      <c r="I394" s="369"/>
      <c r="J394" s="350">
        <v>5951019.2662878633</v>
      </c>
      <c r="K394" s="350">
        <v>1431566.2710497626</v>
      </c>
      <c r="L394" s="350">
        <v>1446399.8586556492</v>
      </c>
      <c r="M394" s="350">
        <v>1460069.3142095497</v>
      </c>
      <c r="N394" s="350">
        <v>1472535.5938991695</v>
      </c>
      <c r="O394" s="348">
        <v>11761590.304101994</v>
      </c>
      <c r="P394" s="369"/>
      <c r="Q394" s="350">
        <f t="shared" si="165"/>
        <v>1386244.1942530721</v>
      </c>
      <c r="R394" s="350">
        <f t="shared" si="166"/>
        <v>1403369.7796075526</v>
      </c>
      <c r="S394" s="350">
        <f t="shared" si="167"/>
        <v>1419402.7075019979</v>
      </c>
      <c r="T394" s="350">
        <f t="shared" si="168"/>
        <v>1434303.7756930266</v>
      </c>
      <c r="U394" s="350">
        <f t="shared" si="169"/>
        <v>1448033.8774592848</v>
      </c>
      <c r="V394" s="350">
        <f t="shared" si="170"/>
        <v>7091354.3345149336</v>
      </c>
      <c r="W394" s="365"/>
      <c r="X394" s="377">
        <f t="shared" si="148"/>
        <v>0</v>
      </c>
      <c r="Y394" s="377">
        <f t="shared" si="149"/>
        <v>0</v>
      </c>
      <c r="Z394" s="377">
        <f t="shared" si="150"/>
        <v>0</v>
      </c>
      <c r="AA394" s="377">
        <f t="shared" si="151"/>
        <v>0</v>
      </c>
      <c r="AB394" s="377">
        <f t="shared" si="152"/>
        <v>0</v>
      </c>
      <c r="AC394" s="377">
        <f t="shared" si="153"/>
        <v>0</v>
      </c>
      <c r="AD394" s="376"/>
      <c r="AE394" s="332">
        <v>379</v>
      </c>
      <c r="AF394" s="350">
        <v>6526198.8966610068</v>
      </c>
      <c r="AG394" s="350">
        <v>40312.153049381712</v>
      </c>
      <c r="AH394" s="350">
        <v>38597.472009373494</v>
      </c>
      <c r="AI394" s="350">
        <v>36836.651616976633</v>
      </c>
      <c r="AJ394" s="350">
        <v>35029.781812448142</v>
      </c>
      <c r="AK394" s="348">
        <v>6676974.9551491868</v>
      </c>
      <c r="AL394" s="369"/>
      <c r="AM394" s="350">
        <v>8551216.6058117412</v>
      </c>
      <c r="AN394" s="350">
        <v>2090346.8208039228</v>
      </c>
      <c r="AO394" s="350">
        <v>2112052.9505059076</v>
      </c>
      <c r="AP394" s="350">
        <v>2132059.5265774149</v>
      </c>
      <c r="AQ394" s="350">
        <v>2150309.5120804757</v>
      </c>
      <c r="AR394" s="348">
        <v>17035985.415779464</v>
      </c>
      <c r="AS394" s="369"/>
      <c r="AT394" s="350">
        <f t="shared" si="171"/>
        <v>2025017.7091507344</v>
      </c>
      <c r="AU394" s="350">
        <f t="shared" si="154"/>
        <v>2050034.6677545412</v>
      </c>
      <c r="AV394" s="350">
        <f t="shared" si="155"/>
        <v>2073455.4784965341</v>
      </c>
      <c r="AW394" s="350">
        <f t="shared" si="156"/>
        <v>2095222.8749604383</v>
      </c>
      <c r="AX394" s="350">
        <f t="shared" si="157"/>
        <v>2115279.7302680276</v>
      </c>
      <c r="AY394" s="350">
        <f t="shared" si="158"/>
        <v>10359010.460630277</v>
      </c>
      <c r="AZ394" s="365"/>
      <c r="BA394" s="377">
        <f t="shared" si="159"/>
        <v>0</v>
      </c>
      <c r="BB394" s="377">
        <f t="shared" si="160"/>
        <v>0</v>
      </c>
      <c r="BC394" s="377">
        <f t="shared" si="161"/>
        <v>0</v>
      </c>
      <c r="BD394" s="377">
        <f t="shared" si="162"/>
        <v>0</v>
      </c>
      <c r="BE394" s="377">
        <f t="shared" si="163"/>
        <v>0</v>
      </c>
      <c r="BF394" s="377">
        <f t="shared" si="164"/>
        <v>0</v>
      </c>
      <c r="BG394" s="328"/>
    </row>
    <row r="395" spans="2:59">
      <c r="B395" s="332">
        <v>380</v>
      </c>
      <c r="C395" s="350">
        <v>6294454.2089550421</v>
      </c>
      <c r="D395" s="350">
        <v>38880.672417682421</v>
      </c>
      <c r="E395" s="350">
        <v>37226.879534536682</v>
      </c>
      <c r="F395" s="350">
        <v>35528.585702915116</v>
      </c>
      <c r="G395" s="350">
        <v>33785.877669304995</v>
      </c>
      <c r="H395" s="348">
        <v>6439876.224279481</v>
      </c>
      <c r="I395" s="369"/>
      <c r="J395" s="350">
        <v>7969422.6288558152</v>
      </c>
      <c r="K395" s="350">
        <v>1734541.561047985</v>
      </c>
      <c r="L395" s="350">
        <v>1752260.0028786596</v>
      </c>
      <c r="M395" s="350">
        <v>1768566.3425352992</v>
      </c>
      <c r="N395" s="350">
        <v>1783413.4149717207</v>
      </c>
      <c r="O395" s="348">
        <v>15008203.95028948</v>
      </c>
      <c r="P395" s="369"/>
      <c r="Q395" s="350">
        <f t="shared" si="165"/>
        <v>1674968.4199007731</v>
      </c>
      <c r="R395" s="350">
        <f t="shared" si="166"/>
        <v>1695660.8886303026</v>
      </c>
      <c r="S395" s="350">
        <f t="shared" si="167"/>
        <v>1715033.1233441229</v>
      </c>
      <c r="T395" s="350">
        <f t="shared" si="168"/>
        <v>1733037.756832384</v>
      </c>
      <c r="U395" s="350">
        <f t="shared" si="169"/>
        <v>1749627.5373024156</v>
      </c>
      <c r="V395" s="350">
        <f t="shared" si="170"/>
        <v>8568327.7260099985</v>
      </c>
      <c r="W395" s="365"/>
      <c r="X395" s="377">
        <f t="shared" si="148"/>
        <v>0</v>
      </c>
      <c r="Y395" s="377">
        <f t="shared" si="149"/>
        <v>0</v>
      </c>
      <c r="Z395" s="377">
        <f t="shared" si="150"/>
        <v>0</v>
      </c>
      <c r="AA395" s="377">
        <f t="shared" si="151"/>
        <v>0</v>
      </c>
      <c r="AB395" s="377">
        <f t="shared" si="152"/>
        <v>0</v>
      </c>
      <c r="AC395" s="377">
        <f t="shared" si="153"/>
        <v>0</v>
      </c>
      <c r="AD395" s="376"/>
      <c r="AE395" s="332">
        <v>380</v>
      </c>
      <c r="AF395" s="350">
        <v>5871232.9721261682</v>
      </c>
      <c r="AG395" s="350">
        <v>36266.44635087932</v>
      </c>
      <c r="AH395" s="350">
        <v>34723.849807594816</v>
      </c>
      <c r="AI395" s="350">
        <v>33139.744433314569</v>
      </c>
      <c r="AJ395" s="350">
        <v>31514.211141932952</v>
      </c>
      <c r="AK395" s="348">
        <v>6006877.2238598894</v>
      </c>
      <c r="AL395" s="369"/>
      <c r="AM395" s="350">
        <v>7575166.1364842113</v>
      </c>
      <c r="AN395" s="350">
        <v>1761249.9083155922</v>
      </c>
      <c r="AO395" s="350">
        <v>1779414.5449382693</v>
      </c>
      <c r="AP395" s="350">
        <v>1796146.4219719335</v>
      </c>
      <c r="AQ395" s="350">
        <v>1811397.5514262118</v>
      </c>
      <c r="AR395" s="348">
        <v>14723374.563136218</v>
      </c>
      <c r="AS395" s="369"/>
      <c r="AT395" s="350">
        <f t="shared" si="171"/>
        <v>1703933.1643580431</v>
      </c>
      <c r="AU395" s="350">
        <f t="shared" si="154"/>
        <v>1724983.4619647129</v>
      </c>
      <c r="AV395" s="350">
        <f t="shared" si="155"/>
        <v>1744690.6951306744</v>
      </c>
      <c r="AW395" s="350">
        <f t="shared" si="156"/>
        <v>1763006.6775386189</v>
      </c>
      <c r="AX395" s="350">
        <f t="shared" si="157"/>
        <v>1779883.3402842788</v>
      </c>
      <c r="AY395" s="350">
        <f t="shared" si="158"/>
        <v>8716497.3392763287</v>
      </c>
      <c r="AZ395" s="365"/>
      <c r="BA395" s="377">
        <f t="shared" si="159"/>
        <v>0</v>
      </c>
      <c r="BB395" s="377">
        <f t="shared" si="160"/>
        <v>0</v>
      </c>
      <c r="BC395" s="377">
        <f t="shared" si="161"/>
        <v>0</v>
      </c>
      <c r="BD395" s="377">
        <f t="shared" si="162"/>
        <v>0</v>
      </c>
      <c r="BE395" s="377">
        <f t="shared" si="163"/>
        <v>0</v>
      </c>
      <c r="BF395" s="377">
        <f t="shared" si="164"/>
        <v>0</v>
      </c>
      <c r="BG395" s="328"/>
    </row>
    <row r="396" spans="2:59">
      <c r="B396" s="332">
        <v>381</v>
      </c>
      <c r="C396" s="350">
        <v>5873424.3592503909</v>
      </c>
      <c r="D396" s="350">
        <v>36279.982489531831</v>
      </c>
      <c r="E396" s="350">
        <v>34736.810185378599</v>
      </c>
      <c r="F396" s="350">
        <v>33152.11355741274</v>
      </c>
      <c r="G396" s="350">
        <v>31525.973549737635</v>
      </c>
      <c r="H396" s="348">
        <v>6009119.2390324511</v>
      </c>
      <c r="I396" s="369"/>
      <c r="J396" s="350">
        <v>8712080.5000580959</v>
      </c>
      <c r="K396" s="350">
        <v>2910004.7268181462</v>
      </c>
      <c r="L396" s="350">
        <v>2941292.688748043</v>
      </c>
      <c r="M396" s="350">
        <v>2970221.3813919006</v>
      </c>
      <c r="N396" s="350">
        <v>2996710.8056219667</v>
      </c>
      <c r="O396" s="348">
        <v>20530310.102638151</v>
      </c>
      <c r="P396" s="369"/>
      <c r="Q396" s="350">
        <f t="shared" si="165"/>
        <v>2838656.140807705</v>
      </c>
      <c r="R396" s="350">
        <f t="shared" si="166"/>
        <v>2873724.7443286143</v>
      </c>
      <c r="S396" s="350">
        <f t="shared" si="167"/>
        <v>2906555.8785626646</v>
      </c>
      <c r="T396" s="350">
        <f t="shared" si="168"/>
        <v>2937069.2678344878</v>
      </c>
      <c r="U396" s="350">
        <f t="shared" si="169"/>
        <v>2965184.8320722291</v>
      </c>
      <c r="V396" s="350">
        <f t="shared" si="170"/>
        <v>14521190.8636057</v>
      </c>
      <c r="W396" s="365"/>
      <c r="X396" s="377">
        <f t="shared" si="148"/>
        <v>0</v>
      </c>
      <c r="Y396" s="377">
        <f t="shared" si="149"/>
        <v>0</v>
      </c>
      <c r="Z396" s="377">
        <f t="shared" si="150"/>
        <v>0</v>
      </c>
      <c r="AA396" s="377">
        <f t="shared" si="151"/>
        <v>0</v>
      </c>
      <c r="AB396" s="377">
        <f t="shared" si="152"/>
        <v>0</v>
      </c>
      <c r="AC396" s="377">
        <f t="shared" si="153"/>
        <v>0</v>
      </c>
      <c r="AD396" s="376"/>
      <c r="AE396" s="332">
        <v>381</v>
      </c>
      <c r="AF396" s="350">
        <v>6106229.2623870317</v>
      </c>
      <c r="AG396" s="350">
        <v>37718.012043104129</v>
      </c>
      <c r="AH396" s="350">
        <v>36113.673023110772</v>
      </c>
      <c r="AI396" s="350">
        <v>34466.163779810886</v>
      </c>
      <c r="AJ396" s="350">
        <v>32775.568465686803</v>
      </c>
      <c r="AK396" s="348">
        <v>6247302.6796987448</v>
      </c>
      <c r="AL396" s="369"/>
      <c r="AM396" s="350">
        <v>8947914.520561764</v>
      </c>
      <c r="AN396" s="350">
        <v>2914509.2952898932</v>
      </c>
      <c r="AO396" s="350">
        <v>2945771.1244615521</v>
      </c>
      <c r="AP396" s="350">
        <v>2974669.5651923195</v>
      </c>
      <c r="AQ396" s="350">
        <v>3001124.5361097273</v>
      </c>
      <c r="AR396" s="348">
        <v>20783989.041615255</v>
      </c>
      <c r="AS396" s="369"/>
      <c r="AT396" s="350">
        <f t="shared" si="171"/>
        <v>2841685.2581747323</v>
      </c>
      <c r="AU396" s="350">
        <f t="shared" si="154"/>
        <v>2876791.2832467891</v>
      </c>
      <c r="AV396" s="350">
        <f t="shared" si="155"/>
        <v>2909657.4514384414</v>
      </c>
      <c r="AW396" s="350">
        <f t="shared" si="156"/>
        <v>2940203.4014125085</v>
      </c>
      <c r="AX396" s="350">
        <f t="shared" si="157"/>
        <v>2968348.9676440405</v>
      </c>
      <c r="AY396" s="350">
        <f t="shared" si="158"/>
        <v>14536686.36191651</v>
      </c>
      <c r="AZ396" s="365"/>
      <c r="BA396" s="377">
        <f t="shared" si="159"/>
        <v>0</v>
      </c>
      <c r="BB396" s="377">
        <f t="shared" si="160"/>
        <v>0</v>
      </c>
      <c r="BC396" s="377">
        <f t="shared" si="161"/>
        <v>0</v>
      </c>
      <c r="BD396" s="377">
        <f t="shared" si="162"/>
        <v>0</v>
      </c>
      <c r="BE396" s="377">
        <f t="shared" si="163"/>
        <v>0</v>
      </c>
      <c r="BF396" s="377">
        <f t="shared" si="164"/>
        <v>0</v>
      </c>
      <c r="BG396" s="328"/>
    </row>
    <row r="397" spans="2:59">
      <c r="B397" s="332">
        <v>382</v>
      </c>
      <c r="C397" s="350">
        <v>7505824.5383990025</v>
      </c>
      <c r="D397" s="350">
        <v>46363.273989173802</v>
      </c>
      <c r="E397" s="350">
        <v>44391.207978101287</v>
      </c>
      <c r="F397" s="350">
        <v>42366.076792512955</v>
      </c>
      <c r="G397" s="350">
        <v>40287.983873300967</v>
      </c>
      <c r="H397" s="348">
        <v>7679233.0810320918</v>
      </c>
      <c r="I397" s="369"/>
      <c r="J397" s="350">
        <v>10271846.351688307</v>
      </c>
      <c r="K397" s="350">
        <v>2846556.370269041</v>
      </c>
      <c r="L397" s="350">
        <v>2876575.3693753406</v>
      </c>
      <c r="M397" s="350">
        <v>2904282.8638184564</v>
      </c>
      <c r="N397" s="350">
        <v>2929600.9260222763</v>
      </c>
      <c r="O397" s="348">
        <v>21828861.881173421</v>
      </c>
      <c r="P397" s="369"/>
      <c r="Q397" s="350">
        <f t="shared" si="165"/>
        <v>2766021.8132893043</v>
      </c>
      <c r="R397" s="350">
        <f t="shared" si="166"/>
        <v>2800193.0962798675</v>
      </c>
      <c r="S397" s="350">
        <f t="shared" si="167"/>
        <v>2832184.1613972392</v>
      </c>
      <c r="T397" s="350">
        <f t="shared" si="168"/>
        <v>2861916.7870259434</v>
      </c>
      <c r="U397" s="350">
        <f t="shared" si="169"/>
        <v>2889312.9421489751</v>
      </c>
      <c r="V397" s="350">
        <f t="shared" si="170"/>
        <v>14149628.800141329</v>
      </c>
      <c r="W397" s="365"/>
      <c r="X397" s="377">
        <f t="shared" si="148"/>
        <v>0</v>
      </c>
      <c r="Y397" s="377">
        <f t="shared" si="149"/>
        <v>0</v>
      </c>
      <c r="Z397" s="377">
        <f t="shared" si="150"/>
        <v>0</v>
      </c>
      <c r="AA397" s="377">
        <f t="shared" si="151"/>
        <v>0</v>
      </c>
      <c r="AB397" s="377">
        <f t="shared" si="152"/>
        <v>0</v>
      </c>
      <c r="AC397" s="377">
        <f t="shared" si="153"/>
        <v>0</v>
      </c>
      <c r="AD397" s="376"/>
      <c r="AE397" s="332">
        <v>382</v>
      </c>
      <c r="AF397" s="350">
        <v>5836430.1165445521</v>
      </c>
      <c r="AG397" s="350">
        <v>36051.470058709718</v>
      </c>
      <c r="AH397" s="350">
        <v>34518.017551266195</v>
      </c>
      <c r="AI397" s="350">
        <v>32943.30226435134</v>
      </c>
      <c r="AJ397" s="350">
        <v>31327.404632237507</v>
      </c>
      <c r="AK397" s="348">
        <v>5971270.3110511173</v>
      </c>
      <c r="AL397" s="369"/>
      <c r="AM397" s="350">
        <v>7974455.4243714185</v>
      </c>
      <c r="AN397" s="350">
        <v>2200489.8262150278</v>
      </c>
      <c r="AO397" s="350">
        <v>2223684.1999729695</v>
      </c>
      <c r="AP397" s="350">
        <v>2245091.6266767252</v>
      </c>
      <c r="AQ397" s="350">
        <v>2264651.8718750048</v>
      </c>
      <c r="AR397" s="348">
        <v>16908372.949111145</v>
      </c>
      <c r="AS397" s="369"/>
      <c r="AT397" s="350">
        <f t="shared" si="171"/>
        <v>2138025.3078268664</v>
      </c>
      <c r="AU397" s="350">
        <f t="shared" si="154"/>
        <v>2164438.356156318</v>
      </c>
      <c r="AV397" s="350">
        <f t="shared" si="155"/>
        <v>2189166.1824217034</v>
      </c>
      <c r="AW397" s="350">
        <f t="shared" si="156"/>
        <v>2212148.3244123738</v>
      </c>
      <c r="AX397" s="350">
        <f t="shared" si="157"/>
        <v>2233324.4672427671</v>
      </c>
      <c r="AY397" s="350">
        <f t="shared" si="158"/>
        <v>10937102.638060028</v>
      </c>
      <c r="AZ397" s="365"/>
      <c r="BA397" s="377">
        <f t="shared" si="159"/>
        <v>0</v>
      </c>
      <c r="BB397" s="377">
        <f t="shared" si="160"/>
        <v>0</v>
      </c>
      <c r="BC397" s="377">
        <f t="shared" si="161"/>
        <v>0</v>
      </c>
      <c r="BD397" s="377">
        <f t="shared" si="162"/>
        <v>0</v>
      </c>
      <c r="BE397" s="377">
        <f t="shared" si="163"/>
        <v>0</v>
      </c>
      <c r="BF397" s="377">
        <f t="shared" si="164"/>
        <v>0</v>
      </c>
      <c r="BG397" s="328"/>
    </row>
    <row r="398" spans="2:59">
      <c r="B398" s="332">
        <v>383</v>
      </c>
      <c r="C398" s="350">
        <v>6845186.8410062641</v>
      </c>
      <c r="D398" s="350">
        <v>42282.532904022337</v>
      </c>
      <c r="E398" s="350">
        <v>40484.041580443663</v>
      </c>
      <c r="F398" s="350">
        <v>38637.155702421449</v>
      </c>
      <c r="G398" s="350">
        <v>36741.969606313411</v>
      </c>
      <c r="H398" s="348">
        <v>7003332.540799465</v>
      </c>
      <c r="I398" s="369"/>
      <c r="J398" s="350">
        <v>8700921.9414515384</v>
      </c>
      <c r="K398" s="350">
        <v>1920943.2838153071</v>
      </c>
      <c r="L398" s="350">
        <v>1940607.7260643095</v>
      </c>
      <c r="M398" s="350">
        <v>1958708.5776706764</v>
      </c>
      <c r="N398" s="350">
        <v>1975193.5816492743</v>
      </c>
      <c r="O398" s="348">
        <v>16496375.110651106</v>
      </c>
      <c r="P398" s="369"/>
      <c r="Q398" s="350">
        <f t="shared" si="165"/>
        <v>1855735.1004452743</v>
      </c>
      <c r="R398" s="350">
        <f t="shared" si="166"/>
        <v>1878660.7509112847</v>
      </c>
      <c r="S398" s="350">
        <f t="shared" si="167"/>
        <v>1900123.6844838657</v>
      </c>
      <c r="T398" s="350">
        <f t="shared" si="168"/>
        <v>1920071.421968255</v>
      </c>
      <c r="U398" s="350">
        <f t="shared" si="169"/>
        <v>1938451.6120429609</v>
      </c>
      <c r="V398" s="350">
        <f t="shared" si="170"/>
        <v>9493042.5698516406</v>
      </c>
      <c r="W398" s="365"/>
      <c r="X398" s="377">
        <f t="shared" si="148"/>
        <v>0</v>
      </c>
      <c r="Y398" s="377">
        <f t="shared" si="149"/>
        <v>0</v>
      </c>
      <c r="Z398" s="377">
        <f t="shared" si="150"/>
        <v>0</v>
      </c>
      <c r="AA398" s="377">
        <f t="shared" si="151"/>
        <v>0</v>
      </c>
      <c r="AB398" s="377">
        <f t="shared" si="152"/>
        <v>0</v>
      </c>
      <c r="AC398" s="377">
        <f t="shared" si="153"/>
        <v>0</v>
      </c>
      <c r="AD398" s="376"/>
      <c r="AE398" s="332">
        <v>383</v>
      </c>
      <c r="AF398" s="350">
        <v>6043532.883705413</v>
      </c>
      <c r="AG398" s="350">
        <v>37330.738217546801</v>
      </c>
      <c r="AH398" s="350">
        <v>35742.871924405852</v>
      </c>
      <c r="AI398" s="350">
        <v>34112.278662959056</v>
      </c>
      <c r="AJ398" s="350">
        <v>32439.041721647591</v>
      </c>
      <c r="AK398" s="348">
        <v>6183157.8142319722</v>
      </c>
      <c r="AL398" s="369"/>
      <c r="AM398" s="350">
        <v>7749007.6080025192</v>
      </c>
      <c r="AN398" s="350">
        <v>1763874.8044689377</v>
      </c>
      <c r="AO398" s="350">
        <v>1782012.0006098284</v>
      </c>
      <c r="AP398" s="350">
        <v>1798713.9603503535</v>
      </c>
      <c r="AQ398" s="350">
        <v>1813932.6545864386</v>
      </c>
      <c r="AR398" s="348">
        <v>14907541.028018076</v>
      </c>
      <c r="AS398" s="369"/>
      <c r="AT398" s="350">
        <f t="shared" si="171"/>
        <v>1705474.7242971063</v>
      </c>
      <c r="AU398" s="350">
        <f t="shared" si="154"/>
        <v>1726544.0662513908</v>
      </c>
      <c r="AV398" s="350">
        <f t="shared" si="155"/>
        <v>1746269.1286854225</v>
      </c>
      <c r="AW398" s="350">
        <f t="shared" si="156"/>
        <v>1764601.6816873944</v>
      </c>
      <c r="AX398" s="350">
        <f t="shared" si="157"/>
        <v>1781493.6128647909</v>
      </c>
      <c r="AY398" s="350">
        <f t="shared" si="158"/>
        <v>8724383.2137861028</v>
      </c>
      <c r="AZ398" s="365"/>
      <c r="BA398" s="377">
        <f t="shared" si="159"/>
        <v>0</v>
      </c>
      <c r="BB398" s="377">
        <f t="shared" si="160"/>
        <v>0</v>
      </c>
      <c r="BC398" s="377">
        <f t="shared" si="161"/>
        <v>0</v>
      </c>
      <c r="BD398" s="377">
        <f t="shared" si="162"/>
        <v>0</v>
      </c>
      <c r="BE398" s="377">
        <f t="shared" si="163"/>
        <v>0</v>
      </c>
      <c r="BF398" s="377">
        <f t="shared" si="164"/>
        <v>0</v>
      </c>
      <c r="BG398" s="328"/>
    </row>
    <row r="399" spans="2:59">
      <c r="B399" s="332">
        <v>384</v>
      </c>
      <c r="C399" s="350">
        <v>5951761.0496790642</v>
      </c>
      <c r="D399" s="350">
        <v>36763.866095279067</v>
      </c>
      <c r="E399" s="350">
        <v>35200.111758622908</v>
      </c>
      <c r="F399" s="350">
        <v>33594.279268241095</v>
      </c>
      <c r="G399" s="350">
        <v>31946.450647827063</v>
      </c>
      <c r="H399" s="348">
        <v>6089265.7574490355</v>
      </c>
      <c r="I399" s="369"/>
      <c r="J399" s="350">
        <v>8706634.1608285755</v>
      </c>
      <c r="K399" s="350">
        <v>2825670.5297756819</v>
      </c>
      <c r="L399" s="350">
        <v>2855968.8976628855</v>
      </c>
      <c r="M399" s="350">
        <v>2883975.8507531742</v>
      </c>
      <c r="N399" s="350">
        <v>2909613.7545643374</v>
      </c>
      <c r="O399" s="348">
        <v>20181863.193584654</v>
      </c>
      <c r="P399" s="369"/>
      <c r="Q399" s="350">
        <f t="shared" si="165"/>
        <v>2754873.1111495113</v>
      </c>
      <c r="R399" s="350">
        <f t="shared" si="166"/>
        <v>2788906.663680403</v>
      </c>
      <c r="S399" s="350">
        <f t="shared" si="167"/>
        <v>2820768.7859042627</v>
      </c>
      <c r="T399" s="350">
        <f t="shared" si="168"/>
        <v>2850381.5714849331</v>
      </c>
      <c r="U399" s="350">
        <f t="shared" si="169"/>
        <v>2877667.3039165102</v>
      </c>
      <c r="V399" s="350">
        <f t="shared" si="170"/>
        <v>14092597.43613562</v>
      </c>
      <c r="W399" s="365"/>
      <c r="X399" s="377">
        <f t="shared" si="148"/>
        <v>0</v>
      </c>
      <c r="Y399" s="377">
        <f t="shared" si="149"/>
        <v>0</v>
      </c>
      <c r="Z399" s="377">
        <f t="shared" si="150"/>
        <v>0</v>
      </c>
      <c r="AA399" s="377">
        <f t="shared" si="151"/>
        <v>0</v>
      </c>
      <c r="AB399" s="377">
        <f t="shared" si="152"/>
        <v>0</v>
      </c>
      <c r="AC399" s="377">
        <f t="shared" si="153"/>
        <v>0</v>
      </c>
      <c r="AD399" s="376"/>
      <c r="AE399" s="332">
        <v>384</v>
      </c>
      <c r="AF399" s="350">
        <v>6704996.2209473085</v>
      </c>
      <c r="AG399" s="350">
        <v>41416.579257588885</v>
      </c>
      <c r="AH399" s="350">
        <v>39654.921349911005</v>
      </c>
      <c r="AI399" s="350">
        <v>37845.86001670063</v>
      </c>
      <c r="AJ399" s="350">
        <v>35989.487662296662</v>
      </c>
      <c r="AK399" s="348">
        <v>6859903.0692338059</v>
      </c>
      <c r="AL399" s="369"/>
      <c r="AM399" s="350">
        <v>8453519.621999165</v>
      </c>
      <c r="AN399" s="350">
        <v>1811541.1432742127</v>
      </c>
      <c r="AO399" s="350">
        <v>1830002.4372295854</v>
      </c>
      <c r="AP399" s="350">
        <v>1846988.6693523873</v>
      </c>
      <c r="AQ399" s="350">
        <v>1862450.6052272699</v>
      </c>
      <c r="AR399" s="348">
        <v>15804502.477082619</v>
      </c>
      <c r="AS399" s="369"/>
      <c r="AT399" s="350">
        <f t="shared" si="171"/>
        <v>1748523.4010518566</v>
      </c>
      <c r="AU399" s="350">
        <f t="shared" si="154"/>
        <v>1770124.5640166239</v>
      </c>
      <c r="AV399" s="350">
        <f t="shared" si="155"/>
        <v>1790347.5158796743</v>
      </c>
      <c r="AW399" s="350">
        <f t="shared" si="156"/>
        <v>1809142.8093356867</v>
      </c>
      <c r="AX399" s="350">
        <f t="shared" si="157"/>
        <v>1826461.1175649732</v>
      </c>
      <c r="AY399" s="350">
        <f t="shared" si="158"/>
        <v>8944599.4078488126</v>
      </c>
      <c r="AZ399" s="365"/>
      <c r="BA399" s="377">
        <f t="shared" si="159"/>
        <v>0</v>
      </c>
      <c r="BB399" s="377">
        <f t="shared" si="160"/>
        <v>0</v>
      </c>
      <c r="BC399" s="377">
        <f t="shared" si="161"/>
        <v>0</v>
      </c>
      <c r="BD399" s="377">
        <f t="shared" si="162"/>
        <v>0</v>
      </c>
      <c r="BE399" s="377">
        <f t="shared" si="163"/>
        <v>0</v>
      </c>
      <c r="BF399" s="377">
        <f t="shared" si="164"/>
        <v>0</v>
      </c>
      <c r="BG399" s="328"/>
    </row>
    <row r="400" spans="2:59">
      <c r="B400" s="332">
        <v>385</v>
      </c>
      <c r="C400" s="350">
        <v>6802863.2658331934</v>
      </c>
      <c r="D400" s="350">
        <v>42021.101331524886</v>
      </c>
      <c r="E400" s="350">
        <v>40233.73002329599</v>
      </c>
      <c r="F400" s="350">
        <v>38398.263382631369</v>
      </c>
      <c r="G400" s="350">
        <v>36514.795162613642</v>
      </c>
      <c r="H400" s="348">
        <v>6960031.1557332585</v>
      </c>
      <c r="I400" s="369"/>
      <c r="J400" s="350">
        <v>9722853.0869714096</v>
      </c>
      <c r="K400" s="350">
        <v>2998084.3178523355</v>
      </c>
      <c r="L400" s="350">
        <v>3030068.7642721152</v>
      </c>
      <c r="M400" s="350">
        <v>3059620.9619565881</v>
      </c>
      <c r="N400" s="350">
        <v>3086658.630118513</v>
      </c>
      <c r="O400" s="348">
        <v>21897285.761170957</v>
      </c>
      <c r="P400" s="369"/>
      <c r="Q400" s="350">
        <f t="shared" si="165"/>
        <v>2919989.8211382162</v>
      </c>
      <c r="R400" s="350">
        <f t="shared" si="166"/>
        <v>2956063.2165208105</v>
      </c>
      <c r="S400" s="350">
        <f t="shared" si="167"/>
        <v>2989835.0342488191</v>
      </c>
      <c r="T400" s="350">
        <f t="shared" si="168"/>
        <v>3021222.6985739567</v>
      </c>
      <c r="U400" s="350">
        <f t="shared" si="169"/>
        <v>3050143.8349558995</v>
      </c>
      <c r="V400" s="350">
        <f t="shared" si="170"/>
        <v>14937254.6054377</v>
      </c>
      <c r="W400" s="365"/>
      <c r="X400" s="377">
        <f t="shared" ref="X400:X463" si="172">IF(Q400&lt;Q$8,1,0)</f>
        <v>0</v>
      </c>
      <c r="Y400" s="377">
        <f t="shared" ref="Y400:Y463" si="173">IF(R400&lt;R$8,1,0)</f>
        <v>0</v>
      </c>
      <c r="Z400" s="377">
        <f t="shared" ref="Z400:Z463" si="174">IF(S400&lt;S$8,1,0)</f>
        <v>0</v>
      </c>
      <c r="AA400" s="377">
        <f t="shared" ref="AA400:AA463" si="175">IF(T400&lt;T$8,1,0)</f>
        <v>0</v>
      </c>
      <c r="AB400" s="377">
        <f t="shared" ref="AB400:AB463" si="176">IF(U400&lt;U$8,1,0)</f>
        <v>0</v>
      </c>
      <c r="AC400" s="377">
        <f t="shared" ref="AC400:AC463" si="177">IF(V400&lt;V$8,1,0)</f>
        <v>0</v>
      </c>
      <c r="AD400" s="376"/>
      <c r="AE400" s="332">
        <v>385</v>
      </c>
      <c r="AF400" s="350">
        <v>6177345.1593362885</v>
      </c>
      <c r="AG400" s="350">
        <v>38157.293003961444</v>
      </c>
      <c r="AH400" s="350">
        <v>36534.269128957516</v>
      </c>
      <c r="AI400" s="350">
        <v>34867.572250779311</v>
      </c>
      <c r="AJ400" s="350">
        <v>33157.287501986408</v>
      </c>
      <c r="AK400" s="348">
        <v>6320061.5812219735</v>
      </c>
      <c r="AL400" s="369"/>
      <c r="AM400" s="350">
        <v>9254057.4520940371</v>
      </c>
      <c r="AN400" s="350">
        <v>3152879.1220319029</v>
      </c>
      <c r="AO400" s="350">
        <v>3186840.525883439</v>
      </c>
      <c r="AP400" s="350">
        <v>3218246.1404123125</v>
      </c>
      <c r="AQ400" s="350">
        <v>3247009.2549824896</v>
      </c>
      <c r="AR400" s="348">
        <v>22059032.49540418</v>
      </c>
      <c r="AS400" s="369"/>
      <c r="AT400" s="350">
        <f t="shared" si="171"/>
        <v>3076712.2927577486</v>
      </c>
      <c r="AU400" s="350">
        <f t="shared" ref="AU400:AU463" si="178">AN400-AG400</f>
        <v>3114721.8290279415</v>
      </c>
      <c r="AV400" s="350">
        <f t="shared" ref="AV400:AV463" si="179">AO400-AH400</f>
        <v>3150306.2567544817</v>
      </c>
      <c r="AW400" s="350">
        <f t="shared" ref="AW400:AW463" si="180">AP400-AI400</f>
        <v>3183378.5681615332</v>
      </c>
      <c r="AX400" s="350">
        <f t="shared" ref="AX400:AX463" si="181">AQ400-AJ400</f>
        <v>3213851.967480503</v>
      </c>
      <c r="AY400" s="350">
        <f t="shared" ref="AY400:AY463" si="182">AR400-AK400</f>
        <v>15738970.914182207</v>
      </c>
      <c r="AZ400" s="365"/>
      <c r="BA400" s="377">
        <f t="shared" ref="BA400:BA463" si="183">IF(AT400&lt;AT$8,1,0)</f>
        <v>0</v>
      </c>
      <c r="BB400" s="377">
        <f t="shared" ref="BB400:BB463" si="184">IF(AU400&lt;AU$8,1,0)</f>
        <v>0</v>
      </c>
      <c r="BC400" s="377">
        <f t="shared" ref="BC400:BC463" si="185">IF(AV400&lt;AV$8,1,0)</f>
        <v>0</v>
      </c>
      <c r="BD400" s="377">
        <f t="shared" ref="BD400:BD463" si="186">IF(AW400&lt;AW$8,1,0)</f>
        <v>0</v>
      </c>
      <c r="BE400" s="377">
        <f t="shared" ref="BE400:BE463" si="187">IF(AX400&lt;AX$8,1,0)</f>
        <v>0</v>
      </c>
      <c r="BF400" s="377">
        <f t="shared" ref="BF400:BF463" si="188">IF(AY400&lt;AY$8,1,0)</f>
        <v>0</v>
      </c>
      <c r="BG400" s="328"/>
    </row>
    <row r="401" spans="2:59">
      <c r="B401" s="332">
        <v>386</v>
      </c>
      <c r="C401" s="350">
        <v>4953418.7642256711</v>
      </c>
      <c r="D401" s="350">
        <v>30597.132956414254</v>
      </c>
      <c r="E401" s="350">
        <v>29295.681166065169</v>
      </c>
      <c r="F401" s="350">
        <v>27959.209368278411</v>
      </c>
      <c r="G401" s="350">
        <v>26587.785828178126</v>
      </c>
      <c r="H401" s="348">
        <v>5067858.5735446066</v>
      </c>
      <c r="I401" s="369"/>
      <c r="J401" s="350">
        <v>6056736.6801404729</v>
      </c>
      <c r="K401" s="350">
        <v>1147545.378376262</v>
      </c>
      <c r="L401" s="350">
        <v>1159004.6051617705</v>
      </c>
      <c r="M401" s="350">
        <v>1169527.9597708946</v>
      </c>
      <c r="N401" s="350">
        <v>1179084.3852554103</v>
      </c>
      <c r="O401" s="348">
        <v>10711899.008704811</v>
      </c>
      <c r="P401" s="369"/>
      <c r="Q401" s="350">
        <f t="shared" ref="Q401:Q464" si="189">J401-C401</f>
        <v>1103317.9159148019</v>
      </c>
      <c r="R401" s="350">
        <f t="shared" ref="R401:R464" si="190">K401-D401</f>
        <v>1116948.2454198478</v>
      </c>
      <c r="S401" s="350">
        <f t="shared" ref="S401:S464" si="191">L401-E401</f>
        <v>1129708.9239957053</v>
      </c>
      <c r="T401" s="350">
        <f t="shared" ref="T401:T464" si="192">M401-F401</f>
        <v>1141568.7504026161</v>
      </c>
      <c r="U401" s="350">
        <f t="shared" ref="U401:U464" si="193">N401-G401</f>
        <v>1152496.5994272323</v>
      </c>
      <c r="V401" s="350">
        <f t="shared" ref="V401:V464" si="194">O401-H401</f>
        <v>5644040.4351602048</v>
      </c>
      <c r="W401" s="365"/>
      <c r="X401" s="377">
        <f t="shared" si="172"/>
        <v>0</v>
      </c>
      <c r="Y401" s="377">
        <f t="shared" si="173"/>
        <v>0</v>
      </c>
      <c r="Z401" s="377">
        <f t="shared" si="174"/>
        <v>0</v>
      </c>
      <c r="AA401" s="377">
        <f t="shared" si="175"/>
        <v>0</v>
      </c>
      <c r="AB401" s="377">
        <f t="shared" si="176"/>
        <v>0</v>
      </c>
      <c r="AC401" s="377">
        <f t="shared" si="177"/>
        <v>0</v>
      </c>
      <c r="AD401" s="376"/>
      <c r="AE401" s="332">
        <v>386</v>
      </c>
      <c r="AF401" s="350">
        <v>5997783.414126846</v>
      </c>
      <c r="AG401" s="350">
        <v>37048.14498850549</v>
      </c>
      <c r="AH401" s="350">
        <v>35472.298823666708</v>
      </c>
      <c r="AI401" s="350">
        <v>33854.049133150489</v>
      </c>
      <c r="AJ401" s="350">
        <v>32193.478574897803</v>
      </c>
      <c r="AK401" s="348">
        <v>6136351.3856470669</v>
      </c>
      <c r="AL401" s="369"/>
      <c r="AM401" s="350">
        <v>7670561.3953071404</v>
      </c>
      <c r="AN401" s="350">
        <v>1730491.5343375499</v>
      </c>
      <c r="AO401" s="350">
        <v>1748262.5888608154</v>
      </c>
      <c r="AP401" s="350">
        <v>1764625.4271123502</v>
      </c>
      <c r="AQ401" s="350">
        <v>1779532.9417509015</v>
      </c>
      <c r="AR401" s="348">
        <v>14693473.887368757</v>
      </c>
      <c r="AS401" s="369"/>
      <c r="AT401" s="350">
        <f t="shared" ref="AT401:AT464" si="195">AM401-AF401</f>
        <v>1672777.9811802944</v>
      </c>
      <c r="AU401" s="350">
        <f t="shared" si="178"/>
        <v>1693443.3893490445</v>
      </c>
      <c r="AV401" s="350">
        <f t="shared" si="179"/>
        <v>1712790.2900371486</v>
      </c>
      <c r="AW401" s="350">
        <f t="shared" si="180"/>
        <v>1730771.3779791999</v>
      </c>
      <c r="AX401" s="350">
        <f t="shared" si="181"/>
        <v>1747339.4631760037</v>
      </c>
      <c r="AY401" s="350">
        <f t="shared" si="182"/>
        <v>8557122.5017216913</v>
      </c>
      <c r="AZ401" s="365"/>
      <c r="BA401" s="377">
        <f t="shared" si="183"/>
        <v>0</v>
      </c>
      <c r="BB401" s="377">
        <f t="shared" si="184"/>
        <v>0</v>
      </c>
      <c r="BC401" s="377">
        <f t="shared" si="185"/>
        <v>0</v>
      </c>
      <c r="BD401" s="377">
        <f t="shared" si="186"/>
        <v>0</v>
      </c>
      <c r="BE401" s="377">
        <f t="shared" si="187"/>
        <v>0</v>
      </c>
      <c r="BF401" s="377">
        <f t="shared" si="188"/>
        <v>0</v>
      </c>
      <c r="BG401" s="328"/>
    </row>
    <row r="402" spans="2:59">
      <c r="B402" s="332">
        <v>387</v>
      </c>
      <c r="C402" s="350">
        <v>8301470.7345037144</v>
      </c>
      <c r="D402" s="350">
        <v>51277.958898171913</v>
      </c>
      <c r="E402" s="350">
        <v>49096.846324369704</v>
      </c>
      <c r="F402" s="350">
        <v>46857.043463982125</v>
      </c>
      <c r="G402" s="350">
        <v>44558.664723025198</v>
      </c>
      <c r="H402" s="348">
        <v>8493261.2479132637</v>
      </c>
      <c r="I402" s="369"/>
      <c r="J402" s="350">
        <v>10692665.486819398</v>
      </c>
      <c r="K402" s="350">
        <v>2472013.4010863444</v>
      </c>
      <c r="L402" s="350">
        <v>2497488.2045512814</v>
      </c>
      <c r="M402" s="350">
        <v>2520951.9221889405</v>
      </c>
      <c r="N402" s="350">
        <v>2542337.2114686342</v>
      </c>
      <c r="O402" s="348">
        <v>20725456.226114597</v>
      </c>
      <c r="P402" s="369"/>
      <c r="Q402" s="350">
        <f t="shared" si="189"/>
        <v>2391194.7523156833</v>
      </c>
      <c r="R402" s="350">
        <f t="shared" si="190"/>
        <v>2420735.4421881726</v>
      </c>
      <c r="S402" s="350">
        <f t="shared" si="191"/>
        <v>2448391.3582269116</v>
      </c>
      <c r="T402" s="350">
        <f t="shared" si="192"/>
        <v>2474094.8787249583</v>
      </c>
      <c r="U402" s="350">
        <f t="shared" si="193"/>
        <v>2497778.546745609</v>
      </c>
      <c r="V402" s="350">
        <f t="shared" si="194"/>
        <v>12232194.978201333</v>
      </c>
      <c r="W402" s="365"/>
      <c r="X402" s="377">
        <f t="shared" si="172"/>
        <v>0</v>
      </c>
      <c r="Y402" s="377">
        <f t="shared" si="173"/>
        <v>0</v>
      </c>
      <c r="Z402" s="377">
        <f t="shared" si="174"/>
        <v>0</v>
      </c>
      <c r="AA402" s="377">
        <f t="shared" si="175"/>
        <v>0</v>
      </c>
      <c r="AB402" s="377">
        <f t="shared" si="176"/>
        <v>0</v>
      </c>
      <c r="AC402" s="377">
        <f t="shared" si="177"/>
        <v>0</v>
      </c>
      <c r="AD402" s="376"/>
      <c r="AE402" s="332">
        <v>387</v>
      </c>
      <c r="AF402" s="350">
        <v>5264096.7224053191</v>
      </c>
      <c r="AG402" s="350">
        <v>32516.18225256931</v>
      </c>
      <c r="AH402" s="350">
        <v>31133.10352855318</v>
      </c>
      <c r="AI402" s="350">
        <v>29712.80834553175</v>
      </c>
      <c r="AJ402" s="350">
        <v>28255.369250211941</v>
      </c>
      <c r="AK402" s="348">
        <v>5385714.1857821858</v>
      </c>
      <c r="AL402" s="369"/>
      <c r="AM402" s="350">
        <v>6633036.5833397787</v>
      </c>
      <c r="AN402" s="350">
        <v>1418367.8517491678</v>
      </c>
      <c r="AO402" s="350">
        <v>1432817.5636497648</v>
      </c>
      <c r="AP402" s="350">
        <v>1446112.3282677254</v>
      </c>
      <c r="AQ402" s="350">
        <v>1458213.5995932992</v>
      </c>
      <c r="AR402" s="348">
        <v>12388547.926599735</v>
      </c>
      <c r="AS402" s="369"/>
      <c r="AT402" s="350">
        <f t="shared" si="195"/>
        <v>1368939.8609344596</v>
      </c>
      <c r="AU402" s="350">
        <f t="shared" si="178"/>
        <v>1385851.6694965984</v>
      </c>
      <c r="AV402" s="350">
        <f t="shared" si="179"/>
        <v>1401684.4601212116</v>
      </c>
      <c r="AW402" s="350">
        <f t="shared" si="180"/>
        <v>1416399.5199221936</v>
      </c>
      <c r="AX402" s="350">
        <f t="shared" si="181"/>
        <v>1429958.2303430873</v>
      </c>
      <c r="AY402" s="350">
        <f t="shared" si="182"/>
        <v>7002833.7408175496</v>
      </c>
      <c r="AZ402" s="365"/>
      <c r="BA402" s="377">
        <f t="shared" si="183"/>
        <v>0</v>
      </c>
      <c r="BB402" s="377">
        <f t="shared" si="184"/>
        <v>0</v>
      </c>
      <c r="BC402" s="377">
        <f t="shared" si="185"/>
        <v>0</v>
      </c>
      <c r="BD402" s="377">
        <f t="shared" si="186"/>
        <v>0</v>
      </c>
      <c r="BE402" s="377">
        <f t="shared" si="187"/>
        <v>0</v>
      </c>
      <c r="BF402" s="377">
        <f t="shared" si="188"/>
        <v>0</v>
      </c>
      <c r="BG402" s="328"/>
    </row>
    <row r="403" spans="2:59">
      <c r="B403" s="332">
        <v>388</v>
      </c>
      <c r="C403" s="350">
        <v>6184590.1407986255</v>
      </c>
      <c r="D403" s="350">
        <v>38202.045057366246</v>
      </c>
      <c r="E403" s="350">
        <v>36577.117649762229</v>
      </c>
      <c r="F403" s="350">
        <v>34908.466017936953</v>
      </c>
      <c r="G403" s="350">
        <v>33196.175394291567</v>
      </c>
      <c r="H403" s="348">
        <v>6327473.9449179834</v>
      </c>
      <c r="I403" s="369"/>
      <c r="J403" s="350">
        <v>7933256.5473033572</v>
      </c>
      <c r="K403" s="350">
        <v>1808471.381208448</v>
      </c>
      <c r="L403" s="350">
        <v>1827071.0596265399</v>
      </c>
      <c r="M403" s="350">
        <v>1844199.2386503166</v>
      </c>
      <c r="N403" s="350">
        <v>1859806.672658223</v>
      </c>
      <c r="O403" s="348">
        <v>15272804.899446886</v>
      </c>
      <c r="P403" s="369"/>
      <c r="Q403" s="350">
        <f t="shared" si="189"/>
        <v>1748666.4065047316</v>
      </c>
      <c r="R403" s="350">
        <f t="shared" si="190"/>
        <v>1770269.3361510818</v>
      </c>
      <c r="S403" s="350">
        <f t="shared" si="191"/>
        <v>1790493.9419767777</v>
      </c>
      <c r="T403" s="350">
        <f t="shared" si="192"/>
        <v>1809290.7726323796</v>
      </c>
      <c r="U403" s="350">
        <f t="shared" si="193"/>
        <v>1826610.4972639314</v>
      </c>
      <c r="V403" s="350">
        <f t="shared" si="194"/>
        <v>8945330.9545289017</v>
      </c>
      <c r="W403" s="365"/>
      <c r="X403" s="377">
        <f t="shared" si="172"/>
        <v>0</v>
      </c>
      <c r="Y403" s="377">
        <f t="shared" si="173"/>
        <v>0</v>
      </c>
      <c r="Z403" s="377">
        <f t="shared" si="174"/>
        <v>0</v>
      </c>
      <c r="AA403" s="377">
        <f t="shared" si="175"/>
        <v>0</v>
      </c>
      <c r="AB403" s="377">
        <f t="shared" si="176"/>
        <v>0</v>
      </c>
      <c r="AC403" s="377">
        <f t="shared" si="177"/>
        <v>0</v>
      </c>
      <c r="AD403" s="376"/>
      <c r="AE403" s="332">
        <v>388</v>
      </c>
      <c r="AF403" s="350">
        <v>5418166.0465760445</v>
      </c>
      <c r="AG403" s="350">
        <v>33467.864276750828</v>
      </c>
      <c r="AH403" s="350">
        <v>32044.305672610884</v>
      </c>
      <c r="AI403" s="350">
        <v>30582.441359972832</v>
      </c>
      <c r="AJ403" s="350">
        <v>29082.346008835251</v>
      </c>
      <c r="AK403" s="348">
        <v>5543343.0038942145</v>
      </c>
      <c r="AL403" s="369"/>
      <c r="AM403" s="350">
        <v>6996515.4773650216</v>
      </c>
      <c r="AN403" s="350">
        <v>1631316.1380605123</v>
      </c>
      <c r="AO403" s="350">
        <v>1648147.344901731</v>
      </c>
      <c r="AP403" s="350">
        <v>1663651.5336084359</v>
      </c>
      <c r="AQ403" s="350">
        <v>1677784.2527334886</v>
      </c>
      <c r="AR403" s="348">
        <v>13617414.746669192</v>
      </c>
      <c r="AS403" s="369"/>
      <c r="AT403" s="350">
        <f t="shared" si="195"/>
        <v>1578349.4307889771</v>
      </c>
      <c r="AU403" s="350">
        <f t="shared" si="178"/>
        <v>1597848.2737837615</v>
      </c>
      <c r="AV403" s="350">
        <f t="shared" si="179"/>
        <v>1616103.0392291201</v>
      </c>
      <c r="AW403" s="350">
        <f t="shared" si="180"/>
        <v>1633069.0922484631</v>
      </c>
      <c r="AX403" s="350">
        <f t="shared" si="181"/>
        <v>1648701.9067246532</v>
      </c>
      <c r="AY403" s="350">
        <f t="shared" si="182"/>
        <v>8074071.7427749773</v>
      </c>
      <c r="AZ403" s="365"/>
      <c r="BA403" s="377">
        <f t="shared" si="183"/>
        <v>0</v>
      </c>
      <c r="BB403" s="377">
        <f t="shared" si="184"/>
        <v>0</v>
      </c>
      <c r="BC403" s="377">
        <f t="shared" si="185"/>
        <v>0</v>
      </c>
      <c r="BD403" s="377">
        <f t="shared" si="186"/>
        <v>0</v>
      </c>
      <c r="BE403" s="377">
        <f t="shared" si="187"/>
        <v>0</v>
      </c>
      <c r="BF403" s="377">
        <f t="shared" si="188"/>
        <v>0</v>
      </c>
      <c r="BG403" s="328"/>
    </row>
    <row r="404" spans="2:59">
      <c r="B404" s="332">
        <v>389</v>
      </c>
      <c r="C404" s="350">
        <v>5305797.7917942684</v>
      </c>
      <c r="D404" s="350">
        <v>32773.768623771437</v>
      </c>
      <c r="E404" s="350">
        <v>31379.733440387361</v>
      </c>
      <c r="F404" s="350">
        <v>29948.186977023426</v>
      </c>
      <c r="G404" s="350">
        <v>28479.202355082543</v>
      </c>
      <c r="H404" s="348">
        <v>5428378.683190532</v>
      </c>
      <c r="I404" s="369"/>
      <c r="J404" s="350">
        <v>7777355.7999874922</v>
      </c>
      <c r="K404" s="350">
        <v>2534865.2699802769</v>
      </c>
      <c r="L404" s="350">
        <v>2562056.6106611006</v>
      </c>
      <c r="M404" s="350">
        <v>2587192.428426093</v>
      </c>
      <c r="N404" s="350">
        <v>2610203.0723677156</v>
      </c>
      <c r="O404" s="348">
        <v>18071673.181422677</v>
      </c>
      <c r="P404" s="369"/>
      <c r="Q404" s="350">
        <f t="shared" si="189"/>
        <v>2471558.0081932237</v>
      </c>
      <c r="R404" s="350">
        <f t="shared" si="190"/>
        <v>2502091.5013565053</v>
      </c>
      <c r="S404" s="350">
        <f t="shared" si="191"/>
        <v>2530676.8772207131</v>
      </c>
      <c r="T404" s="350">
        <f t="shared" si="192"/>
        <v>2557244.2414490697</v>
      </c>
      <c r="U404" s="350">
        <f t="shared" si="193"/>
        <v>2581723.870012633</v>
      </c>
      <c r="V404" s="350">
        <f t="shared" si="194"/>
        <v>12643294.498232145</v>
      </c>
      <c r="W404" s="365"/>
      <c r="X404" s="377">
        <f t="shared" si="172"/>
        <v>0</v>
      </c>
      <c r="Y404" s="377">
        <f t="shared" si="173"/>
        <v>0</v>
      </c>
      <c r="Z404" s="377">
        <f t="shared" si="174"/>
        <v>0</v>
      </c>
      <c r="AA404" s="377">
        <f t="shared" si="175"/>
        <v>0</v>
      </c>
      <c r="AB404" s="377">
        <f t="shared" si="176"/>
        <v>0</v>
      </c>
      <c r="AC404" s="377">
        <f t="shared" si="177"/>
        <v>0</v>
      </c>
      <c r="AD404" s="376"/>
      <c r="AE404" s="332">
        <v>389</v>
      </c>
      <c r="AF404" s="350">
        <v>5565952.2279893104</v>
      </c>
      <c r="AG404" s="350">
        <v>34380.735499043381</v>
      </c>
      <c r="AH404" s="350">
        <v>32918.347835712208</v>
      </c>
      <c r="AI404" s="350">
        <v>31416.609635368801</v>
      </c>
      <c r="AJ404" s="350">
        <v>29875.597604713908</v>
      </c>
      <c r="AK404" s="348">
        <v>5694543.5185641488</v>
      </c>
      <c r="AL404" s="369"/>
      <c r="AM404" s="350">
        <v>7238281.1735441117</v>
      </c>
      <c r="AN404" s="350">
        <v>1727369.5418609083</v>
      </c>
      <c r="AO404" s="350">
        <v>1745248.8614602871</v>
      </c>
      <c r="AP404" s="350">
        <v>1761723.3844113674</v>
      </c>
      <c r="AQ404" s="350">
        <v>1776746.0100892209</v>
      </c>
      <c r="AR404" s="348">
        <v>14249368.971365895</v>
      </c>
      <c r="AS404" s="369"/>
      <c r="AT404" s="350">
        <f t="shared" si="195"/>
        <v>1672328.9455548013</v>
      </c>
      <c r="AU404" s="350">
        <f t="shared" si="178"/>
        <v>1692988.8063618648</v>
      </c>
      <c r="AV404" s="350">
        <f t="shared" si="179"/>
        <v>1712330.513624575</v>
      </c>
      <c r="AW404" s="350">
        <f t="shared" si="180"/>
        <v>1730306.7747759987</v>
      </c>
      <c r="AX404" s="350">
        <f t="shared" si="181"/>
        <v>1746870.4124845071</v>
      </c>
      <c r="AY404" s="350">
        <f t="shared" si="182"/>
        <v>8554825.4528017454</v>
      </c>
      <c r="AZ404" s="365"/>
      <c r="BA404" s="377">
        <f t="shared" si="183"/>
        <v>0</v>
      </c>
      <c r="BB404" s="377">
        <f t="shared" si="184"/>
        <v>0</v>
      </c>
      <c r="BC404" s="377">
        <f t="shared" si="185"/>
        <v>0</v>
      </c>
      <c r="BD404" s="377">
        <f t="shared" si="186"/>
        <v>0</v>
      </c>
      <c r="BE404" s="377">
        <f t="shared" si="187"/>
        <v>0</v>
      </c>
      <c r="BF404" s="377">
        <f t="shared" si="188"/>
        <v>0</v>
      </c>
      <c r="BG404" s="328"/>
    </row>
    <row r="405" spans="2:59">
      <c r="B405" s="332">
        <v>390</v>
      </c>
      <c r="C405" s="350">
        <v>6505334.0055443924</v>
      </c>
      <c r="D405" s="350">
        <v>40183.27118455038</v>
      </c>
      <c r="E405" s="350">
        <v>38474.072146207684</v>
      </c>
      <c r="F405" s="350">
        <v>36718.881267457851</v>
      </c>
      <c r="G405" s="350">
        <v>34917.788201015304</v>
      </c>
      <c r="H405" s="348">
        <v>6655628.0183436247</v>
      </c>
      <c r="I405" s="369"/>
      <c r="J405" s="350">
        <v>9120506.9276482686</v>
      </c>
      <c r="K405" s="350">
        <v>2687663.897284511</v>
      </c>
      <c r="L405" s="350">
        <v>2716201.0856181942</v>
      </c>
      <c r="M405" s="350">
        <v>2742557.0097977761</v>
      </c>
      <c r="N405" s="350">
        <v>2766657.983990272</v>
      </c>
      <c r="O405" s="348">
        <v>20033586.904339019</v>
      </c>
      <c r="P405" s="369"/>
      <c r="Q405" s="350">
        <f t="shared" si="189"/>
        <v>2615172.9221038762</v>
      </c>
      <c r="R405" s="350">
        <f t="shared" si="190"/>
        <v>2647480.6260999604</v>
      </c>
      <c r="S405" s="350">
        <f t="shared" si="191"/>
        <v>2677727.0134719866</v>
      </c>
      <c r="T405" s="350">
        <f t="shared" si="192"/>
        <v>2705838.1285303184</v>
      </c>
      <c r="U405" s="350">
        <f t="shared" si="193"/>
        <v>2731740.1957892566</v>
      </c>
      <c r="V405" s="350">
        <f t="shared" si="194"/>
        <v>13377958.885995395</v>
      </c>
      <c r="W405" s="365"/>
      <c r="X405" s="377">
        <f t="shared" si="172"/>
        <v>0</v>
      </c>
      <c r="Y405" s="377">
        <f t="shared" si="173"/>
        <v>0</v>
      </c>
      <c r="Z405" s="377">
        <f t="shared" si="174"/>
        <v>0</v>
      </c>
      <c r="AA405" s="377">
        <f t="shared" si="175"/>
        <v>0</v>
      </c>
      <c r="AB405" s="377">
        <f t="shared" si="176"/>
        <v>0</v>
      </c>
      <c r="AC405" s="377">
        <f t="shared" si="177"/>
        <v>0</v>
      </c>
      <c r="AD405" s="376"/>
      <c r="AE405" s="332">
        <v>390</v>
      </c>
      <c r="AF405" s="350">
        <v>5785083.6099985819</v>
      </c>
      <c r="AG405" s="350">
        <v>35734.304084579009</v>
      </c>
      <c r="AH405" s="350">
        <v>34214.34226024682</v>
      </c>
      <c r="AI405" s="350">
        <v>32653.480669372122</v>
      </c>
      <c r="AJ405" s="350">
        <v>31051.799038595633</v>
      </c>
      <c r="AK405" s="348">
        <v>5918737.5360513758</v>
      </c>
      <c r="AL405" s="369"/>
      <c r="AM405" s="350">
        <v>8150952.0470159166</v>
      </c>
      <c r="AN405" s="350">
        <v>2430830.5510531357</v>
      </c>
      <c r="AO405" s="350">
        <v>2456673.5879094806</v>
      </c>
      <c r="AP405" s="350">
        <v>2480544.0082364259</v>
      </c>
      <c r="AQ405" s="350">
        <v>2502375.1492933859</v>
      </c>
      <c r="AR405" s="348">
        <v>18021375.343508344</v>
      </c>
      <c r="AS405" s="369"/>
      <c r="AT405" s="350">
        <f t="shared" si="195"/>
        <v>2365868.4370173346</v>
      </c>
      <c r="AU405" s="350">
        <f t="shared" si="178"/>
        <v>2395096.2469685567</v>
      </c>
      <c r="AV405" s="350">
        <f t="shared" si="179"/>
        <v>2422459.2456492339</v>
      </c>
      <c r="AW405" s="350">
        <f t="shared" si="180"/>
        <v>2447890.5275670537</v>
      </c>
      <c r="AX405" s="350">
        <f t="shared" si="181"/>
        <v>2471323.3502547904</v>
      </c>
      <c r="AY405" s="350">
        <f t="shared" si="182"/>
        <v>12102637.807456968</v>
      </c>
      <c r="AZ405" s="365"/>
      <c r="BA405" s="377">
        <f t="shared" si="183"/>
        <v>0</v>
      </c>
      <c r="BB405" s="377">
        <f t="shared" si="184"/>
        <v>0</v>
      </c>
      <c r="BC405" s="377">
        <f t="shared" si="185"/>
        <v>0</v>
      </c>
      <c r="BD405" s="377">
        <f t="shared" si="186"/>
        <v>0</v>
      </c>
      <c r="BE405" s="377">
        <f t="shared" si="187"/>
        <v>0</v>
      </c>
      <c r="BF405" s="377">
        <f t="shared" si="188"/>
        <v>0</v>
      </c>
      <c r="BG405" s="328"/>
    </row>
    <row r="406" spans="2:59">
      <c r="B406" s="332">
        <v>391</v>
      </c>
      <c r="C406" s="350">
        <v>5201953.397611592</v>
      </c>
      <c r="D406" s="350">
        <v>32132.324625833458</v>
      </c>
      <c r="E406" s="350">
        <v>30765.573320344807</v>
      </c>
      <c r="F406" s="350">
        <v>29362.044900838813</v>
      </c>
      <c r="G406" s="350">
        <v>27921.811057595929</v>
      </c>
      <c r="H406" s="348">
        <v>5322135.1515162056</v>
      </c>
      <c r="I406" s="369"/>
      <c r="J406" s="350">
        <v>7903681.0924609257</v>
      </c>
      <c r="K406" s="350">
        <v>2767237.0164245679</v>
      </c>
      <c r="L406" s="350">
        <v>2797117.7217371259</v>
      </c>
      <c r="M406" s="350">
        <v>2824755.7061920734</v>
      </c>
      <c r="N406" s="350">
        <v>2850074.8242356009</v>
      </c>
      <c r="O406" s="348">
        <v>19142866.361050293</v>
      </c>
      <c r="P406" s="369"/>
      <c r="Q406" s="350">
        <f t="shared" si="189"/>
        <v>2701727.6948493337</v>
      </c>
      <c r="R406" s="350">
        <f t="shared" si="190"/>
        <v>2735104.6917987345</v>
      </c>
      <c r="S406" s="350">
        <f t="shared" si="191"/>
        <v>2766352.1484167809</v>
      </c>
      <c r="T406" s="350">
        <f t="shared" si="192"/>
        <v>2795393.6612912347</v>
      </c>
      <c r="U406" s="350">
        <f t="shared" si="193"/>
        <v>2822153.0131780049</v>
      </c>
      <c r="V406" s="350">
        <f t="shared" si="194"/>
        <v>13820731.209534086</v>
      </c>
      <c r="W406" s="365"/>
      <c r="X406" s="377">
        <f t="shared" si="172"/>
        <v>0</v>
      </c>
      <c r="Y406" s="377">
        <f t="shared" si="173"/>
        <v>0</v>
      </c>
      <c r="Z406" s="377">
        <f t="shared" si="174"/>
        <v>0</v>
      </c>
      <c r="AA406" s="377">
        <f t="shared" si="175"/>
        <v>0</v>
      </c>
      <c r="AB406" s="377">
        <f t="shared" si="176"/>
        <v>0</v>
      </c>
      <c r="AC406" s="377">
        <f t="shared" si="177"/>
        <v>0</v>
      </c>
      <c r="AD406" s="376"/>
      <c r="AE406" s="332">
        <v>391</v>
      </c>
      <c r="AF406" s="350">
        <v>4560915.0585139757</v>
      </c>
      <c r="AG406" s="350">
        <v>28172.648243698066</v>
      </c>
      <c r="AH406" s="350">
        <v>26974.322127723157</v>
      </c>
      <c r="AI406" s="350">
        <v>25743.750952957045</v>
      </c>
      <c r="AJ406" s="350">
        <v>24480.997575264304</v>
      </c>
      <c r="AK406" s="348">
        <v>4666286.7774136188</v>
      </c>
      <c r="AL406" s="369"/>
      <c r="AM406" s="350">
        <v>5943157.0130046466</v>
      </c>
      <c r="AN406" s="350">
        <v>1427490.7446365757</v>
      </c>
      <c r="AO406" s="350">
        <v>1442279.0575852748</v>
      </c>
      <c r="AP406" s="350">
        <v>1455906.5335754715</v>
      </c>
      <c r="AQ406" s="350">
        <v>1468334.2416470866</v>
      </c>
      <c r="AR406" s="348">
        <v>11737167.590449056</v>
      </c>
      <c r="AS406" s="369"/>
      <c r="AT406" s="350">
        <f t="shared" si="195"/>
        <v>1382241.9544906709</v>
      </c>
      <c r="AU406" s="350">
        <f t="shared" si="178"/>
        <v>1399318.0963928776</v>
      </c>
      <c r="AV406" s="350">
        <f t="shared" si="179"/>
        <v>1415304.7354575517</v>
      </c>
      <c r="AW406" s="350">
        <f t="shared" si="180"/>
        <v>1430162.7826225145</v>
      </c>
      <c r="AX406" s="350">
        <f t="shared" si="181"/>
        <v>1443853.2440718224</v>
      </c>
      <c r="AY406" s="350">
        <f t="shared" si="182"/>
        <v>7070880.8130354369</v>
      </c>
      <c r="AZ406" s="365"/>
      <c r="BA406" s="377">
        <f t="shared" si="183"/>
        <v>0</v>
      </c>
      <c r="BB406" s="377">
        <f t="shared" si="184"/>
        <v>0</v>
      </c>
      <c r="BC406" s="377">
        <f t="shared" si="185"/>
        <v>0</v>
      </c>
      <c r="BD406" s="377">
        <f t="shared" si="186"/>
        <v>0</v>
      </c>
      <c r="BE406" s="377">
        <f t="shared" si="187"/>
        <v>0</v>
      </c>
      <c r="BF406" s="377">
        <f t="shared" si="188"/>
        <v>0</v>
      </c>
      <c r="BG406" s="328"/>
    </row>
    <row r="407" spans="2:59">
      <c r="B407" s="332">
        <v>392</v>
      </c>
      <c r="C407" s="350">
        <v>6160620.8899255777</v>
      </c>
      <c r="D407" s="350">
        <v>38053.987646768583</v>
      </c>
      <c r="E407" s="350">
        <v>36435.357874385416</v>
      </c>
      <c r="F407" s="350">
        <v>34773.173337173139</v>
      </c>
      <c r="G407" s="350">
        <v>33067.518937204964</v>
      </c>
      <c r="H407" s="348">
        <v>6302950.9277211092</v>
      </c>
      <c r="I407" s="369"/>
      <c r="J407" s="350">
        <v>8857130.7196031306</v>
      </c>
      <c r="K407" s="350">
        <v>2767876.3530512769</v>
      </c>
      <c r="L407" s="350">
        <v>2797444.8314703028</v>
      </c>
      <c r="M407" s="350">
        <v>2824768.0717351409</v>
      </c>
      <c r="N407" s="350">
        <v>2849770.0887026573</v>
      </c>
      <c r="O407" s="348">
        <v>20096990.064562507</v>
      </c>
      <c r="P407" s="369"/>
      <c r="Q407" s="350">
        <f t="shared" si="189"/>
        <v>2696509.8296775529</v>
      </c>
      <c r="R407" s="350">
        <f t="shared" si="190"/>
        <v>2729822.3654045081</v>
      </c>
      <c r="S407" s="350">
        <f t="shared" si="191"/>
        <v>2761009.4735959172</v>
      </c>
      <c r="T407" s="350">
        <f t="shared" si="192"/>
        <v>2789994.8983979677</v>
      </c>
      <c r="U407" s="350">
        <f t="shared" si="193"/>
        <v>2816702.5697654523</v>
      </c>
      <c r="V407" s="350">
        <f t="shared" si="194"/>
        <v>13794039.136841398</v>
      </c>
      <c r="W407" s="365"/>
      <c r="X407" s="377">
        <f t="shared" si="172"/>
        <v>0</v>
      </c>
      <c r="Y407" s="377">
        <f t="shared" si="173"/>
        <v>0</v>
      </c>
      <c r="Z407" s="377">
        <f t="shared" si="174"/>
        <v>0</v>
      </c>
      <c r="AA407" s="377">
        <f t="shared" si="175"/>
        <v>0</v>
      </c>
      <c r="AB407" s="377">
        <f t="shared" si="176"/>
        <v>0</v>
      </c>
      <c r="AC407" s="377">
        <f t="shared" si="177"/>
        <v>0</v>
      </c>
      <c r="AD407" s="376"/>
      <c r="AE407" s="332">
        <v>392</v>
      </c>
      <c r="AF407" s="350">
        <v>4476263.9619634636</v>
      </c>
      <c r="AG407" s="350">
        <v>27649.760723109448</v>
      </c>
      <c r="AH407" s="350">
        <v>26473.675674649254</v>
      </c>
      <c r="AI407" s="350">
        <v>25265.944039314716</v>
      </c>
      <c r="AJ407" s="350">
        <v>24026.627506361474</v>
      </c>
      <c r="AK407" s="348">
        <v>4579679.9699068982</v>
      </c>
      <c r="AL407" s="369"/>
      <c r="AM407" s="350">
        <v>6083837.1649338361</v>
      </c>
      <c r="AN407" s="350">
        <v>1655082.835579819</v>
      </c>
      <c r="AO407" s="350">
        <v>1672499.510273919</v>
      </c>
      <c r="AP407" s="350">
        <v>1688571.9649281553</v>
      </c>
      <c r="AQ407" s="350">
        <v>1703254.9106957391</v>
      </c>
      <c r="AR407" s="348">
        <v>12803246.386411469</v>
      </c>
      <c r="AS407" s="369"/>
      <c r="AT407" s="350">
        <f t="shared" si="195"/>
        <v>1607573.2029703725</v>
      </c>
      <c r="AU407" s="350">
        <f t="shared" si="178"/>
        <v>1627433.0748567097</v>
      </c>
      <c r="AV407" s="350">
        <f t="shared" si="179"/>
        <v>1646025.8345992698</v>
      </c>
      <c r="AW407" s="350">
        <f t="shared" si="180"/>
        <v>1663306.0208888405</v>
      </c>
      <c r="AX407" s="350">
        <f t="shared" si="181"/>
        <v>1679228.2831893775</v>
      </c>
      <c r="AY407" s="350">
        <f t="shared" si="182"/>
        <v>8223566.4165045712</v>
      </c>
      <c r="AZ407" s="365"/>
      <c r="BA407" s="377">
        <f t="shared" si="183"/>
        <v>0</v>
      </c>
      <c r="BB407" s="377">
        <f t="shared" si="184"/>
        <v>0</v>
      </c>
      <c r="BC407" s="377">
        <f t="shared" si="185"/>
        <v>0</v>
      </c>
      <c r="BD407" s="377">
        <f t="shared" si="186"/>
        <v>0</v>
      </c>
      <c r="BE407" s="377">
        <f t="shared" si="187"/>
        <v>0</v>
      </c>
      <c r="BF407" s="377">
        <f t="shared" si="188"/>
        <v>0</v>
      </c>
      <c r="BG407" s="328"/>
    </row>
    <row r="408" spans="2:59">
      <c r="B408" s="332">
        <v>393</v>
      </c>
      <c r="C408" s="350">
        <v>5177342.5719258506</v>
      </c>
      <c r="D408" s="350">
        <v>31980.30422507289</v>
      </c>
      <c r="E408" s="350">
        <v>30620.01912094406</v>
      </c>
      <c r="F408" s="350">
        <v>29223.130898040334</v>
      </c>
      <c r="G408" s="350">
        <v>27789.710907470359</v>
      </c>
      <c r="H408" s="348">
        <v>5296955.7370773787</v>
      </c>
      <c r="I408" s="369"/>
      <c r="J408" s="350">
        <v>7100858.6485629817</v>
      </c>
      <c r="K408" s="350">
        <v>1979259.3938203326</v>
      </c>
      <c r="L408" s="350">
        <v>2000145.9788480178</v>
      </c>
      <c r="M408" s="350">
        <v>2019425.4219261426</v>
      </c>
      <c r="N408" s="350">
        <v>2037043.5309452217</v>
      </c>
      <c r="O408" s="348">
        <v>15136732.974102696</v>
      </c>
      <c r="P408" s="369"/>
      <c r="Q408" s="350">
        <f t="shared" si="189"/>
        <v>1923516.0766371312</v>
      </c>
      <c r="R408" s="350">
        <f t="shared" si="190"/>
        <v>1947279.0895952596</v>
      </c>
      <c r="S408" s="350">
        <f t="shared" si="191"/>
        <v>1969525.9597270738</v>
      </c>
      <c r="T408" s="350">
        <f t="shared" si="192"/>
        <v>1990202.2910281024</v>
      </c>
      <c r="U408" s="350">
        <f t="shared" si="193"/>
        <v>2009253.8200377512</v>
      </c>
      <c r="V408" s="350">
        <f t="shared" si="194"/>
        <v>9839777.2370253168</v>
      </c>
      <c r="W408" s="365"/>
      <c r="X408" s="377">
        <f t="shared" si="172"/>
        <v>0</v>
      </c>
      <c r="Y408" s="377">
        <f t="shared" si="173"/>
        <v>0</v>
      </c>
      <c r="Z408" s="377">
        <f t="shared" si="174"/>
        <v>0</v>
      </c>
      <c r="AA408" s="377">
        <f t="shared" si="175"/>
        <v>0</v>
      </c>
      <c r="AB408" s="377">
        <f t="shared" si="176"/>
        <v>0</v>
      </c>
      <c r="AC408" s="377">
        <f t="shared" si="177"/>
        <v>0</v>
      </c>
      <c r="AD408" s="376"/>
      <c r="AE408" s="332">
        <v>393</v>
      </c>
      <c r="AF408" s="350">
        <v>4629341.2979588937</v>
      </c>
      <c r="AG408" s="350">
        <v>28595.315263317625</v>
      </c>
      <c r="AH408" s="350">
        <v>27379.010967812479</v>
      </c>
      <c r="AI408" s="350">
        <v>26129.97784916481</v>
      </c>
      <c r="AJ408" s="350">
        <v>24848.279706250625</v>
      </c>
      <c r="AK408" s="348">
        <v>4736293.88174544</v>
      </c>
      <c r="AL408" s="369"/>
      <c r="AM408" s="350">
        <v>6699160.7567927651</v>
      </c>
      <c r="AN408" s="350">
        <v>2123985.211079055</v>
      </c>
      <c r="AO408" s="350">
        <v>2146707.882525037</v>
      </c>
      <c r="AP408" s="350">
        <v>2167707.8305217391</v>
      </c>
      <c r="AQ408" s="350">
        <v>2186926.7281074794</v>
      </c>
      <c r="AR408" s="348">
        <v>15324488.409026075</v>
      </c>
      <c r="AS408" s="369"/>
      <c r="AT408" s="350">
        <f t="shared" si="195"/>
        <v>2069819.4588338714</v>
      </c>
      <c r="AU408" s="350">
        <f t="shared" si="178"/>
        <v>2095389.8958157373</v>
      </c>
      <c r="AV408" s="350">
        <f t="shared" si="179"/>
        <v>2119328.8715572245</v>
      </c>
      <c r="AW408" s="350">
        <f t="shared" si="180"/>
        <v>2141577.8526725741</v>
      </c>
      <c r="AX408" s="350">
        <f t="shared" si="181"/>
        <v>2162078.448401229</v>
      </c>
      <c r="AY408" s="350">
        <f t="shared" si="182"/>
        <v>10588194.527280636</v>
      </c>
      <c r="AZ408" s="365"/>
      <c r="BA408" s="377">
        <f t="shared" si="183"/>
        <v>0</v>
      </c>
      <c r="BB408" s="377">
        <f t="shared" si="184"/>
        <v>0</v>
      </c>
      <c r="BC408" s="377">
        <f t="shared" si="185"/>
        <v>0</v>
      </c>
      <c r="BD408" s="377">
        <f t="shared" si="186"/>
        <v>0</v>
      </c>
      <c r="BE408" s="377">
        <f t="shared" si="187"/>
        <v>0</v>
      </c>
      <c r="BF408" s="377">
        <f t="shared" si="188"/>
        <v>0</v>
      </c>
      <c r="BG408" s="328"/>
    </row>
    <row r="409" spans="2:59">
      <c r="B409" s="332">
        <v>394</v>
      </c>
      <c r="C409" s="350">
        <v>6274688.8616302349</v>
      </c>
      <c r="D409" s="350">
        <v>38758.582404942055</v>
      </c>
      <c r="E409" s="350">
        <v>37109.982631422725</v>
      </c>
      <c r="F409" s="350">
        <v>35417.02164778646</v>
      </c>
      <c r="G409" s="350">
        <v>33679.785928124074</v>
      </c>
      <c r="H409" s="348">
        <v>6419654.2342425101</v>
      </c>
      <c r="I409" s="369"/>
      <c r="J409" s="350">
        <v>8154851.0591263101</v>
      </c>
      <c r="K409" s="350">
        <v>1942148.201394988</v>
      </c>
      <c r="L409" s="350">
        <v>1962245.0524354621</v>
      </c>
      <c r="M409" s="350">
        <v>1980762.4016058615</v>
      </c>
      <c r="N409" s="350">
        <v>1997647.2949567584</v>
      </c>
      <c r="O409" s="348">
        <v>16037654.00951938</v>
      </c>
      <c r="P409" s="369"/>
      <c r="Q409" s="350">
        <f t="shared" si="189"/>
        <v>1880162.1974960752</v>
      </c>
      <c r="R409" s="350">
        <f t="shared" si="190"/>
        <v>1903389.618990046</v>
      </c>
      <c r="S409" s="350">
        <f t="shared" si="191"/>
        <v>1925135.0698040393</v>
      </c>
      <c r="T409" s="350">
        <f t="shared" si="192"/>
        <v>1945345.379958075</v>
      </c>
      <c r="U409" s="350">
        <f t="shared" si="193"/>
        <v>1963967.5090286343</v>
      </c>
      <c r="V409" s="350">
        <f t="shared" si="194"/>
        <v>9617999.7752768695</v>
      </c>
      <c r="W409" s="365"/>
      <c r="X409" s="377">
        <f t="shared" si="172"/>
        <v>0</v>
      </c>
      <c r="Y409" s="377">
        <f t="shared" si="173"/>
        <v>0</v>
      </c>
      <c r="Z409" s="377">
        <f t="shared" si="174"/>
        <v>0</v>
      </c>
      <c r="AA409" s="377">
        <f t="shared" si="175"/>
        <v>0</v>
      </c>
      <c r="AB409" s="377">
        <f t="shared" si="176"/>
        <v>0</v>
      </c>
      <c r="AC409" s="377">
        <f t="shared" si="177"/>
        <v>0</v>
      </c>
      <c r="AD409" s="376"/>
      <c r="AE409" s="332">
        <v>394</v>
      </c>
      <c r="AF409" s="350">
        <v>5130055.9425154356</v>
      </c>
      <c r="AG409" s="350">
        <v>31688.216001565612</v>
      </c>
      <c r="AH409" s="350">
        <v>30340.354896181143</v>
      </c>
      <c r="AI409" s="350">
        <v>28956.224982159976</v>
      </c>
      <c r="AJ409" s="350">
        <v>27535.896958934423</v>
      </c>
      <c r="AK409" s="348">
        <v>5248576.6353542767</v>
      </c>
      <c r="AL409" s="369"/>
      <c r="AM409" s="350">
        <v>6775841.8042288367</v>
      </c>
      <c r="AN409" s="350">
        <v>1697806.0267083826</v>
      </c>
      <c r="AO409" s="350">
        <v>1715492.8826895978</v>
      </c>
      <c r="AP409" s="350">
        <v>1731799.696012625</v>
      </c>
      <c r="AQ409" s="350">
        <v>1746680.1088404555</v>
      </c>
      <c r="AR409" s="348">
        <v>13667620.518479899</v>
      </c>
      <c r="AS409" s="369"/>
      <c r="AT409" s="350">
        <f t="shared" si="195"/>
        <v>1645785.861713401</v>
      </c>
      <c r="AU409" s="350">
        <f t="shared" si="178"/>
        <v>1666117.8107068171</v>
      </c>
      <c r="AV409" s="350">
        <f t="shared" si="179"/>
        <v>1685152.5277934168</v>
      </c>
      <c r="AW409" s="350">
        <f t="shared" si="180"/>
        <v>1702843.4710304651</v>
      </c>
      <c r="AX409" s="350">
        <f t="shared" si="181"/>
        <v>1719144.2118815212</v>
      </c>
      <c r="AY409" s="350">
        <f t="shared" si="182"/>
        <v>8419043.8831256218</v>
      </c>
      <c r="AZ409" s="365"/>
      <c r="BA409" s="377">
        <f t="shared" si="183"/>
        <v>0</v>
      </c>
      <c r="BB409" s="377">
        <f t="shared" si="184"/>
        <v>0</v>
      </c>
      <c r="BC409" s="377">
        <f t="shared" si="185"/>
        <v>0</v>
      </c>
      <c r="BD409" s="377">
        <f t="shared" si="186"/>
        <v>0</v>
      </c>
      <c r="BE409" s="377">
        <f t="shared" si="187"/>
        <v>0</v>
      </c>
      <c r="BF409" s="377">
        <f t="shared" si="188"/>
        <v>0</v>
      </c>
      <c r="BG409" s="328"/>
    </row>
    <row r="410" spans="2:59">
      <c r="B410" s="332">
        <v>395</v>
      </c>
      <c r="C410" s="350">
        <v>5466898.5526137883</v>
      </c>
      <c r="D410" s="350">
        <v>33768.883640852735</v>
      </c>
      <c r="E410" s="350">
        <v>32332.521151103916</v>
      </c>
      <c r="F410" s="350">
        <v>30857.508420562412</v>
      </c>
      <c r="G410" s="350">
        <v>29343.920790834269</v>
      </c>
      <c r="H410" s="348">
        <v>5593201.3866171418</v>
      </c>
      <c r="I410" s="369"/>
      <c r="J410" s="350">
        <v>7822440.5273711476</v>
      </c>
      <c r="K410" s="350">
        <v>2418411.0957965073</v>
      </c>
      <c r="L410" s="350">
        <v>2444218.2988994517</v>
      </c>
      <c r="M410" s="350">
        <v>2468063.5664905137</v>
      </c>
      <c r="N410" s="350">
        <v>2489880.5227593277</v>
      </c>
      <c r="O410" s="348">
        <v>17643014.011316948</v>
      </c>
      <c r="P410" s="369"/>
      <c r="Q410" s="350">
        <f t="shared" si="189"/>
        <v>2355541.9747573594</v>
      </c>
      <c r="R410" s="350">
        <f t="shared" si="190"/>
        <v>2384642.2121556546</v>
      </c>
      <c r="S410" s="350">
        <f t="shared" si="191"/>
        <v>2411885.7777483477</v>
      </c>
      <c r="T410" s="350">
        <f t="shared" si="192"/>
        <v>2437206.0580699514</v>
      </c>
      <c r="U410" s="350">
        <f t="shared" si="193"/>
        <v>2460536.6019684933</v>
      </c>
      <c r="V410" s="350">
        <f t="shared" si="194"/>
        <v>12049812.624699805</v>
      </c>
      <c r="W410" s="365"/>
      <c r="X410" s="377">
        <f t="shared" si="172"/>
        <v>0</v>
      </c>
      <c r="Y410" s="377">
        <f t="shared" si="173"/>
        <v>0</v>
      </c>
      <c r="Z410" s="377">
        <f t="shared" si="174"/>
        <v>0</v>
      </c>
      <c r="AA410" s="377">
        <f t="shared" si="175"/>
        <v>0</v>
      </c>
      <c r="AB410" s="377">
        <f t="shared" si="176"/>
        <v>0</v>
      </c>
      <c r="AC410" s="377">
        <f t="shared" si="177"/>
        <v>0</v>
      </c>
      <c r="AD410" s="376"/>
      <c r="AE410" s="332">
        <v>395</v>
      </c>
      <c r="AF410" s="350">
        <v>5340860.4063640311</v>
      </c>
      <c r="AG410" s="350">
        <v>32990.349440144055</v>
      </c>
      <c r="AH410" s="350">
        <v>31587.10197233994</v>
      </c>
      <c r="AI410" s="350">
        <v>30146.095336566905</v>
      </c>
      <c r="AJ410" s="350">
        <v>28667.403137436275</v>
      </c>
      <c r="AK410" s="348">
        <v>5464251.356250518</v>
      </c>
      <c r="AL410" s="369"/>
      <c r="AM410" s="350">
        <v>6862923.0085253865</v>
      </c>
      <c r="AN410" s="350">
        <v>1573856.4301778143</v>
      </c>
      <c r="AO410" s="350">
        <v>1590056.9498186128</v>
      </c>
      <c r="AP410" s="350">
        <v>1604976.9557085161</v>
      </c>
      <c r="AQ410" s="350">
        <v>1618573.5832177962</v>
      </c>
      <c r="AR410" s="348">
        <v>13250386.927448127</v>
      </c>
      <c r="AS410" s="369"/>
      <c r="AT410" s="350">
        <f t="shared" si="195"/>
        <v>1522062.6021613553</v>
      </c>
      <c r="AU410" s="350">
        <f t="shared" si="178"/>
        <v>1540866.0807376702</v>
      </c>
      <c r="AV410" s="350">
        <f t="shared" si="179"/>
        <v>1558469.8478462729</v>
      </c>
      <c r="AW410" s="350">
        <f t="shared" si="180"/>
        <v>1574830.8603719492</v>
      </c>
      <c r="AX410" s="350">
        <f t="shared" si="181"/>
        <v>1589906.1800803598</v>
      </c>
      <c r="AY410" s="350">
        <f t="shared" si="182"/>
        <v>7786135.5711976094</v>
      </c>
      <c r="AZ410" s="365"/>
      <c r="BA410" s="377">
        <f t="shared" si="183"/>
        <v>0</v>
      </c>
      <c r="BB410" s="377">
        <f t="shared" si="184"/>
        <v>0</v>
      </c>
      <c r="BC410" s="377">
        <f t="shared" si="185"/>
        <v>0</v>
      </c>
      <c r="BD410" s="377">
        <f t="shared" si="186"/>
        <v>0</v>
      </c>
      <c r="BE410" s="377">
        <f t="shared" si="187"/>
        <v>0</v>
      </c>
      <c r="BF410" s="377">
        <f t="shared" si="188"/>
        <v>0</v>
      </c>
      <c r="BG410" s="328"/>
    </row>
    <row r="411" spans="2:59">
      <c r="B411" s="332">
        <v>396</v>
      </c>
      <c r="C411" s="350">
        <v>6728038.0998092759</v>
      </c>
      <c r="D411" s="350">
        <v>41558.908316501322</v>
      </c>
      <c r="E411" s="350">
        <v>39791.196429555734</v>
      </c>
      <c r="F411" s="350">
        <v>37975.918214080222</v>
      </c>
      <c r="G411" s="350">
        <v>36113.166391960942</v>
      </c>
      <c r="H411" s="348">
        <v>6883477.2891613739</v>
      </c>
      <c r="I411" s="369"/>
      <c r="J411" s="350">
        <v>8932413.0540214051</v>
      </c>
      <c r="K411" s="350">
        <v>2273166.5907796472</v>
      </c>
      <c r="L411" s="350">
        <v>2296894.087341344</v>
      </c>
      <c r="M411" s="350">
        <v>2318774.1592290336</v>
      </c>
      <c r="N411" s="350">
        <v>2338744.7125185253</v>
      </c>
      <c r="O411" s="348">
        <v>18159992.603889953</v>
      </c>
      <c r="P411" s="369"/>
      <c r="Q411" s="350">
        <f t="shared" si="189"/>
        <v>2204374.9542121291</v>
      </c>
      <c r="R411" s="350">
        <f t="shared" si="190"/>
        <v>2231607.6824631458</v>
      </c>
      <c r="S411" s="350">
        <f t="shared" si="191"/>
        <v>2257102.8909117882</v>
      </c>
      <c r="T411" s="350">
        <f t="shared" si="192"/>
        <v>2280798.2410149532</v>
      </c>
      <c r="U411" s="350">
        <f t="shared" si="193"/>
        <v>2302631.5461265645</v>
      </c>
      <c r="V411" s="350">
        <f t="shared" si="194"/>
        <v>11276515.31472858</v>
      </c>
      <c r="W411" s="365"/>
      <c r="X411" s="377">
        <f t="shared" si="172"/>
        <v>0</v>
      </c>
      <c r="Y411" s="377">
        <f t="shared" si="173"/>
        <v>0</v>
      </c>
      <c r="Z411" s="377">
        <f t="shared" si="174"/>
        <v>0</v>
      </c>
      <c r="AA411" s="377">
        <f t="shared" si="175"/>
        <v>0</v>
      </c>
      <c r="AB411" s="377">
        <f t="shared" si="176"/>
        <v>0</v>
      </c>
      <c r="AC411" s="377">
        <f t="shared" si="177"/>
        <v>0</v>
      </c>
      <c r="AD411" s="376"/>
      <c r="AE411" s="332">
        <v>396</v>
      </c>
      <c r="AF411" s="350">
        <v>5175220.3942085262</v>
      </c>
      <c r="AG411" s="350">
        <v>31967.195591042379</v>
      </c>
      <c r="AH411" s="350">
        <v>30607.468063838074</v>
      </c>
      <c r="AI411" s="350">
        <v>29211.152421367668</v>
      </c>
      <c r="AJ411" s="350">
        <v>27778.319985498627</v>
      </c>
      <c r="AK411" s="348">
        <v>5294784.5302702729</v>
      </c>
      <c r="AL411" s="369"/>
      <c r="AM411" s="350">
        <v>7535172.4631246123</v>
      </c>
      <c r="AN411" s="350">
        <v>2421073.983968718</v>
      </c>
      <c r="AO411" s="350">
        <v>2447008.8279983439</v>
      </c>
      <c r="AP411" s="350">
        <v>2470980.1978273466</v>
      </c>
      <c r="AQ411" s="350">
        <v>2492921.5892144172</v>
      </c>
      <c r="AR411" s="348">
        <v>17367157.062133439</v>
      </c>
      <c r="AS411" s="369"/>
      <c r="AT411" s="350">
        <f t="shared" si="195"/>
        <v>2359952.0689160861</v>
      </c>
      <c r="AU411" s="350">
        <f t="shared" si="178"/>
        <v>2389106.7883776757</v>
      </c>
      <c r="AV411" s="350">
        <f t="shared" si="179"/>
        <v>2416401.359934506</v>
      </c>
      <c r="AW411" s="350">
        <f t="shared" si="180"/>
        <v>2441769.0454059788</v>
      </c>
      <c r="AX411" s="350">
        <f t="shared" si="181"/>
        <v>2465143.2692289185</v>
      </c>
      <c r="AY411" s="350">
        <f t="shared" si="182"/>
        <v>12072372.531863166</v>
      </c>
      <c r="AZ411" s="365"/>
      <c r="BA411" s="377">
        <f t="shared" si="183"/>
        <v>0</v>
      </c>
      <c r="BB411" s="377">
        <f t="shared" si="184"/>
        <v>0</v>
      </c>
      <c r="BC411" s="377">
        <f t="shared" si="185"/>
        <v>0</v>
      </c>
      <c r="BD411" s="377">
        <f t="shared" si="186"/>
        <v>0</v>
      </c>
      <c r="BE411" s="377">
        <f t="shared" si="187"/>
        <v>0</v>
      </c>
      <c r="BF411" s="377">
        <f t="shared" si="188"/>
        <v>0</v>
      </c>
      <c r="BG411" s="328"/>
    </row>
    <row r="412" spans="2:59">
      <c r="B412" s="332">
        <v>397</v>
      </c>
      <c r="C412" s="350">
        <v>4837281.0466831094</v>
      </c>
      <c r="D412" s="350">
        <v>29879.753434503153</v>
      </c>
      <c r="E412" s="350">
        <v>28608.815446362114</v>
      </c>
      <c r="F412" s="350">
        <v>27303.67852889582</v>
      </c>
      <c r="G412" s="350">
        <v>25964.409346687095</v>
      </c>
      <c r="H412" s="348">
        <v>4949037.703439557</v>
      </c>
      <c r="I412" s="369"/>
      <c r="J412" s="350">
        <v>6391481.0999750644</v>
      </c>
      <c r="K412" s="350">
        <v>1603280.3096255402</v>
      </c>
      <c r="L412" s="350">
        <v>1619984.8318710839</v>
      </c>
      <c r="M412" s="350">
        <v>1635386.160576781</v>
      </c>
      <c r="N412" s="350">
        <v>1649440.517557478</v>
      </c>
      <c r="O412" s="348">
        <v>12899572.919605948</v>
      </c>
      <c r="P412" s="369"/>
      <c r="Q412" s="350">
        <f t="shared" si="189"/>
        <v>1554200.053291955</v>
      </c>
      <c r="R412" s="350">
        <f t="shared" si="190"/>
        <v>1573400.5561910369</v>
      </c>
      <c r="S412" s="350">
        <f t="shared" si="191"/>
        <v>1591376.0164247218</v>
      </c>
      <c r="T412" s="350">
        <f t="shared" si="192"/>
        <v>1608082.4820478852</v>
      </c>
      <c r="U412" s="350">
        <f t="shared" si="193"/>
        <v>1623476.1082107909</v>
      </c>
      <c r="V412" s="350">
        <f t="shared" si="194"/>
        <v>7950535.216166391</v>
      </c>
      <c r="W412" s="365"/>
      <c r="X412" s="377">
        <f t="shared" si="172"/>
        <v>0</v>
      </c>
      <c r="Y412" s="377">
        <f t="shared" si="173"/>
        <v>0</v>
      </c>
      <c r="Z412" s="377">
        <f t="shared" si="174"/>
        <v>0</v>
      </c>
      <c r="AA412" s="377">
        <f t="shared" si="175"/>
        <v>0</v>
      </c>
      <c r="AB412" s="377">
        <f t="shared" si="176"/>
        <v>0</v>
      </c>
      <c r="AC412" s="377">
        <f t="shared" si="177"/>
        <v>0</v>
      </c>
      <c r="AD412" s="376"/>
      <c r="AE412" s="332">
        <v>397</v>
      </c>
      <c r="AF412" s="350">
        <v>4731893.5302506071</v>
      </c>
      <c r="AG412" s="350">
        <v>29228.777612407273</v>
      </c>
      <c r="AH412" s="350">
        <v>27985.528939153992</v>
      </c>
      <c r="AI412" s="350">
        <v>26708.826412208422</v>
      </c>
      <c r="AJ412" s="350">
        <v>25398.735243760719</v>
      </c>
      <c r="AK412" s="348">
        <v>4841215.3984581381</v>
      </c>
      <c r="AL412" s="369"/>
      <c r="AM412" s="350">
        <v>6847990.8215959556</v>
      </c>
      <c r="AN412" s="350">
        <v>2171468.219764634</v>
      </c>
      <c r="AO412" s="350">
        <v>2194699.1838097596</v>
      </c>
      <c r="AP412" s="350">
        <v>2216168.9138146192</v>
      </c>
      <c r="AQ412" s="350">
        <v>2235817.778707399</v>
      </c>
      <c r="AR412" s="348">
        <v>15666144.917692367</v>
      </c>
      <c r="AS412" s="369"/>
      <c r="AT412" s="350">
        <f t="shared" si="195"/>
        <v>2116097.2913453486</v>
      </c>
      <c r="AU412" s="350">
        <f t="shared" si="178"/>
        <v>2142239.4421522268</v>
      </c>
      <c r="AV412" s="350">
        <f t="shared" si="179"/>
        <v>2166713.6548706056</v>
      </c>
      <c r="AW412" s="350">
        <f t="shared" si="180"/>
        <v>2189460.0874024108</v>
      </c>
      <c r="AX412" s="350">
        <f t="shared" si="181"/>
        <v>2210419.0434636385</v>
      </c>
      <c r="AY412" s="350">
        <f t="shared" si="182"/>
        <v>10824929.519234229</v>
      </c>
      <c r="AZ412" s="365"/>
      <c r="BA412" s="377">
        <f t="shared" si="183"/>
        <v>0</v>
      </c>
      <c r="BB412" s="377">
        <f t="shared" si="184"/>
        <v>0</v>
      </c>
      <c r="BC412" s="377">
        <f t="shared" si="185"/>
        <v>0</v>
      </c>
      <c r="BD412" s="377">
        <f t="shared" si="186"/>
        <v>0</v>
      </c>
      <c r="BE412" s="377">
        <f t="shared" si="187"/>
        <v>0</v>
      </c>
      <c r="BF412" s="377">
        <f t="shared" si="188"/>
        <v>0</v>
      </c>
      <c r="BG412" s="328"/>
    </row>
    <row r="413" spans="2:59">
      <c r="B413" s="332">
        <v>398</v>
      </c>
      <c r="C413" s="350">
        <v>5423636.9947354961</v>
      </c>
      <c r="D413" s="350">
        <v>33501.658174702403</v>
      </c>
      <c r="E413" s="350">
        <v>32076.662144087553</v>
      </c>
      <c r="F413" s="350">
        <v>30613.321726101563</v>
      </c>
      <c r="G413" s="350">
        <v>29111.711666145089</v>
      </c>
      <c r="H413" s="348">
        <v>5548940.3484465322</v>
      </c>
      <c r="I413" s="369"/>
      <c r="J413" s="350">
        <v>6996534.7820392083</v>
      </c>
      <c r="K413" s="350">
        <v>1625830.9391661889</v>
      </c>
      <c r="L413" s="350">
        <v>1642597.6563371306</v>
      </c>
      <c r="M413" s="350">
        <v>1658041.7679274506</v>
      </c>
      <c r="N413" s="350">
        <v>1672118.9763593143</v>
      </c>
      <c r="O413" s="348">
        <v>13595124.121829294</v>
      </c>
      <c r="P413" s="369"/>
      <c r="Q413" s="350">
        <f t="shared" si="189"/>
        <v>1572897.7873037122</v>
      </c>
      <c r="R413" s="350">
        <f t="shared" si="190"/>
        <v>1592329.2809914865</v>
      </c>
      <c r="S413" s="350">
        <f t="shared" si="191"/>
        <v>1610520.9941930431</v>
      </c>
      <c r="T413" s="350">
        <f t="shared" si="192"/>
        <v>1627428.4462013491</v>
      </c>
      <c r="U413" s="350">
        <f t="shared" si="193"/>
        <v>1643007.2646931692</v>
      </c>
      <c r="V413" s="350">
        <f t="shared" si="194"/>
        <v>8046183.7733827615</v>
      </c>
      <c r="W413" s="365"/>
      <c r="X413" s="377">
        <f t="shared" si="172"/>
        <v>0</v>
      </c>
      <c r="Y413" s="377">
        <f t="shared" si="173"/>
        <v>0</v>
      </c>
      <c r="Z413" s="377">
        <f t="shared" si="174"/>
        <v>0</v>
      </c>
      <c r="AA413" s="377">
        <f t="shared" si="175"/>
        <v>0</v>
      </c>
      <c r="AB413" s="377">
        <f t="shared" si="176"/>
        <v>0</v>
      </c>
      <c r="AC413" s="377">
        <f t="shared" si="177"/>
        <v>0</v>
      </c>
      <c r="AD413" s="376"/>
      <c r="AE413" s="332">
        <v>398</v>
      </c>
      <c r="AF413" s="350">
        <v>5391918.1024480565</v>
      </c>
      <c r="AG413" s="350">
        <v>33305.731439908173</v>
      </c>
      <c r="AH413" s="350">
        <v>31889.069170500799</v>
      </c>
      <c r="AI413" s="350">
        <v>30434.286762049873</v>
      </c>
      <c r="AJ413" s="350">
        <v>28941.45852281266</v>
      </c>
      <c r="AK413" s="348">
        <v>5516488.6483433275</v>
      </c>
      <c r="AL413" s="369"/>
      <c r="AM413" s="350">
        <v>7091641.0829377687</v>
      </c>
      <c r="AN413" s="350">
        <v>1754026.9971538442</v>
      </c>
      <c r="AO413" s="350">
        <v>1772268.8741949694</v>
      </c>
      <c r="AP413" s="350">
        <v>1789084.8179277959</v>
      </c>
      <c r="AQ413" s="350">
        <v>1804426.9525279517</v>
      </c>
      <c r="AR413" s="348">
        <v>14211448.724742331</v>
      </c>
      <c r="AS413" s="369"/>
      <c r="AT413" s="350">
        <f t="shared" si="195"/>
        <v>1699722.9804897122</v>
      </c>
      <c r="AU413" s="350">
        <f t="shared" si="178"/>
        <v>1720721.265713936</v>
      </c>
      <c r="AV413" s="350">
        <f t="shared" si="179"/>
        <v>1740379.8050244686</v>
      </c>
      <c r="AW413" s="350">
        <f t="shared" si="180"/>
        <v>1758650.531165746</v>
      </c>
      <c r="AX413" s="350">
        <f t="shared" si="181"/>
        <v>1775485.494005139</v>
      </c>
      <c r="AY413" s="350">
        <f t="shared" si="182"/>
        <v>8694960.0763990022</v>
      </c>
      <c r="AZ413" s="365"/>
      <c r="BA413" s="377">
        <f t="shared" si="183"/>
        <v>0</v>
      </c>
      <c r="BB413" s="377">
        <f t="shared" si="184"/>
        <v>0</v>
      </c>
      <c r="BC413" s="377">
        <f t="shared" si="185"/>
        <v>0</v>
      </c>
      <c r="BD413" s="377">
        <f t="shared" si="186"/>
        <v>0</v>
      </c>
      <c r="BE413" s="377">
        <f t="shared" si="187"/>
        <v>0</v>
      </c>
      <c r="BF413" s="377">
        <f t="shared" si="188"/>
        <v>0</v>
      </c>
      <c r="BG413" s="328"/>
    </row>
    <row r="414" spans="2:59">
      <c r="B414" s="332">
        <v>399</v>
      </c>
      <c r="C414" s="350">
        <v>7395812.0127603831</v>
      </c>
      <c r="D414" s="350">
        <v>45683.729611028524</v>
      </c>
      <c r="E414" s="350">
        <v>43740.568080932848</v>
      </c>
      <c r="F414" s="350">
        <v>41745.119150151462</v>
      </c>
      <c r="G414" s="350">
        <v>39697.484743442525</v>
      </c>
      <c r="H414" s="348">
        <v>7566678.9143459387</v>
      </c>
      <c r="I414" s="369"/>
      <c r="J414" s="350">
        <v>9862676.9649600387</v>
      </c>
      <c r="K414" s="350">
        <v>2543024.197215558</v>
      </c>
      <c r="L414" s="350">
        <v>2569612.1329249786</v>
      </c>
      <c r="M414" s="350">
        <v>2594133.6014486915</v>
      </c>
      <c r="N414" s="350">
        <v>2616519.1130762352</v>
      </c>
      <c r="O414" s="348">
        <v>20185966.009625502</v>
      </c>
      <c r="P414" s="369"/>
      <c r="Q414" s="350">
        <f t="shared" si="189"/>
        <v>2466864.9521996556</v>
      </c>
      <c r="R414" s="350">
        <f t="shared" si="190"/>
        <v>2497340.4676045296</v>
      </c>
      <c r="S414" s="350">
        <f t="shared" si="191"/>
        <v>2525871.5648440458</v>
      </c>
      <c r="T414" s="350">
        <f t="shared" si="192"/>
        <v>2552388.48229854</v>
      </c>
      <c r="U414" s="350">
        <f t="shared" si="193"/>
        <v>2576821.6283327928</v>
      </c>
      <c r="V414" s="350">
        <f t="shared" si="194"/>
        <v>12619287.095279563</v>
      </c>
      <c r="W414" s="365"/>
      <c r="X414" s="377">
        <f t="shared" si="172"/>
        <v>0</v>
      </c>
      <c r="Y414" s="377">
        <f t="shared" si="173"/>
        <v>0</v>
      </c>
      <c r="Z414" s="377">
        <f t="shared" si="174"/>
        <v>0</v>
      </c>
      <c r="AA414" s="377">
        <f t="shared" si="175"/>
        <v>0</v>
      </c>
      <c r="AB414" s="377">
        <f t="shared" si="176"/>
        <v>0</v>
      </c>
      <c r="AC414" s="377">
        <f t="shared" si="177"/>
        <v>0</v>
      </c>
      <c r="AD414" s="376"/>
      <c r="AE414" s="332">
        <v>399</v>
      </c>
      <c r="AF414" s="350">
        <v>6953114.1891621752</v>
      </c>
      <c r="AG414" s="350">
        <v>42949.197197579713</v>
      </c>
      <c r="AH414" s="350">
        <v>41122.349248576247</v>
      </c>
      <c r="AI414" s="350">
        <v>39246.343713224065</v>
      </c>
      <c r="AJ414" s="350">
        <v>37321.276415282198</v>
      </c>
      <c r="AK414" s="348">
        <v>7113753.3557368368</v>
      </c>
      <c r="AL414" s="369"/>
      <c r="AM414" s="350">
        <v>9099309.1584001258</v>
      </c>
      <c r="AN414" s="350">
        <v>2215658.1423175703</v>
      </c>
      <c r="AO414" s="350">
        <v>2238653.6087428043</v>
      </c>
      <c r="AP414" s="350">
        <v>2259847.5628296016</v>
      </c>
      <c r="AQ414" s="350">
        <v>2279179.5550454427</v>
      </c>
      <c r="AR414" s="348">
        <v>18092648.027335547</v>
      </c>
      <c r="AS414" s="369"/>
      <c r="AT414" s="350">
        <f t="shared" si="195"/>
        <v>2146194.9692379506</v>
      </c>
      <c r="AU414" s="350">
        <f t="shared" si="178"/>
        <v>2172708.9451199905</v>
      </c>
      <c r="AV414" s="350">
        <f t="shared" si="179"/>
        <v>2197531.2594942278</v>
      </c>
      <c r="AW414" s="350">
        <f t="shared" si="180"/>
        <v>2220601.2191163776</v>
      </c>
      <c r="AX414" s="350">
        <f t="shared" si="181"/>
        <v>2241858.2786301603</v>
      </c>
      <c r="AY414" s="350">
        <f t="shared" si="182"/>
        <v>10978894.67159871</v>
      </c>
      <c r="AZ414" s="365"/>
      <c r="BA414" s="377">
        <f t="shared" si="183"/>
        <v>0</v>
      </c>
      <c r="BB414" s="377">
        <f t="shared" si="184"/>
        <v>0</v>
      </c>
      <c r="BC414" s="377">
        <f t="shared" si="185"/>
        <v>0</v>
      </c>
      <c r="BD414" s="377">
        <f t="shared" si="186"/>
        <v>0</v>
      </c>
      <c r="BE414" s="377">
        <f t="shared" si="187"/>
        <v>0</v>
      </c>
      <c r="BF414" s="377">
        <f t="shared" si="188"/>
        <v>0</v>
      </c>
      <c r="BG414" s="328"/>
    </row>
    <row r="415" spans="2:59">
      <c r="B415" s="332">
        <v>400</v>
      </c>
      <c r="C415" s="350">
        <v>7727304.5585633153</v>
      </c>
      <c r="D415" s="350">
        <v>47731.350048702501</v>
      </c>
      <c r="E415" s="350">
        <v>45701.092799921105</v>
      </c>
      <c r="F415" s="350">
        <v>43616.204542542364</v>
      </c>
      <c r="G415" s="350">
        <v>41476.79176975345</v>
      </c>
      <c r="H415" s="348">
        <v>7905829.9977242351</v>
      </c>
      <c r="I415" s="369"/>
      <c r="J415" s="350">
        <v>9284578.4739250448</v>
      </c>
      <c r="K415" s="350">
        <v>1624243.7426342838</v>
      </c>
      <c r="L415" s="350">
        <v>1640224.4970820004</v>
      </c>
      <c r="M415" s="350">
        <v>1654879.11612147</v>
      </c>
      <c r="N415" s="350">
        <v>1668163.7746807756</v>
      </c>
      <c r="O415" s="348">
        <v>15872089.604443572</v>
      </c>
      <c r="P415" s="369"/>
      <c r="Q415" s="350">
        <f t="shared" si="189"/>
        <v>1557273.9153617295</v>
      </c>
      <c r="R415" s="350">
        <f t="shared" si="190"/>
        <v>1576512.3925855814</v>
      </c>
      <c r="S415" s="350">
        <f t="shared" si="191"/>
        <v>1594523.4042820793</v>
      </c>
      <c r="T415" s="350">
        <f t="shared" si="192"/>
        <v>1611262.9115789277</v>
      </c>
      <c r="U415" s="350">
        <f t="shared" si="193"/>
        <v>1626686.9829110221</v>
      </c>
      <c r="V415" s="350">
        <f t="shared" si="194"/>
        <v>7966259.6067193374</v>
      </c>
      <c r="W415" s="365"/>
      <c r="X415" s="377">
        <f t="shared" si="172"/>
        <v>0</v>
      </c>
      <c r="Y415" s="377">
        <f t="shared" si="173"/>
        <v>0</v>
      </c>
      <c r="Z415" s="377">
        <f t="shared" si="174"/>
        <v>0</v>
      </c>
      <c r="AA415" s="377">
        <f t="shared" si="175"/>
        <v>0</v>
      </c>
      <c r="AB415" s="377">
        <f t="shared" si="176"/>
        <v>0</v>
      </c>
      <c r="AC415" s="377">
        <f t="shared" si="177"/>
        <v>0</v>
      </c>
      <c r="AD415" s="376"/>
      <c r="AE415" s="332">
        <v>400</v>
      </c>
      <c r="AF415" s="350">
        <v>5439769.3702791529</v>
      </c>
      <c r="AG415" s="350">
        <v>33601.307419580604</v>
      </c>
      <c r="AH415" s="350">
        <v>32172.072799408226</v>
      </c>
      <c r="AI415" s="350">
        <v>30704.379738134106</v>
      </c>
      <c r="AJ415" s="350">
        <v>29198.30320347919</v>
      </c>
      <c r="AK415" s="348">
        <v>5565445.4334397549</v>
      </c>
      <c r="AL415" s="369"/>
      <c r="AM415" s="350">
        <v>7285461.0356314266</v>
      </c>
      <c r="AN415" s="350">
        <v>1902094.5471871598</v>
      </c>
      <c r="AO415" s="350">
        <v>1922012.0864677543</v>
      </c>
      <c r="AP415" s="350">
        <v>1940384.1716209115</v>
      </c>
      <c r="AQ415" s="350">
        <v>1957158.8096237718</v>
      </c>
      <c r="AR415" s="348">
        <v>15007110.650531024</v>
      </c>
      <c r="AS415" s="369"/>
      <c r="AT415" s="350">
        <f t="shared" si="195"/>
        <v>1845691.6653522737</v>
      </c>
      <c r="AU415" s="350">
        <f t="shared" si="178"/>
        <v>1868493.2397675791</v>
      </c>
      <c r="AV415" s="350">
        <f t="shared" si="179"/>
        <v>1889840.0136683462</v>
      </c>
      <c r="AW415" s="350">
        <f t="shared" si="180"/>
        <v>1909679.7918827774</v>
      </c>
      <c r="AX415" s="350">
        <f t="shared" si="181"/>
        <v>1927960.5064202927</v>
      </c>
      <c r="AY415" s="350">
        <f t="shared" si="182"/>
        <v>9441665.2170912698</v>
      </c>
      <c r="AZ415" s="365"/>
      <c r="BA415" s="377">
        <f t="shared" si="183"/>
        <v>0</v>
      </c>
      <c r="BB415" s="377">
        <f t="shared" si="184"/>
        <v>0</v>
      </c>
      <c r="BC415" s="377">
        <f t="shared" si="185"/>
        <v>0</v>
      </c>
      <c r="BD415" s="377">
        <f t="shared" si="186"/>
        <v>0</v>
      </c>
      <c r="BE415" s="377">
        <f t="shared" si="187"/>
        <v>0</v>
      </c>
      <c r="BF415" s="377">
        <f t="shared" si="188"/>
        <v>0</v>
      </c>
      <c r="BG415" s="328"/>
    </row>
    <row r="416" spans="2:59">
      <c r="B416" s="332">
        <v>401</v>
      </c>
      <c r="C416" s="350">
        <v>4763691.5008603968</v>
      </c>
      <c r="D416" s="350">
        <v>29425.192811848025</v>
      </c>
      <c r="E416" s="350">
        <v>28173.589600499003</v>
      </c>
      <c r="F416" s="350">
        <v>26888.307728059735</v>
      </c>
      <c r="G416" s="350">
        <v>25569.412844944716</v>
      </c>
      <c r="H416" s="348">
        <v>4873748.0038457476</v>
      </c>
      <c r="I416" s="369"/>
      <c r="J416" s="350">
        <v>6387262.7134511843</v>
      </c>
      <c r="K416" s="350">
        <v>1673053.9158294203</v>
      </c>
      <c r="L416" s="350">
        <v>1690580.1010415554</v>
      </c>
      <c r="M416" s="350">
        <v>1706746.9718649373</v>
      </c>
      <c r="N416" s="350">
        <v>1721508.7921011769</v>
      </c>
      <c r="O416" s="348">
        <v>13179152.494288273</v>
      </c>
      <c r="P416" s="369"/>
      <c r="Q416" s="350">
        <f t="shared" si="189"/>
        <v>1623571.2125907876</v>
      </c>
      <c r="R416" s="350">
        <f t="shared" si="190"/>
        <v>1643628.7230175722</v>
      </c>
      <c r="S416" s="350">
        <f t="shared" si="191"/>
        <v>1662406.5114410564</v>
      </c>
      <c r="T416" s="350">
        <f t="shared" si="192"/>
        <v>1679858.6641368775</v>
      </c>
      <c r="U416" s="350">
        <f t="shared" si="193"/>
        <v>1695939.3792562322</v>
      </c>
      <c r="V416" s="350">
        <f t="shared" si="194"/>
        <v>8305404.4904425256</v>
      </c>
      <c r="W416" s="365"/>
      <c r="X416" s="377">
        <f t="shared" si="172"/>
        <v>0</v>
      </c>
      <c r="Y416" s="377">
        <f t="shared" si="173"/>
        <v>0</v>
      </c>
      <c r="Z416" s="377">
        <f t="shared" si="174"/>
        <v>0</v>
      </c>
      <c r="AA416" s="377">
        <f t="shared" si="175"/>
        <v>0</v>
      </c>
      <c r="AB416" s="377">
        <f t="shared" si="176"/>
        <v>0</v>
      </c>
      <c r="AC416" s="377">
        <f t="shared" si="177"/>
        <v>0</v>
      </c>
      <c r="AD416" s="376"/>
      <c r="AE416" s="332">
        <v>401</v>
      </c>
      <c r="AF416" s="350">
        <v>4804094.1997041618</v>
      </c>
      <c r="AG416" s="350">
        <v>29674.759183511323</v>
      </c>
      <c r="AH416" s="350">
        <v>28412.540644194753</v>
      </c>
      <c r="AI416" s="350">
        <v>27116.357802116436</v>
      </c>
      <c r="AJ416" s="350">
        <v>25786.276864498701</v>
      </c>
      <c r="AK416" s="348">
        <v>4915084.1341984831</v>
      </c>
      <c r="AL416" s="369"/>
      <c r="AM416" s="350">
        <v>7490541.1456887592</v>
      </c>
      <c r="AN416" s="350">
        <v>2749309.9245774122</v>
      </c>
      <c r="AO416" s="350">
        <v>2779118.4296204094</v>
      </c>
      <c r="AP416" s="350">
        <v>2806699.5032527996</v>
      </c>
      <c r="AQ416" s="350">
        <v>2831977.4255161677</v>
      </c>
      <c r="AR416" s="348">
        <v>18657646.42865555</v>
      </c>
      <c r="AS416" s="369"/>
      <c r="AT416" s="350">
        <f t="shared" si="195"/>
        <v>2686446.9459845973</v>
      </c>
      <c r="AU416" s="350">
        <f t="shared" si="178"/>
        <v>2719635.1653939011</v>
      </c>
      <c r="AV416" s="350">
        <f t="shared" si="179"/>
        <v>2750705.8889762145</v>
      </c>
      <c r="AW416" s="350">
        <f t="shared" si="180"/>
        <v>2779583.1454506833</v>
      </c>
      <c r="AX416" s="350">
        <f t="shared" si="181"/>
        <v>2806191.1486516688</v>
      </c>
      <c r="AY416" s="350">
        <f t="shared" si="182"/>
        <v>13742562.294457067</v>
      </c>
      <c r="AZ416" s="365"/>
      <c r="BA416" s="377">
        <f t="shared" si="183"/>
        <v>0</v>
      </c>
      <c r="BB416" s="377">
        <f t="shared" si="184"/>
        <v>0</v>
      </c>
      <c r="BC416" s="377">
        <f t="shared" si="185"/>
        <v>0</v>
      </c>
      <c r="BD416" s="377">
        <f t="shared" si="186"/>
        <v>0</v>
      </c>
      <c r="BE416" s="377">
        <f t="shared" si="187"/>
        <v>0</v>
      </c>
      <c r="BF416" s="377">
        <f t="shared" si="188"/>
        <v>0</v>
      </c>
      <c r="BG416" s="328"/>
    </row>
    <row r="417" spans="2:59">
      <c r="B417" s="332">
        <v>402</v>
      </c>
      <c r="C417" s="350">
        <v>7337707.3010997064</v>
      </c>
      <c r="D417" s="350">
        <v>45324.818387749066</v>
      </c>
      <c r="E417" s="350">
        <v>43396.923178678575</v>
      </c>
      <c r="F417" s="350">
        <v>41417.15136145163</v>
      </c>
      <c r="G417" s="350">
        <v>39385.604060066908</v>
      </c>
      <c r="H417" s="348">
        <v>7507231.7980876518</v>
      </c>
      <c r="I417" s="369"/>
      <c r="J417" s="350">
        <v>9418054.3130067177</v>
      </c>
      <c r="K417" s="350">
        <v>2151372.32409452</v>
      </c>
      <c r="L417" s="350">
        <v>2173505.1634772359</v>
      </c>
      <c r="M417" s="350">
        <v>2193887.5359445005</v>
      </c>
      <c r="N417" s="350">
        <v>2212460.8548716162</v>
      </c>
      <c r="O417" s="348">
        <v>18149280.19139459</v>
      </c>
      <c r="P417" s="369"/>
      <c r="Q417" s="350">
        <f t="shared" si="189"/>
        <v>2080347.0119070113</v>
      </c>
      <c r="R417" s="350">
        <f t="shared" si="190"/>
        <v>2106047.5057067708</v>
      </c>
      <c r="S417" s="350">
        <f t="shared" si="191"/>
        <v>2130108.2402985576</v>
      </c>
      <c r="T417" s="350">
        <f t="shared" si="192"/>
        <v>2152470.384583049</v>
      </c>
      <c r="U417" s="350">
        <f t="shared" si="193"/>
        <v>2173075.2508115494</v>
      </c>
      <c r="V417" s="350">
        <f t="shared" si="194"/>
        <v>10642048.393306937</v>
      </c>
      <c r="W417" s="365"/>
      <c r="X417" s="377">
        <f t="shared" si="172"/>
        <v>0</v>
      </c>
      <c r="Y417" s="377">
        <f t="shared" si="173"/>
        <v>0</v>
      </c>
      <c r="Z417" s="377">
        <f t="shared" si="174"/>
        <v>0</v>
      </c>
      <c r="AA417" s="377">
        <f t="shared" si="175"/>
        <v>0</v>
      </c>
      <c r="AB417" s="377">
        <f t="shared" si="176"/>
        <v>0</v>
      </c>
      <c r="AC417" s="377">
        <f t="shared" si="177"/>
        <v>0</v>
      </c>
      <c r="AD417" s="376"/>
      <c r="AE417" s="332">
        <v>402</v>
      </c>
      <c r="AF417" s="350">
        <v>4799138.870006701</v>
      </c>
      <c r="AG417" s="350">
        <v>29644.150246773741</v>
      </c>
      <c r="AH417" s="350">
        <v>28383.233661320042</v>
      </c>
      <c r="AI417" s="350">
        <v>27088.387806625997</v>
      </c>
      <c r="AJ417" s="350">
        <v>25759.678821616111</v>
      </c>
      <c r="AK417" s="348">
        <v>4910014.3205430368</v>
      </c>
      <c r="AL417" s="369"/>
      <c r="AM417" s="350">
        <v>6245627.4307190813</v>
      </c>
      <c r="AN417" s="350">
        <v>1494002.5519391613</v>
      </c>
      <c r="AO417" s="350">
        <v>1509471.3334041554</v>
      </c>
      <c r="AP417" s="350">
        <v>1523725.1367485514</v>
      </c>
      <c r="AQ417" s="350">
        <v>1536723.2218627688</v>
      </c>
      <c r="AR417" s="348">
        <v>12309549.674673719</v>
      </c>
      <c r="AS417" s="369"/>
      <c r="AT417" s="350">
        <f t="shared" si="195"/>
        <v>1446488.5607123803</v>
      </c>
      <c r="AU417" s="350">
        <f t="shared" si="178"/>
        <v>1464358.4016923874</v>
      </c>
      <c r="AV417" s="350">
        <f t="shared" si="179"/>
        <v>1481088.0997428354</v>
      </c>
      <c r="AW417" s="350">
        <f t="shared" si="180"/>
        <v>1496636.7489419254</v>
      </c>
      <c r="AX417" s="350">
        <f t="shared" si="181"/>
        <v>1510963.5430411526</v>
      </c>
      <c r="AY417" s="350">
        <f t="shared" si="182"/>
        <v>7399535.3541306825</v>
      </c>
      <c r="AZ417" s="365"/>
      <c r="BA417" s="377">
        <f t="shared" si="183"/>
        <v>0</v>
      </c>
      <c r="BB417" s="377">
        <f t="shared" si="184"/>
        <v>0</v>
      </c>
      <c r="BC417" s="377">
        <f t="shared" si="185"/>
        <v>0</v>
      </c>
      <c r="BD417" s="377">
        <f t="shared" si="186"/>
        <v>0</v>
      </c>
      <c r="BE417" s="377">
        <f t="shared" si="187"/>
        <v>0</v>
      </c>
      <c r="BF417" s="377">
        <f t="shared" si="188"/>
        <v>0</v>
      </c>
      <c r="BG417" s="328"/>
    </row>
    <row r="418" spans="2:59">
      <c r="B418" s="332">
        <v>403</v>
      </c>
      <c r="C418" s="350">
        <v>5785817.7951253159</v>
      </c>
      <c r="D418" s="350">
        <v>35738.83912613432</v>
      </c>
      <c r="E418" s="350">
        <v>34218.684403404535</v>
      </c>
      <c r="F418" s="350">
        <v>32657.624723539764</v>
      </c>
      <c r="G418" s="350">
        <v>31055.739823300341</v>
      </c>
      <c r="H418" s="348">
        <v>5919488.6832016949</v>
      </c>
      <c r="I418" s="369"/>
      <c r="J418" s="350">
        <v>7583139.9078362137</v>
      </c>
      <c r="K418" s="350">
        <v>1855264.9714306423</v>
      </c>
      <c r="L418" s="350">
        <v>1874532.1613587693</v>
      </c>
      <c r="M418" s="350">
        <v>1892290.9440802471</v>
      </c>
      <c r="N418" s="350">
        <v>1908490.6958732929</v>
      </c>
      <c r="O418" s="348">
        <v>15113718.680579165</v>
      </c>
      <c r="P418" s="369"/>
      <c r="Q418" s="350">
        <f t="shared" si="189"/>
        <v>1797322.1127108978</v>
      </c>
      <c r="R418" s="350">
        <f t="shared" si="190"/>
        <v>1819526.132304508</v>
      </c>
      <c r="S418" s="350">
        <f t="shared" si="191"/>
        <v>1840313.4769553647</v>
      </c>
      <c r="T418" s="350">
        <f t="shared" si="192"/>
        <v>1859633.3193567074</v>
      </c>
      <c r="U418" s="350">
        <f t="shared" si="193"/>
        <v>1877434.9560499925</v>
      </c>
      <c r="V418" s="350">
        <f t="shared" si="194"/>
        <v>9194229.9973774701</v>
      </c>
      <c r="W418" s="365"/>
      <c r="X418" s="377">
        <f t="shared" si="172"/>
        <v>0</v>
      </c>
      <c r="Y418" s="377">
        <f t="shared" si="173"/>
        <v>0</v>
      </c>
      <c r="Z418" s="377">
        <f t="shared" si="174"/>
        <v>0</v>
      </c>
      <c r="AA418" s="377">
        <f t="shared" si="175"/>
        <v>0</v>
      </c>
      <c r="AB418" s="377">
        <f t="shared" si="176"/>
        <v>0</v>
      </c>
      <c r="AC418" s="377">
        <f t="shared" si="177"/>
        <v>0</v>
      </c>
      <c r="AD418" s="376"/>
      <c r="AE418" s="332">
        <v>403</v>
      </c>
      <c r="AF418" s="350">
        <v>6503076.6204918753</v>
      </c>
      <c r="AG418" s="350">
        <v>40169.327378490867</v>
      </c>
      <c r="AH418" s="350">
        <v>38460.721441184032</v>
      </c>
      <c r="AI418" s="350">
        <v>36706.139622886927</v>
      </c>
      <c r="AJ418" s="350">
        <v>34905.671545194593</v>
      </c>
      <c r="AK418" s="348">
        <v>6653318.4804796316</v>
      </c>
      <c r="AL418" s="369"/>
      <c r="AM418" s="350">
        <v>8550313.9866158664</v>
      </c>
      <c r="AN418" s="350">
        <v>2112698.1525396323</v>
      </c>
      <c r="AO418" s="350">
        <v>2134667.3439268898</v>
      </c>
      <c r="AP418" s="350">
        <v>2154919.0029443013</v>
      </c>
      <c r="AQ418" s="350">
        <v>2173395.4655063204</v>
      </c>
      <c r="AR418" s="348">
        <v>17125993.951533012</v>
      </c>
      <c r="AS418" s="369"/>
      <c r="AT418" s="350">
        <f t="shared" si="195"/>
        <v>2047237.3661239911</v>
      </c>
      <c r="AU418" s="350">
        <f t="shared" si="178"/>
        <v>2072528.8251611413</v>
      </c>
      <c r="AV418" s="350">
        <f t="shared" si="179"/>
        <v>2096206.6224857059</v>
      </c>
      <c r="AW418" s="350">
        <f t="shared" si="180"/>
        <v>2118212.8633214142</v>
      </c>
      <c r="AX418" s="350">
        <f t="shared" si="181"/>
        <v>2138489.7939611259</v>
      </c>
      <c r="AY418" s="350">
        <f t="shared" si="182"/>
        <v>10472675.471053381</v>
      </c>
      <c r="AZ418" s="365"/>
      <c r="BA418" s="377">
        <f t="shared" si="183"/>
        <v>0</v>
      </c>
      <c r="BB418" s="377">
        <f t="shared" si="184"/>
        <v>0</v>
      </c>
      <c r="BC418" s="377">
        <f t="shared" si="185"/>
        <v>0</v>
      </c>
      <c r="BD418" s="377">
        <f t="shared" si="186"/>
        <v>0</v>
      </c>
      <c r="BE418" s="377">
        <f t="shared" si="187"/>
        <v>0</v>
      </c>
      <c r="BF418" s="377">
        <f t="shared" si="188"/>
        <v>0</v>
      </c>
      <c r="BG418" s="328"/>
    </row>
    <row r="419" spans="2:59">
      <c r="B419" s="332">
        <v>404</v>
      </c>
      <c r="C419" s="350">
        <v>6635741.0419043275</v>
      </c>
      <c r="D419" s="350">
        <v>40988.791900622629</v>
      </c>
      <c r="E419" s="350">
        <v>39245.329966482466</v>
      </c>
      <c r="F419" s="350">
        <v>37454.954231652999</v>
      </c>
      <c r="G419" s="350">
        <v>35617.756146039021</v>
      </c>
      <c r="H419" s="348">
        <v>6789047.8741491251</v>
      </c>
      <c r="I419" s="369"/>
      <c r="J419" s="350">
        <v>8516877.2194384243</v>
      </c>
      <c r="K419" s="350">
        <v>1945364.4234250896</v>
      </c>
      <c r="L419" s="350">
        <v>1965377.6770963743</v>
      </c>
      <c r="M419" s="350">
        <v>1983808.0810584072</v>
      </c>
      <c r="N419" s="350">
        <v>2000602.6588610618</v>
      </c>
      <c r="O419" s="348">
        <v>16412030.059879357</v>
      </c>
      <c r="P419" s="369"/>
      <c r="Q419" s="350">
        <f t="shared" si="189"/>
        <v>1881136.1775340969</v>
      </c>
      <c r="R419" s="350">
        <f t="shared" si="190"/>
        <v>1904375.6315244669</v>
      </c>
      <c r="S419" s="350">
        <f t="shared" si="191"/>
        <v>1926132.3471298919</v>
      </c>
      <c r="T419" s="350">
        <f t="shared" si="192"/>
        <v>1946353.1268267543</v>
      </c>
      <c r="U419" s="350">
        <f t="shared" si="193"/>
        <v>1964984.9027150227</v>
      </c>
      <c r="V419" s="350">
        <f t="shared" si="194"/>
        <v>9622982.1857302319</v>
      </c>
      <c r="W419" s="365"/>
      <c r="X419" s="377">
        <f t="shared" si="172"/>
        <v>0</v>
      </c>
      <c r="Y419" s="377">
        <f t="shared" si="173"/>
        <v>0</v>
      </c>
      <c r="Z419" s="377">
        <f t="shared" si="174"/>
        <v>0</v>
      </c>
      <c r="AA419" s="377">
        <f t="shared" si="175"/>
        <v>0</v>
      </c>
      <c r="AB419" s="377">
        <f t="shared" si="176"/>
        <v>0</v>
      </c>
      <c r="AC419" s="377">
        <f t="shared" si="177"/>
        <v>0</v>
      </c>
      <c r="AD419" s="376"/>
      <c r="AE419" s="332">
        <v>404</v>
      </c>
      <c r="AF419" s="350">
        <v>5723628.6058276715</v>
      </c>
      <c r="AG419" s="350">
        <v>35354.698195605815</v>
      </c>
      <c r="AH419" s="350">
        <v>33850.882941754593</v>
      </c>
      <c r="AI419" s="350">
        <v>32306.60240001461</v>
      </c>
      <c r="AJ419" s="350">
        <v>30721.93545008307</v>
      </c>
      <c r="AK419" s="348">
        <v>5855862.7248151284</v>
      </c>
      <c r="AL419" s="369"/>
      <c r="AM419" s="350">
        <v>7909565.9443460125</v>
      </c>
      <c r="AN419" s="350">
        <v>2248296.9876638148</v>
      </c>
      <c r="AO419" s="350">
        <v>2272075.1363493139</v>
      </c>
      <c r="AP419" s="350">
        <v>2294028.0155991968</v>
      </c>
      <c r="AQ419" s="350">
        <v>2314094.0377824982</v>
      </c>
      <c r="AR419" s="348">
        <v>17038060.121740837</v>
      </c>
      <c r="AS419" s="369"/>
      <c r="AT419" s="350">
        <f t="shared" si="195"/>
        <v>2185937.3385183411</v>
      </c>
      <c r="AU419" s="350">
        <f t="shared" si="178"/>
        <v>2212942.2894682088</v>
      </c>
      <c r="AV419" s="350">
        <f t="shared" si="179"/>
        <v>2238224.2534075594</v>
      </c>
      <c r="AW419" s="350">
        <f t="shared" si="180"/>
        <v>2261721.4131991821</v>
      </c>
      <c r="AX419" s="350">
        <f t="shared" si="181"/>
        <v>2283372.1023324151</v>
      </c>
      <c r="AY419" s="350">
        <f t="shared" si="182"/>
        <v>11182197.396925708</v>
      </c>
      <c r="AZ419" s="365"/>
      <c r="BA419" s="377">
        <f t="shared" si="183"/>
        <v>0</v>
      </c>
      <c r="BB419" s="377">
        <f t="shared" si="184"/>
        <v>0</v>
      </c>
      <c r="BC419" s="377">
        <f t="shared" si="185"/>
        <v>0</v>
      </c>
      <c r="BD419" s="377">
        <f t="shared" si="186"/>
        <v>0</v>
      </c>
      <c r="BE419" s="377">
        <f t="shared" si="187"/>
        <v>0</v>
      </c>
      <c r="BF419" s="377">
        <f t="shared" si="188"/>
        <v>0</v>
      </c>
      <c r="BG419" s="328"/>
    </row>
    <row r="420" spans="2:59">
      <c r="B420" s="332">
        <v>405</v>
      </c>
      <c r="C420" s="350">
        <v>6734126.8508476596</v>
      </c>
      <c r="D420" s="350">
        <v>41596.518366029115</v>
      </c>
      <c r="E420" s="350">
        <v>39827.20673225935</v>
      </c>
      <c r="F420" s="350">
        <v>38010.285723305264</v>
      </c>
      <c r="G420" s="350">
        <v>36145.848144964439</v>
      </c>
      <c r="H420" s="348">
        <v>6889706.7098142179</v>
      </c>
      <c r="I420" s="369"/>
      <c r="J420" s="350">
        <v>8979291.2280508429</v>
      </c>
      <c r="K420" s="350">
        <v>2314497.5341326287</v>
      </c>
      <c r="L420" s="350">
        <v>2338695.1904545096</v>
      </c>
      <c r="M420" s="350">
        <v>2361012.0747472942</v>
      </c>
      <c r="N420" s="350">
        <v>2381384.9424783504</v>
      </c>
      <c r="O420" s="348">
        <v>18374880.969863627</v>
      </c>
      <c r="P420" s="369"/>
      <c r="Q420" s="350">
        <f t="shared" si="189"/>
        <v>2245164.3772031832</v>
      </c>
      <c r="R420" s="350">
        <f t="shared" si="190"/>
        <v>2272901.0157665997</v>
      </c>
      <c r="S420" s="350">
        <f t="shared" si="191"/>
        <v>2298867.9837222504</v>
      </c>
      <c r="T420" s="350">
        <f t="shared" si="192"/>
        <v>2323001.7890239889</v>
      </c>
      <c r="U420" s="350">
        <f t="shared" si="193"/>
        <v>2345239.094333386</v>
      </c>
      <c r="V420" s="350">
        <f t="shared" si="194"/>
        <v>11485174.26004941</v>
      </c>
      <c r="W420" s="365"/>
      <c r="X420" s="377">
        <f t="shared" si="172"/>
        <v>0</v>
      </c>
      <c r="Y420" s="377">
        <f t="shared" si="173"/>
        <v>0</v>
      </c>
      <c r="Z420" s="377">
        <f t="shared" si="174"/>
        <v>0</v>
      </c>
      <c r="AA420" s="377">
        <f t="shared" si="175"/>
        <v>0</v>
      </c>
      <c r="AB420" s="377">
        <f t="shared" si="176"/>
        <v>0</v>
      </c>
      <c r="AC420" s="377">
        <f t="shared" si="177"/>
        <v>0</v>
      </c>
      <c r="AD420" s="376"/>
      <c r="AE420" s="332">
        <v>405</v>
      </c>
      <c r="AF420" s="350">
        <v>6693143.6998836305</v>
      </c>
      <c r="AG420" s="350">
        <v>41343.366557408415</v>
      </c>
      <c r="AH420" s="350">
        <v>39584.822758488815</v>
      </c>
      <c r="AI420" s="350">
        <v>37778.959329774174</v>
      </c>
      <c r="AJ420" s="350">
        <v>35925.86851225797</v>
      </c>
      <c r="AK420" s="348">
        <v>6847776.7170415595</v>
      </c>
      <c r="AL420" s="369"/>
      <c r="AM420" s="350">
        <v>9284187.6428446732</v>
      </c>
      <c r="AN420" s="350">
        <v>2664396.9254189897</v>
      </c>
      <c r="AO420" s="350">
        <v>2692605.6997023048</v>
      </c>
      <c r="AP420" s="350">
        <v>2718651.583202498</v>
      </c>
      <c r="AQ420" s="350">
        <v>2742461.5733668152</v>
      </c>
      <c r="AR420" s="348">
        <v>20102303.424535282</v>
      </c>
      <c r="AS420" s="369"/>
      <c r="AT420" s="350">
        <f t="shared" si="195"/>
        <v>2591043.9429610427</v>
      </c>
      <c r="AU420" s="350">
        <f t="shared" si="178"/>
        <v>2623053.5588615811</v>
      </c>
      <c r="AV420" s="350">
        <f t="shared" si="179"/>
        <v>2653020.876943816</v>
      </c>
      <c r="AW420" s="350">
        <f t="shared" si="180"/>
        <v>2680872.6238727239</v>
      </c>
      <c r="AX420" s="350">
        <f t="shared" si="181"/>
        <v>2706535.7048545573</v>
      </c>
      <c r="AY420" s="350">
        <f t="shared" si="182"/>
        <v>13254526.707493722</v>
      </c>
      <c r="AZ420" s="365"/>
      <c r="BA420" s="377">
        <f t="shared" si="183"/>
        <v>0</v>
      </c>
      <c r="BB420" s="377">
        <f t="shared" si="184"/>
        <v>0</v>
      </c>
      <c r="BC420" s="377">
        <f t="shared" si="185"/>
        <v>0</v>
      </c>
      <c r="BD420" s="377">
        <f t="shared" si="186"/>
        <v>0</v>
      </c>
      <c r="BE420" s="377">
        <f t="shared" si="187"/>
        <v>0</v>
      </c>
      <c r="BF420" s="377">
        <f t="shared" si="188"/>
        <v>0</v>
      </c>
      <c r="BG420" s="328"/>
    </row>
    <row r="421" spans="2:59">
      <c r="B421" s="332">
        <v>406</v>
      </c>
      <c r="C421" s="350">
        <v>7613338.692145437</v>
      </c>
      <c r="D421" s="350">
        <v>47027.385992107069</v>
      </c>
      <c r="E421" s="350">
        <v>45027.071917516012</v>
      </c>
      <c r="F421" s="350">
        <v>42972.932557740358</v>
      </c>
      <c r="G421" s="350">
        <v>40865.072835363033</v>
      </c>
      <c r="H421" s="348">
        <v>7789231.1554481639</v>
      </c>
      <c r="I421" s="369"/>
      <c r="J421" s="350">
        <v>9784254.9528213702</v>
      </c>
      <c r="K421" s="350">
        <v>2244763.0280394913</v>
      </c>
      <c r="L421" s="350">
        <v>2267870.9481537924</v>
      </c>
      <c r="M421" s="350">
        <v>2289152.5034511718</v>
      </c>
      <c r="N421" s="350">
        <v>2308546.5560965263</v>
      </c>
      <c r="O421" s="348">
        <v>18894587.988562353</v>
      </c>
      <c r="P421" s="369"/>
      <c r="Q421" s="350">
        <f t="shared" si="189"/>
        <v>2170916.2606759332</v>
      </c>
      <c r="R421" s="350">
        <f t="shared" si="190"/>
        <v>2197735.6420473843</v>
      </c>
      <c r="S421" s="350">
        <f t="shared" si="191"/>
        <v>2222843.8762362762</v>
      </c>
      <c r="T421" s="350">
        <f t="shared" si="192"/>
        <v>2246179.5708934315</v>
      </c>
      <c r="U421" s="350">
        <f t="shared" si="193"/>
        <v>2267681.4832611633</v>
      </c>
      <c r="V421" s="350">
        <f t="shared" si="194"/>
        <v>11105356.833114188</v>
      </c>
      <c r="W421" s="365"/>
      <c r="X421" s="377">
        <f t="shared" si="172"/>
        <v>0</v>
      </c>
      <c r="Y421" s="377">
        <f t="shared" si="173"/>
        <v>0</v>
      </c>
      <c r="Z421" s="377">
        <f t="shared" si="174"/>
        <v>0</v>
      </c>
      <c r="AA421" s="377">
        <f t="shared" si="175"/>
        <v>0</v>
      </c>
      <c r="AB421" s="377">
        <f t="shared" si="176"/>
        <v>0</v>
      </c>
      <c r="AC421" s="377">
        <f t="shared" si="177"/>
        <v>0</v>
      </c>
      <c r="AD421" s="376"/>
      <c r="AE421" s="332">
        <v>406</v>
      </c>
      <c r="AF421" s="350">
        <v>3365095.3901176783</v>
      </c>
      <c r="AG421" s="350">
        <v>20786.102682466015</v>
      </c>
      <c r="AH421" s="350">
        <v>19901.963943420673</v>
      </c>
      <c r="AI421" s="350">
        <v>18994.034430529049</v>
      </c>
      <c r="AJ421" s="350">
        <v>18062.360519567861</v>
      </c>
      <c r="AK421" s="348">
        <v>3442839.8516936619</v>
      </c>
      <c r="AL421" s="369"/>
      <c r="AM421" s="350">
        <v>4642634.4869169518</v>
      </c>
      <c r="AN421" s="350">
        <v>1314107.8479765893</v>
      </c>
      <c r="AO421" s="350">
        <v>1327999.3831817396</v>
      </c>
      <c r="AP421" s="350">
        <v>1340824.0249409452</v>
      </c>
      <c r="AQ421" s="350">
        <v>1352545.7795400172</v>
      </c>
      <c r="AR421" s="348">
        <v>9978111.5225562435</v>
      </c>
      <c r="AS421" s="369"/>
      <c r="AT421" s="350">
        <f t="shared" si="195"/>
        <v>1277539.0967992735</v>
      </c>
      <c r="AU421" s="350">
        <f t="shared" si="178"/>
        <v>1293321.7452941234</v>
      </c>
      <c r="AV421" s="350">
        <f t="shared" si="179"/>
        <v>1308097.4192383189</v>
      </c>
      <c r="AW421" s="350">
        <f t="shared" si="180"/>
        <v>1321829.9905104162</v>
      </c>
      <c r="AX421" s="350">
        <f t="shared" si="181"/>
        <v>1334483.4190204493</v>
      </c>
      <c r="AY421" s="350">
        <f t="shared" si="182"/>
        <v>6535271.6708625816</v>
      </c>
      <c r="AZ421" s="365"/>
      <c r="BA421" s="377">
        <f t="shared" si="183"/>
        <v>0</v>
      </c>
      <c r="BB421" s="377">
        <f t="shared" si="184"/>
        <v>0</v>
      </c>
      <c r="BC421" s="377">
        <f t="shared" si="185"/>
        <v>0</v>
      </c>
      <c r="BD421" s="377">
        <f t="shared" si="186"/>
        <v>0</v>
      </c>
      <c r="BE421" s="377">
        <f t="shared" si="187"/>
        <v>0</v>
      </c>
      <c r="BF421" s="377">
        <f t="shared" si="188"/>
        <v>0</v>
      </c>
      <c r="BG421" s="328"/>
    </row>
    <row r="422" spans="2:59">
      <c r="B422" s="332">
        <v>407</v>
      </c>
      <c r="C422" s="350">
        <v>6238726.6245032763</v>
      </c>
      <c r="D422" s="350">
        <v>38536.444644509203</v>
      </c>
      <c r="E422" s="350">
        <v>36897.293520520543</v>
      </c>
      <c r="F422" s="350">
        <v>35214.035434616912</v>
      </c>
      <c r="G422" s="350">
        <v>33486.756365282716</v>
      </c>
      <c r="H422" s="348">
        <v>6382861.1544682048</v>
      </c>
      <c r="I422" s="369"/>
      <c r="J422" s="350">
        <v>8518989.1117889527</v>
      </c>
      <c r="K422" s="350">
        <v>2346969.1706359824</v>
      </c>
      <c r="L422" s="350">
        <v>2371702.9227786921</v>
      </c>
      <c r="M422" s="350">
        <v>2394530.7479184903</v>
      </c>
      <c r="N422" s="350">
        <v>2415388.4045581874</v>
      </c>
      <c r="O422" s="348">
        <v>18047580.357680306</v>
      </c>
      <c r="P422" s="369"/>
      <c r="Q422" s="350">
        <f t="shared" si="189"/>
        <v>2280262.4872856764</v>
      </c>
      <c r="R422" s="350">
        <f t="shared" si="190"/>
        <v>2308432.7259914731</v>
      </c>
      <c r="S422" s="350">
        <f t="shared" si="191"/>
        <v>2334805.6292581717</v>
      </c>
      <c r="T422" s="350">
        <f t="shared" si="192"/>
        <v>2359316.7124838736</v>
      </c>
      <c r="U422" s="350">
        <f t="shared" si="193"/>
        <v>2381901.6481929044</v>
      </c>
      <c r="V422" s="350">
        <f t="shared" si="194"/>
        <v>11664719.203212101</v>
      </c>
      <c r="W422" s="365"/>
      <c r="X422" s="377">
        <f t="shared" si="172"/>
        <v>0</v>
      </c>
      <c r="Y422" s="377">
        <f t="shared" si="173"/>
        <v>0</v>
      </c>
      <c r="Z422" s="377">
        <f t="shared" si="174"/>
        <v>0</v>
      </c>
      <c r="AA422" s="377">
        <f t="shared" si="175"/>
        <v>0</v>
      </c>
      <c r="AB422" s="377">
        <f t="shared" si="176"/>
        <v>0</v>
      </c>
      <c r="AC422" s="377">
        <f t="shared" si="177"/>
        <v>0</v>
      </c>
      <c r="AD422" s="376"/>
      <c r="AE422" s="332">
        <v>407</v>
      </c>
      <c r="AF422" s="350">
        <v>5086110.0967700202</v>
      </c>
      <c r="AG422" s="350">
        <v>31416.763707875703</v>
      </c>
      <c r="AH422" s="350">
        <v>30080.448850112854</v>
      </c>
      <c r="AI422" s="350">
        <v>28708.175874959259</v>
      </c>
      <c r="AJ422" s="350">
        <v>27300.014876207624</v>
      </c>
      <c r="AK422" s="348">
        <v>5203615.5000791755</v>
      </c>
      <c r="AL422" s="369"/>
      <c r="AM422" s="350">
        <v>6827570.8499349877</v>
      </c>
      <c r="AN422" s="350">
        <v>1794391.4282698731</v>
      </c>
      <c r="AO422" s="350">
        <v>1813196.3805872949</v>
      </c>
      <c r="AP422" s="350">
        <v>1830543.4829880586</v>
      </c>
      <c r="AQ422" s="350">
        <v>1846383.6779874971</v>
      </c>
      <c r="AR422" s="348">
        <v>14112085.81976771</v>
      </c>
      <c r="AS422" s="369"/>
      <c r="AT422" s="350">
        <f t="shared" si="195"/>
        <v>1741460.7531649675</v>
      </c>
      <c r="AU422" s="350">
        <f t="shared" si="178"/>
        <v>1762974.6645619974</v>
      </c>
      <c r="AV422" s="350">
        <f t="shared" si="179"/>
        <v>1783115.931737182</v>
      </c>
      <c r="AW422" s="350">
        <f t="shared" si="180"/>
        <v>1801835.3071130994</v>
      </c>
      <c r="AX422" s="350">
        <f t="shared" si="181"/>
        <v>1819083.6631112895</v>
      </c>
      <c r="AY422" s="350">
        <f t="shared" si="182"/>
        <v>8908470.3196885344</v>
      </c>
      <c r="AZ422" s="365"/>
      <c r="BA422" s="377">
        <f t="shared" si="183"/>
        <v>0</v>
      </c>
      <c r="BB422" s="377">
        <f t="shared" si="184"/>
        <v>0</v>
      </c>
      <c r="BC422" s="377">
        <f t="shared" si="185"/>
        <v>0</v>
      </c>
      <c r="BD422" s="377">
        <f t="shared" si="186"/>
        <v>0</v>
      </c>
      <c r="BE422" s="377">
        <f t="shared" si="187"/>
        <v>0</v>
      </c>
      <c r="BF422" s="377">
        <f t="shared" si="188"/>
        <v>0</v>
      </c>
      <c r="BG422" s="328"/>
    </row>
    <row r="423" spans="2:59">
      <c r="B423" s="332">
        <v>408</v>
      </c>
      <c r="C423" s="350">
        <v>5219059.4791849423</v>
      </c>
      <c r="D423" s="350">
        <v>32237.988426367185</v>
      </c>
      <c r="E423" s="350">
        <v>30866.742701660711</v>
      </c>
      <c r="F423" s="350">
        <v>29458.598925230195</v>
      </c>
      <c r="G423" s="350">
        <v>28013.629023102327</v>
      </c>
      <c r="H423" s="348">
        <v>5339636.4382613022</v>
      </c>
      <c r="I423" s="369"/>
      <c r="J423" s="350">
        <v>7380307.7858992461</v>
      </c>
      <c r="K423" s="350">
        <v>2220186.2391348872</v>
      </c>
      <c r="L423" s="350">
        <v>2243811.410641137</v>
      </c>
      <c r="M423" s="350">
        <v>2265635.038387794</v>
      </c>
      <c r="N423" s="350">
        <v>2285596.2242815685</v>
      </c>
      <c r="O423" s="348">
        <v>16395536.698344633</v>
      </c>
      <c r="P423" s="369"/>
      <c r="Q423" s="350">
        <f t="shared" si="189"/>
        <v>2161248.3067143038</v>
      </c>
      <c r="R423" s="350">
        <f t="shared" si="190"/>
        <v>2187948.2507085199</v>
      </c>
      <c r="S423" s="350">
        <f t="shared" si="191"/>
        <v>2212944.6679394762</v>
      </c>
      <c r="T423" s="350">
        <f t="shared" si="192"/>
        <v>2236176.439462564</v>
      </c>
      <c r="U423" s="350">
        <f t="shared" si="193"/>
        <v>2257582.5952584664</v>
      </c>
      <c r="V423" s="350">
        <f t="shared" si="194"/>
        <v>11055900.260083331</v>
      </c>
      <c r="W423" s="365"/>
      <c r="X423" s="377">
        <f t="shared" si="172"/>
        <v>0</v>
      </c>
      <c r="Y423" s="377">
        <f t="shared" si="173"/>
        <v>0</v>
      </c>
      <c r="Z423" s="377">
        <f t="shared" si="174"/>
        <v>0</v>
      </c>
      <c r="AA423" s="377">
        <f t="shared" si="175"/>
        <v>0</v>
      </c>
      <c r="AB423" s="377">
        <f t="shared" si="176"/>
        <v>0</v>
      </c>
      <c r="AC423" s="377">
        <f t="shared" si="177"/>
        <v>0</v>
      </c>
      <c r="AD423" s="376"/>
      <c r="AE423" s="332">
        <v>408</v>
      </c>
      <c r="AF423" s="350">
        <v>4998343.0504999775</v>
      </c>
      <c r="AG423" s="350">
        <v>30874.629050634452</v>
      </c>
      <c r="AH423" s="350">
        <v>29561.373939066798</v>
      </c>
      <c r="AI423" s="350">
        <v>28212.781211373764</v>
      </c>
      <c r="AJ423" s="350">
        <v>26828.919751795056</v>
      </c>
      <c r="AK423" s="348">
        <v>5113820.7544528479</v>
      </c>
      <c r="AL423" s="369"/>
      <c r="AM423" s="350">
        <v>7107362.5240852982</v>
      </c>
      <c r="AN423" s="350">
        <v>2165948.8144673076</v>
      </c>
      <c r="AO423" s="350">
        <v>2189027.9119355772</v>
      </c>
      <c r="AP423" s="350">
        <v>2210349.6705950242</v>
      </c>
      <c r="AQ423" s="350">
        <v>2229854.6627150639</v>
      </c>
      <c r="AR423" s="348">
        <v>15902543.583798271</v>
      </c>
      <c r="AS423" s="369"/>
      <c r="AT423" s="350">
        <f t="shared" si="195"/>
        <v>2109019.4735853206</v>
      </c>
      <c r="AU423" s="350">
        <f t="shared" si="178"/>
        <v>2135074.1854166733</v>
      </c>
      <c r="AV423" s="350">
        <f t="shared" si="179"/>
        <v>2159466.5379965105</v>
      </c>
      <c r="AW423" s="350">
        <f t="shared" si="180"/>
        <v>2182136.8893836504</v>
      </c>
      <c r="AX423" s="350">
        <f t="shared" si="181"/>
        <v>2203025.7429632689</v>
      </c>
      <c r="AY423" s="350">
        <f t="shared" si="182"/>
        <v>10788722.829345424</v>
      </c>
      <c r="AZ423" s="365"/>
      <c r="BA423" s="377">
        <f t="shared" si="183"/>
        <v>0</v>
      </c>
      <c r="BB423" s="377">
        <f t="shared" si="184"/>
        <v>0</v>
      </c>
      <c r="BC423" s="377">
        <f t="shared" si="185"/>
        <v>0</v>
      </c>
      <c r="BD423" s="377">
        <f t="shared" si="186"/>
        <v>0</v>
      </c>
      <c r="BE423" s="377">
        <f t="shared" si="187"/>
        <v>0</v>
      </c>
      <c r="BF423" s="377">
        <f t="shared" si="188"/>
        <v>0</v>
      </c>
      <c r="BG423" s="328"/>
    </row>
    <row r="424" spans="2:59">
      <c r="B424" s="332">
        <v>409</v>
      </c>
      <c r="C424" s="350">
        <v>4579879.2361240266</v>
      </c>
      <c r="D424" s="350">
        <v>28289.789452903653</v>
      </c>
      <c r="E424" s="350">
        <v>27086.480725104906</v>
      </c>
      <c r="F424" s="350">
        <v>25850.792864317747</v>
      </c>
      <c r="G424" s="350">
        <v>24582.788987762244</v>
      </c>
      <c r="H424" s="348">
        <v>4685689.0881541157</v>
      </c>
      <c r="I424" s="369"/>
      <c r="J424" s="350">
        <v>6466808.9624573719</v>
      </c>
      <c r="K424" s="350">
        <v>1938530.5429632771</v>
      </c>
      <c r="L424" s="350">
        <v>1959150.9564697044</v>
      </c>
      <c r="M424" s="350">
        <v>1978198.3245382644</v>
      </c>
      <c r="N424" s="350">
        <v>1995619.478946913</v>
      </c>
      <c r="O424" s="348">
        <v>14338308.265375532</v>
      </c>
      <c r="P424" s="369"/>
      <c r="Q424" s="350">
        <f t="shared" si="189"/>
        <v>1886929.7263333453</v>
      </c>
      <c r="R424" s="350">
        <f t="shared" si="190"/>
        <v>1910240.7535103734</v>
      </c>
      <c r="S424" s="350">
        <f t="shared" si="191"/>
        <v>1932064.4757445995</v>
      </c>
      <c r="T424" s="350">
        <f t="shared" si="192"/>
        <v>1952347.5316739467</v>
      </c>
      <c r="U424" s="350">
        <f t="shared" si="193"/>
        <v>1971036.6899591507</v>
      </c>
      <c r="V424" s="350">
        <f t="shared" si="194"/>
        <v>9652619.1772214174</v>
      </c>
      <c r="W424" s="365"/>
      <c r="X424" s="377">
        <f t="shared" si="172"/>
        <v>0</v>
      </c>
      <c r="Y424" s="377">
        <f t="shared" si="173"/>
        <v>0</v>
      </c>
      <c r="Z424" s="377">
        <f t="shared" si="174"/>
        <v>0</v>
      </c>
      <c r="AA424" s="377">
        <f t="shared" si="175"/>
        <v>0</v>
      </c>
      <c r="AB424" s="377">
        <f t="shared" si="176"/>
        <v>0</v>
      </c>
      <c r="AC424" s="377">
        <f t="shared" si="177"/>
        <v>0</v>
      </c>
      <c r="AD424" s="376"/>
      <c r="AE424" s="332">
        <v>409</v>
      </c>
      <c r="AF424" s="350">
        <v>9050020.9238163568</v>
      </c>
      <c r="AG424" s="350">
        <v>55901.733054387507</v>
      </c>
      <c r="AH424" s="350">
        <v>53523.947832782847</v>
      </c>
      <c r="AI424" s="350">
        <v>51082.180174976274</v>
      </c>
      <c r="AJ424" s="350">
        <v>48576.554803067986</v>
      </c>
      <c r="AK424" s="348">
        <v>9259105.3396815732</v>
      </c>
      <c r="AL424" s="369"/>
      <c r="AM424" s="350">
        <v>10410982.797575068</v>
      </c>
      <c r="AN424" s="350">
        <v>1433676.8557557252</v>
      </c>
      <c r="AO424" s="350">
        <v>1447039.5899025858</v>
      </c>
      <c r="AP424" s="350">
        <v>1459227.1247661824</v>
      </c>
      <c r="AQ424" s="350">
        <v>1470201.1915756199</v>
      </c>
      <c r="AR424" s="348">
        <v>16221127.559575181</v>
      </c>
      <c r="AS424" s="369"/>
      <c r="AT424" s="350">
        <f t="shared" si="195"/>
        <v>1360961.8737587109</v>
      </c>
      <c r="AU424" s="350">
        <f t="shared" si="178"/>
        <v>1377775.1227013376</v>
      </c>
      <c r="AV424" s="350">
        <f t="shared" si="179"/>
        <v>1393515.6420698031</v>
      </c>
      <c r="AW424" s="350">
        <f t="shared" si="180"/>
        <v>1408144.944591206</v>
      </c>
      <c r="AX424" s="350">
        <f t="shared" si="181"/>
        <v>1421624.6367725518</v>
      </c>
      <c r="AY424" s="350">
        <f t="shared" si="182"/>
        <v>6962022.2198936082</v>
      </c>
      <c r="AZ424" s="365"/>
      <c r="BA424" s="377">
        <f t="shared" si="183"/>
        <v>0</v>
      </c>
      <c r="BB424" s="377">
        <f t="shared" si="184"/>
        <v>0</v>
      </c>
      <c r="BC424" s="377">
        <f t="shared" si="185"/>
        <v>0</v>
      </c>
      <c r="BD424" s="377">
        <f t="shared" si="186"/>
        <v>0</v>
      </c>
      <c r="BE424" s="377">
        <f t="shared" si="187"/>
        <v>0</v>
      </c>
      <c r="BF424" s="377">
        <f t="shared" si="188"/>
        <v>0</v>
      </c>
      <c r="BG424" s="328"/>
    </row>
    <row r="425" spans="2:59">
      <c r="B425" s="332">
        <v>410</v>
      </c>
      <c r="C425" s="350">
        <v>5904958.0943692457</v>
      </c>
      <c r="D425" s="350">
        <v>36474.765513533959</v>
      </c>
      <c r="E425" s="350">
        <v>34923.308096010987</v>
      </c>
      <c r="F425" s="350">
        <v>33330.103415391968</v>
      </c>
      <c r="G425" s="350">
        <v>31695.232850354852</v>
      </c>
      <c r="H425" s="348">
        <v>6041381.504244538</v>
      </c>
      <c r="I425" s="369"/>
      <c r="J425" s="350">
        <v>7561981.7657853439</v>
      </c>
      <c r="K425" s="350">
        <v>1713969.2172126977</v>
      </c>
      <c r="L425" s="350">
        <v>1731582.45036942</v>
      </c>
      <c r="M425" s="350">
        <v>1747800.9868122486</v>
      </c>
      <c r="N425" s="350">
        <v>1762578.1623585403</v>
      </c>
      <c r="O425" s="348">
        <v>14517912.582538251</v>
      </c>
      <c r="P425" s="369"/>
      <c r="Q425" s="350">
        <f t="shared" si="189"/>
        <v>1657023.6714160983</v>
      </c>
      <c r="R425" s="350">
        <f t="shared" si="190"/>
        <v>1677494.4516991638</v>
      </c>
      <c r="S425" s="350">
        <f t="shared" si="191"/>
        <v>1696659.1422734091</v>
      </c>
      <c r="T425" s="350">
        <f t="shared" si="192"/>
        <v>1714470.8833968567</v>
      </c>
      <c r="U425" s="350">
        <f t="shared" si="193"/>
        <v>1730882.9295081855</v>
      </c>
      <c r="V425" s="350">
        <f t="shared" si="194"/>
        <v>8476531.0782937128</v>
      </c>
      <c r="W425" s="365"/>
      <c r="X425" s="377">
        <f t="shared" si="172"/>
        <v>0</v>
      </c>
      <c r="Y425" s="377">
        <f t="shared" si="173"/>
        <v>0</v>
      </c>
      <c r="Z425" s="377">
        <f t="shared" si="174"/>
        <v>0</v>
      </c>
      <c r="AA425" s="377">
        <f t="shared" si="175"/>
        <v>0</v>
      </c>
      <c r="AB425" s="377">
        <f t="shared" si="176"/>
        <v>0</v>
      </c>
      <c r="AC425" s="377">
        <f t="shared" si="177"/>
        <v>0</v>
      </c>
      <c r="AD425" s="376"/>
      <c r="AE425" s="332">
        <v>410</v>
      </c>
      <c r="AF425" s="350">
        <v>4808897.2819439555</v>
      </c>
      <c r="AG425" s="350">
        <v>29704.427691846908</v>
      </c>
      <c r="AH425" s="350">
        <v>28440.947199870323</v>
      </c>
      <c r="AI425" s="350">
        <v>27143.468447984422</v>
      </c>
      <c r="AJ425" s="350">
        <v>25812.057709604731</v>
      </c>
      <c r="AK425" s="348">
        <v>4919998.1829932611</v>
      </c>
      <c r="AL425" s="369"/>
      <c r="AM425" s="350">
        <v>6451409.0687776692</v>
      </c>
      <c r="AN425" s="350">
        <v>1692507.7157760449</v>
      </c>
      <c r="AO425" s="350">
        <v>1710241.0853002877</v>
      </c>
      <c r="AP425" s="350">
        <v>1726599.3559767061</v>
      </c>
      <c r="AQ425" s="350">
        <v>1741536.257905751</v>
      </c>
      <c r="AR425" s="348">
        <v>13322293.483736459</v>
      </c>
      <c r="AS425" s="369"/>
      <c r="AT425" s="350">
        <f t="shared" si="195"/>
        <v>1642511.7868337138</v>
      </c>
      <c r="AU425" s="350">
        <f t="shared" si="178"/>
        <v>1662803.288084198</v>
      </c>
      <c r="AV425" s="350">
        <f t="shared" si="179"/>
        <v>1681800.1381004173</v>
      </c>
      <c r="AW425" s="350">
        <f t="shared" si="180"/>
        <v>1699455.8875287217</v>
      </c>
      <c r="AX425" s="350">
        <f t="shared" si="181"/>
        <v>1715724.2001961463</v>
      </c>
      <c r="AY425" s="350">
        <f t="shared" si="182"/>
        <v>8402295.300743198</v>
      </c>
      <c r="AZ425" s="365"/>
      <c r="BA425" s="377">
        <f t="shared" si="183"/>
        <v>0</v>
      </c>
      <c r="BB425" s="377">
        <f t="shared" si="184"/>
        <v>0</v>
      </c>
      <c r="BC425" s="377">
        <f t="shared" si="185"/>
        <v>0</v>
      </c>
      <c r="BD425" s="377">
        <f t="shared" si="186"/>
        <v>0</v>
      </c>
      <c r="BE425" s="377">
        <f t="shared" si="187"/>
        <v>0</v>
      </c>
      <c r="BF425" s="377">
        <f t="shared" si="188"/>
        <v>0</v>
      </c>
      <c r="BG425" s="328"/>
    </row>
    <row r="426" spans="2:59">
      <c r="B426" s="332">
        <v>411</v>
      </c>
      <c r="C426" s="350">
        <v>5865591.5616327636</v>
      </c>
      <c r="D426" s="350">
        <v>36231.599511727698</v>
      </c>
      <c r="E426" s="350">
        <v>34690.485181866796</v>
      </c>
      <c r="F426" s="350">
        <v>33107.901905026753</v>
      </c>
      <c r="G426" s="350">
        <v>31483.930517356675</v>
      </c>
      <c r="H426" s="348">
        <v>6001105.4787487425</v>
      </c>
      <c r="I426" s="369"/>
      <c r="J426" s="350">
        <v>7271066.9386986382</v>
      </c>
      <c r="K426" s="350">
        <v>1459070.1429182428</v>
      </c>
      <c r="L426" s="350">
        <v>1473784.3791762018</v>
      </c>
      <c r="M426" s="350">
        <v>1487309.5846434317</v>
      </c>
      <c r="N426" s="350">
        <v>1499606.1909123447</v>
      </c>
      <c r="O426" s="348">
        <v>13190837.236348858</v>
      </c>
      <c r="P426" s="369"/>
      <c r="Q426" s="350">
        <f t="shared" si="189"/>
        <v>1405475.3770658746</v>
      </c>
      <c r="R426" s="350">
        <f t="shared" si="190"/>
        <v>1422838.5434065151</v>
      </c>
      <c r="S426" s="350">
        <f t="shared" si="191"/>
        <v>1439093.8939943351</v>
      </c>
      <c r="T426" s="350">
        <f t="shared" si="192"/>
        <v>1454201.682738405</v>
      </c>
      <c r="U426" s="350">
        <f t="shared" si="193"/>
        <v>1468122.2603949881</v>
      </c>
      <c r="V426" s="350">
        <f t="shared" si="194"/>
        <v>7189731.7576001156</v>
      </c>
      <c r="W426" s="365"/>
      <c r="X426" s="377">
        <f t="shared" si="172"/>
        <v>0</v>
      </c>
      <c r="Y426" s="377">
        <f t="shared" si="173"/>
        <v>0</v>
      </c>
      <c r="Z426" s="377">
        <f t="shared" si="174"/>
        <v>0</v>
      </c>
      <c r="AA426" s="377">
        <f t="shared" si="175"/>
        <v>0</v>
      </c>
      <c r="AB426" s="377">
        <f t="shared" si="176"/>
        <v>0</v>
      </c>
      <c r="AC426" s="377">
        <f t="shared" si="177"/>
        <v>0</v>
      </c>
      <c r="AD426" s="376"/>
      <c r="AE426" s="332">
        <v>411</v>
      </c>
      <c r="AF426" s="350">
        <v>8192351.9427369395</v>
      </c>
      <c r="AG426" s="350">
        <v>50603.935089838211</v>
      </c>
      <c r="AH426" s="350">
        <v>48451.492179084882</v>
      </c>
      <c r="AI426" s="350">
        <v>46241.130436993233</v>
      </c>
      <c r="AJ426" s="350">
        <v>43972.962765765427</v>
      </c>
      <c r="AK426" s="348">
        <v>8381621.4632086204</v>
      </c>
      <c r="AL426" s="369"/>
      <c r="AM426" s="350">
        <v>10798866.593600921</v>
      </c>
      <c r="AN426" s="350">
        <v>2689319.3261380782</v>
      </c>
      <c r="AO426" s="350">
        <v>2717313.1313604917</v>
      </c>
      <c r="AP426" s="350">
        <v>2743120.8148621265</v>
      </c>
      <c r="AQ426" s="350">
        <v>2766668.9583141301</v>
      </c>
      <c r="AR426" s="348">
        <v>21715288.824275747</v>
      </c>
      <c r="AS426" s="369"/>
      <c r="AT426" s="350">
        <f t="shared" si="195"/>
        <v>2606514.6508639818</v>
      </c>
      <c r="AU426" s="350">
        <f t="shared" si="178"/>
        <v>2638715.39104824</v>
      </c>
      <c r="AV426" s="350">
        <f t="shared" si="179"/>
        <v>2668861.6391814067</v>
      </c>
      <c r="AW426" s="350">
        <f t="shared" si="180"/>
        <v>2696879.6844251333</v>
      </c>
      <c r="AX426" s="350">
        <f t="shared" si="181"/>
        <v>2722695.9955483647</v>
      </c>
      <c r="AY426" s="350">
        <f t="shared" si="182"/>
        <v>13333667.361067127</v>
      </c>
      <c r="AZ426" s="365"/>
      <c r="BA426" s="377">
        <f t="shared" si="183"/>
        <v>0</v>
      </c>
      <c r="BB426" s="377">
        <f t="shared" si="184"/>
        <v>0</v>
      </c>
      <c r="BC426" s="377">
        <f t="shared" si="185"/>
        <v>0</v>
      </c>
      <c r="BD426" s="377">
        <f t="shared" si="186"/>
        <v>0</v>
      </c>
      <c r="BE426" s="377">
        <f t="shared" si="187"/>
        <v>0</v>
      </c>
      <c r="BF426" s="377">
        <f t="shared" si="188"/>
        <v>0</v>
      </c>
      <c r="BG426" s="328"/>
    </row>
    <row r="427" spans="2:59">
      <c r="B427" s="332">
        <v>412</v>
      </c>
      <c r="C427" s="350">
        <v>6351986.0905280141</v>
      </c>
      <c r="D427" s="350">
        <v>39236.045285090258</v>
      </c>
      <c r="E427" s="350">
        <v>37567.136585206441</v>
      </c>
      <c r="F427" s="350">
        <v>35853.32019414453</v>
      </c>
      <c r="G427" s="350">
        <v>34094.683651266118</v>
      </c>
      <c r="H427" s="348">
        <v>6498737.2762437211</v>
      </c>
      <c r="I427" s="369"/>
      <c r="J427" s="350">
        <v>8448147.4337729588</v>
      </c>
      <c r="K427" s="350">
        <v>2161293.2517187325</v>
      </c>
      <c r="L427" s="350">
        <v>2183867.9819178935</v>
      </c>
      <c r="M427" s="350">
        <v>2204686.3018160798</v>
      </c>
      <c r="N427" s="350">
        <v>2223689.1650728527</v>
      </c>
      <c r="O427" s="348">
        <v>17221684.134298518</v>
      </c>
      <c r="P427" s="369"/>
      <c r="Q427" s="350">
        <f t="shared" si="189"/>
        <v>2096161.3432449447</v>
      </c>
      <c r="R427" s="350">
        <f t="shared" si="190"/>
        <v>2122057.2064336422</v>
      </c>
      <c r="S427" s="350">
        <f t="shared" si="191"/>
        <v>2146300.8453326873</v>
      </c>
      <c r="T427" s="350">
        <f t="shared" si="192"/>
        <v>2168832.981621935</v>
      </c>
      <c r="U427" s="350">
        <f t="shared" si="193"/>
        <v>2189594.4814215866</v>
      </c>
      <c r="V427" s="350">
        <f t="shared" si="194"/>
        <v>10722946.858054798</v>
      </c>
      <c r="W427" s="365"/>
      <c r="X427" s="377">
        <f t="shared" si="172"/>
        <v>0</v>
      </c>
      <c r="Y427" s="377">
        <f t="shared" si="173"/>
        <v>0</v>
      </c>
      <c r="Z427" s="377">
        <f t="shared" si="174"/>
        <v>0</v>
      </c>
      <c r="AA427" s="377">
        <f t="shared" si="175"/>
        <v>0</v>
      </c>
      <c r="AB427" s="377">
        <f t="shared" si="176"/>
        <v>0</v>
      </c>
      <c r="AC427" s="377">
        <f t="shared" si="177"/>
        <v>0</v>
      </c>
      <c r="AD427" s="376"/>
      <c r="AE427" s="332">
        <v>412</v>
      </c>
      <c r="AF427" s="350">
        <v>5651260.5002959119</v>
      </c>
      <c r="AG427" s="350">
        <v>34907.68237640099</v>
      </c>
      <c r="AH427" s="350">
        <v>33422.880980450158</v>
      </c>
      <c r="AI427" s="350">
        <v>31898.125929426562</v>
      </c>
      <c r="AJ427" s="350">
        <v>30333.49510569694</v>
      </c>
      <c r="AK427" s="348">
        <v>5781822.6846878855</v>
      </c>
      <c r="AL427" s="369"/>
      <c r="AM427" s="350">
        <v>7466018.1316846563</v>
      </c>
      <c r="AN427" s="350">
        <v>1872084.7308078925</v>
      </c>
      <c r="AO427" s="350">
        <v>1891588.9285872451</v>
      </c>
      <c r="AP427" s="350">
        <v>1909571.4344702028</v>
      </c>
      <c r="AQ427" s="350">
        <v>1925981.1310148861</v>
      </c>
      <c r="AR427" s="348">
        <v>15065244.356564881</v>
      </c>
      <c r="AS427" s="369"/>
      <c r="AT427" s="350">
        <f t="shared" si="195"/>
        <v>1814757.6313887443</v>
      </c>
      <c r="AU427" s="350">
        <f t="shared" si="178"/>
        <v>1837177.0484314915</v>
      </c>
      <c r="AV427" s="350">
        <f t="shared" si="179"/>
        <v>1858166.0476067949</v>
      </c>
      <c r="AW427" s="350">
        <f t="shared" si="180"/>
        <v>1877673.3085407761</v>
      </c>
      <c r="AX427" s="350">
        <f t="shared" si="181"/>
        <v>1895647.6359091892</v>
      </c>
      <c r="AY427" s="350">
        <f t="shared" si="182"/>
        <v>9283421.6718769968</v>
      </c>
      <c r="AZ427" s="365"/>
      <c r="BA427" s="377">
        <f t="shared" si="183"/>
        <v>0</v>
      </c>
      <c r="BB427" s="377">
        <f t="shared" si="184"/>
        <v>0</v>
      </c>
      <c r="BC427" s="377">
        <f t="shared" si="185"/>
        <v>0</v>
      </c>
      <c r="BD427" s="377">
        <f t="shared" si="186"/>
        <v>0</v>
      </c>
      <c r="BE427" s="377">
        <f t="shared" si="187"/>
        <v>0</v>
      </c>
      <c r="BF427" s="377">
        <f t="shared" si="188"/>
        <v>0</v>
      </c>
      <c r="BG427" s="328"/>
    </row>
    <row r="428" spans="2:59">
      <c r="B428" s="332">
        <v>413</v>
      </c>
      <c r="C428" s="350">
        <v>5952797.3994946126</v>
      </c>
      <c r="D428" s="350">
        <v>36770.267599898405</v>
      </c>
      <c r="E428" s="350">
        <v>35206.240974667962</v>
      </c>
      <c r="F428" s="350">
        <v>33600.128868861008</v>
      </c>
      <c r="G428" s="350">
        <v>31952.013320448565</v>
      </c>
      <c r="H428" s="348">
        <v>6090326.0502584893</v>
      </c>
      <c r="I428" s="369"/>
      <c r="J428" s="350">
        <v>7702725.2588331215</v>
      </c>
      <c r="K428" s="350">
        <v>1808316.6405044347</v>
      </c>
      <c r="L428" s="350">
        <v>1826991.8093294483</v>
      </c>
      <c r="M428" s="350">
        <v>1844196.0875354523</v>
      </c>
      <c r="N428" s="350">
        <v>1859880.1907201759</v>
      </c>
      <c r="O428" s="348">
        <v>15042109.986922633</v>
      </c>
      <c r="P428" s="369"/>
      <c r="Q428" s="350">
        <f t="shared" si="189"/>
        <v>1749927.8593385089</v>
      </c>
      <c r="R428" s="350">
        <f t="shared" si="190"/>
        <v>1771546.3729045363</v>
      </c>
      <c r="S428" s="350">
        <f t="shared" si="191"/>
        <v>1791785.5683547803</v>
      </c>
      <c r="T428" s="350">
        <f t="shared" si="192"/>
        <v>1810595.9586665914</v>
      </c>
      <c r="U428" s="350">
        <f t="shared" si="193"/>
        <v>1827928.1773997273</v>
      </c>
      <c r="V428" s="350">
        <f t="shared" si="194"/>
        <v>8951783.9366641436</v>
      </c>
      <c r="W428" s="365"/>
      <c r="X428" s="377">
        <f t="shared" si="172"/>
        <v>0</v>
      </c>
      <c r="Y428" s="377">
        <f t="shared" si="173"/>
        <v>0</v>
      </c>
      <c r="Z428" s="377">
        <f t="shared" si="174"/>
        <v>0</v>
      </c>
      <c r="AA428" s="377">
        <f t="shared" si="175"/>
        <v>0</v>
      </c>
      <c r="AB428" s="377">
        <f t="shared" si="176"/>
        <v>0</v>
      </c>
      <c r="AC428" s="377">
        <f t="shared" si="177"/>
        <v>0</v>
      </c>
      <c r="AD428" s="376"/>
      <c r="AE428" s="332">
        <v>413</v>
      </c>
      <c r="AF428" s="350">
        <v>7658254.3955554971</v>
      </c>
      <c r="AG428" s="350">
        <v>47304.829070209678</v>
      </c>
      <c r="AH428" s="350">
        <v>45292.71392944135</v>
      </c>
      <c r="AI428" s="350">
        <v>43226.455955486774</v>
      </c>
      <c r="AJ428" s="350">
        <v>41106.160689921009</v>
      </c>
      <c r="AK428" s="348">
        <v>7835184.5552005563</v>
      </c>
      <c r="AL428" s="369"/>
      <c r="AM428" s="350">
        <v>10312466.07669499</v>
      </c>
      <c r="AN428" s="350">
        <v>2734306.4969109315</v>
      </c>
      <c r="AO428" s="350">
        <v>2762992.2809402514</v>
      </c>
      <c r="AP428" s="350">
        <v>2789456.7749204254</v>
      </c>
      <c r="AQ428" s="350">
        <v>2813625.2076021601</v>
      </c>
      <c r="AR428" s="348">
        <v>21412846.837068759</v>
      </c>
      <c r="AS428" s="369"/>
      <c r="AT428" s="350">
        <f t="shared" si="195"/>
        <v>2654211.6811394924</v>
      </c>
      <c r="AU428" s="350">
        <f t="shared" si="178"/>
        <v>2687001.667840722</v>
      </c>
      <c r="AV428" s="350">
        <f t="shared" si="179"/>
        <v>2717699.5670108101</v>
      </c>
      <c r="AW428" s="350">
        <f t="shared" si="180"/>
        <v>2746230.3189649386</v>
      </c>
      <c r="AX428" s="350">
        <f t="shared" si="181"/>
        <v>2772519.0469122389</v>
      </c>
      <c r="AY428" s="350">
        <f t="shared" si="182"/>
        <v>13577662.281868203</v>
      </c>
      <c r="AZ428" s="365"/>
      <c r="BA428" s="377">
        <f t="shared" si="183"/>
        <v>0</v>
      </c>
      <c r="BB428" s="377">
        <f t="shared" si="184"/>
        <v>0</v>
      </c>
      <c r="BC428" s="377">
        <f t="shared" si="185"/>
        <v>0</v>
      </c>
      <c r="BD428" s="377">
        <f t="shared" si="186"/>
        <v>0</v>
      </c>
      <c r="BE428" s="377">
        <f t="shared" si="187"/>
        <v>0</v>
      </c>
      <c r="BF428" s="377">
        <f t="shared" si="188"/>
        <v>0</v>
      </c>
      <c r="BG428" s="328"/>
    </row>
    <row r="429" spans="2:59">
      <c r="B429" s="332">
        <v>414</v>
      </c>
      <c r="C429" s="350">
        <v>6533749.9273276618</v>
      </c>
      <c r="D429" s="350">
        <v>40358.795560394581</v>
      </c>
      <c r="E429" s="350">
        <v>38642.130577005308</v>
      </c>
      <c r="F429" s="350">
        <v>36879.272856448275</v>
      </c>
      <c r="G429" s="350">
        <v>35070.312443049123</v>
      </c>
      <c r="H429" s="348">
        <v>6684700.4387645582</v>
      </c>
      <c r="I429" s="369"/>
      <c r="J429" s="350">
        <v>10361761.285725951</v>
      </c>
      <c r="K429" s="350">
        <v>3915661.1980099087</v>
      </c>
      <c r="L429" s="350">
        <v>3958218.2838871218</v>
      </c>
      <c r="M429" s="350">
        <v>3997603.6297255</v>
      </c>
      <c r="N429" s="350">
        <v>4033709.3352353936</v>
      </c>
      <c r="O429" s="348">
        <v>26266953.732583877</v>
      </c>
      <c r="P429" s="369"/>
      <c r="Q429" s="350">
        <f t="shared" si="189"/>
        <v>3828011.3583982894</v>
      </c>
      <c r="R429" s="350">
        <f t="shared" si="190"/>
        <v>3875302.4024495143</v>
      </c>
      <c r="S429" s="350">
        <f t="shared" si="191"/>
        <v>3919576.1533101164</v>
      </c>
      <c r="T429" s="350">
        <f t="shared" si="192"/>
        <v>3960724.3568690517</v>
      </c>
      <c r="U429" s="350">
        <f t="shared" si="193"/>
        <v>3998639.0227923444</v>
      </c>
      <c r="V429" s="350">
        <f t="shared" si="194"/>
        <v>19582253.293819319</v>
      </c>
      <c r="W429" s="365"/>
      <c r="X429" s="377">
        <f t="shared" si="172"/>
        <v>0</v>
      </c>
      <c r="Y429" s="377">
        <f t="shared" si="173"/>
        <v>0</v>
      </c>
      <c r="Z429" s="377">
        <f t="shared" si="174"/>
        <v>0</v>
      </c>
      <c r="AA429" s="377">
        <f t="shared" si="175"/>
        <v>0</v>
      </c>
      <c r="AB429" s="377">
        <f t="shared" si="176"/>
        <v>0</v>
      </c>
      <c r="AC429" s="377">
        <f t="shared" si="177"/>
        <v>0</v>
      </c>
      <c r="AD429" s="376"/>
      <c r="AE429" s="332">
        <v>414</v>
      </c>
      <c r="AF429" s="350">
        <v>5450219.6844566381</v>
      </c>
      <c r="AG429" s="350">
        <v>33665.85872596933</v>
      </c>
      <c r="AH429" s="350">
        <v>32233.878410200752</v>
      </c>
      <c r="AI429" s="350">
        <v>30763.365771005519</v>
      </c>
      <c r="AJ429" s="350">
        <v>29254.395920127379</v>
      </c>
      <c r="AK429" s="348">
        <v>5576137.1832839418</v>
      </c>
      <c r="AL429" s="369"/>
      <c r="AM429" s="350">
        <v>8076889.8642204907</v>
      </c>
      <c r="AN429" s="350">
        <v>2692785.7789815082</v>
      </c>
      <c r="AO429" s="350">
        <v>2721733.1602307735</v>
      </c>
      <c r="AP429" s="350">
        <v>2748497.3494040426</v>
      </c>
      <c r="AQ429" s="350">
        <v>2773004.3217833089</v>
      </c>
      <c r="AR429" s="348">
        <v>19012910.474620126</v>
      </c>
      <c r="AS429" s="369"/>
      <c r="AT429" s="350">
        <f t="shared" si="195"/>
        <v>2626670.1797638526</v>
      </c>
      <c r="AU429" s="350">
        <f t="shared" si="178"/>
        <v>2659119.920255539</v>
      </c>
      <c r="AV429" s="350">
        <f t="shared" si="179"/>
        <v>2689499.2818205729</v>
      </c>
      <c r="AW429" s="350">
        <f t="shared" si="180"/>
        <v>2717733.9836330372</v>
      </c>
      <c r="AX429" s="350">
        <f t="shared" si="181"/>
        <v>2743749.9258631817</v>
      </c>
      <c r="AY429" s="350">
        <f t="shared" si="182"/>
        <v>13436773.291336184</v>
      </c>
      <c r="AZ429" s="365"/>
      <c r="BA429" s="377">
        <f t="shared" si="183"/>
        <v>0</v>
      </c>
      <c r="BB429" s="377">
        <f t="shared" si="184"/>
        <v>0</v>
      </c>
      <c r="BC429" s="377">
        <f t="shared" si="185"/>
        <v>0</v>
      </c>
      <c r="BD429" s="377">
        <f t="shared" si="186"/>
        <v>0</v>
      </c>
      <c r="BE429" s="377">
        <f t="shared" si="187"/>
        <v>0</v>
      </c>
      <c r="BF429" s="377">
        <f t="shared" si="188"/>
        <v>0</v>
      </c>
      <c r="BG429" s="328"/>
    </row>
    <row r="430" spans="2:59">
      <c r="B430" s="332">
        <v>415</v>
      </c>
      <c r="C430" s="350">
        <v>4215587.9516541706</v>
      </c>
      <c r="D430" s="350">
        <v>26039.572098722925</v>
      </c>
      <c r="E430" s="350">
        <v>24931.976567596332</v>
      </c>
      <c r="F430" s="350">
        <v>23794.577394087424</v>
      </c>
      <c r="G430" s="350">
        <v>22627.432674965428</v>
      </c>
      <c r="H430" s="348">
        <v>4312981.5103895431</v>
      </c>
      <c r="I430" s="369"/>
      <c r="J430" s="350">
        <v>5564974.3451966997</v>
      </c>
      <c r="K430" s="350">
        <v>1392096.2117310762</v>
      </c>
      <c r="L430" s="350">
        <v>1406595.2566743351</v>
      </c>
      <c r="M430" s="350">
        <v>1419962.7324352574</v>
      </c>
      <c r="N430" s="350">
        <v>1432160.6301683635</v>
      </c>
      <c r="O430" s="348">
        <v>11215789.176205732</v>
      </c>
      <c r="P430" s="369"/>
      <c r="Q430" s="350">
        <f t="shared" si="189"/>
        <v>1349386.3935425291</v>
      </c>
      <c r="R430" s="350">
        <f t="shared" si="190"/>
        <v>1366056.6396323533</v>
      </c>
      <c r="S430" s="350">
        <f t="shared" si="191"/>
        <v>1381663.2801067387</v>
      </c>
      <c r="T430" s="350">
        <f t="shared" si="192"/>
        <v>1396168.1550411701</v>
      </c>
      <c r="U430" s="350">
        <f t="shared" si="193"/>
        <v>1409533.1974933981</v>
      </c>
      <c r="V430" s="350">
        <f t="shared" si="194"/>
        <v>6902807.6658161888</v>
      </c>
      <c r="W430" s="365"/>
      <c r="X430" s="377">
        <f t="shared" si="172"/>
        <v>0</v>
      </c>
      <c r="Y430" s="377">
        <f t="shared" si="173"/>
        <v>0</v>
      </c>
      <c r="Z430" s="377">
        <f t="shared" si="174"/>
        <v>0</v>
      </c>
      <c r="AA430" s="377">
        <f t="shared" si="175"/>
        <v>0</v>
      </c>
      <c r="AB430" s="377">
        <f t="shared" si="176"/>
        <v>0</v>
      </c>
      <c r="AC430" s="377">
        <f t="shared" si="177"/>
        <v>0</v>
      </c>
      <c r="AD430" s="376"/>
      <c r="AE430" s="332">
        <v>415</v>
      </c>
      <c r="AF430" s="350">
        <v>6427184.9620406087</v>
      </c>
      <c r="AG430" s="350">
        <v>39700.546668755786</v>
      </c>
      <c r="AH430" s="350">
        <v>38011.880360916402</v>
      </c>
      <c r="AI430" s="350">
        <v>36277.77471595144</v>
      </c>
      <c r="AJ430" s="350">
        <v>34498.318309563583</v>
      </c>
      <c r="AK430" s="348">
        <v>6575673.4820957957</v>
      </c>
      <c r="AL430" s="369"/>
      <c r="AM430" s="350">
        <v>8053263.1234381925</v>
      </c>
      <c r="AN430" s="350">
        <v>1685867.1892022886</v>
      </c>
      <c r="AO430" s="350">
        <v>1702985.3060142624</v>
      </c>
      <c r="AP430" s="350">
        <v>1718730.3008534515</v>
      </c>
      <c r="AQ430" s="350">
        <v>1733056.3897243263</v>
      </c>
      <c r="AR430" s="348">
        <v>14893902.309232522</v>
      </c>
      <c r="AS430" s="369"/>
      <c r="AT430" s="350">
        <f t="shared" si="195"/>
        <v>1626078.1613975838</v>
      </c>
      <c r="AU430" s="350">
        <f t="shared" si="178"/>
        <v>1646166.6425335328</v>
      </c>
      <c r="AV430" s="350">
        <f t="shared" si="179"/>
        <v>1664973.4256533459</v>
      </c>
      <c r="AW430" s="350">
        <f t="shared" si="180"/>
        <v>1682452.5261375001</v>
      </c>
      <c r="AX430" s="350">
        <f t="shared" si="181"/>
        <v>1698558.0714147626</v>
      </c>
      <c r="AY430" s="350">
        <f t="shared" si="182"/>
        <v>8318228.8271367261</v>
      </c>
      <c r="AZ430" s="365"/>
      <c r="BA430" s="377">
        <f t="shared" si="183"/>
        <v>0</v>
      </c>
      <c r="BB430" s="377">
        <f t="shared" si="184"/>
        <v>0</v>
      </c>
      <c r="BC430" s="377">
        <f t="shared" si="185"/>
        <v>0</v>
      </c>
      <c r="BD430" s="377">
        <f t="shared" si="186"/>
        <v>0</v>
      </c>
      <c r="BE430" s="377">
        <f t="shared" si="187"/>
        <v>0</v>
      </c>
      <c r="BF430" s="377">
        <f t="shared" si="188"/>
        <v>0</v>
      </c>
      <c r="BG430" s="328"/>
    </row>
    <row r="431" spans="2:59">
      <c r="B431" s="332">
        <v>416</v>
      </c>
      <c r="C431" s="350">
        <v>4830792.99487508</v>
      </c>
      <c r="D431" s="350">
        <v>29839.676914983116</v>
      </c>
      <c r="E431" s="350">
        <v>28570.44358518887</v>
      </c>
      <c r="F431" s="350">
        <v>27267.057195726262</v>
      </c>
      <c r="G431" s="350">
        <v>25929.584321764676</v>
      </c>
      <c r="H431" s="348">
        <v>4942399.7568927426</v>
      </c>
      <c r="I431" s="369"/>
      <c r="J431" s="350">
        <v>6510189.8282399941</v>
      </c>
      <c r="K431" s="350">
        <v>1729983.6873884252</v>
      </c>
      <c r="L431" s="350">
        <v>1748137.9066127522</v>
      </c>
      <c r="M431" s="350">
        <v>1764886.7557799895</v>
      </c>
      <c r="N431" s="350">
        <v>1780182.9247446244</v>
      </c>
      <c r="O431" s="348">
        <v>13533381.102765786</v>
      </c>
      <c r="P431" s="369"/>
      <c r="Q431" s="350">
        <f t="shared" si="189"/>
        <v>1679396.8333649142</v>
      </c>
      <c r="R431" s="350">
        <f t="shared" si="190"/>
        <v>1700144.010473442</v>
      </c>
      <c r="S431" s="350">
        <f t="shared" si="191"/>
        <v>1719567.4630275634</v>
      </c>
      <c r="T431" s="350">
        <f t="shared" si="192"/>
        <v>1737619.6985842632</v>
      </c>
      <c r="U431" s="350">
        <f t="shared" si="193"/>
        <v>1754253.3404228596</v>
      </c>
      <c r="V431" s="350">
        <f t="shared" si="194"/>
        <v>8590981.3458730429</v>
      </c>
      <c r="W431" s="365"/>
      <c r="X431" s="377">
        <f t="shared" si="172"/>
        <v>0</v>
      </c>
      <c r="Y431" s="377">
        <f t="shared" si="173"/>
        <v>0</v>
      </c>
      <c r="Z431" s="377">
        <f t="shared" si="174"/>
        <v>0</v>
      </c>
      <c r="AA431" s="377">
        <f t="shared" si="175"/>
        <v>0</v>
      </c>
      <c r="AB431" s="377">
        <f t="shared" si="176"/>
        <v>0</v>
      </c>
      <c r="AC431" s="377">
        <f t="shared" si="177"/>
        <v>0</v>
      </c>
      <c r="AD431" s="376"/>
      <c r="AE431" s="332">
        <v>416</v>
      </c>
      <c r="AF431" s="350">
        <v>5928725.9417595472</v>
      </c>
      <c r="AG431" s="350">
        <v>36621.578860295966</v>
      </c>
      <c r="AH431" s="350">
        <v>35063.876723920715</v>
      </c>
      <c r="AI431" s="350">
        <v>33464.259288950532</v>
      </c>
      <c r="AJ431" s="350">
        <v>31822.808261619673</v>
      </c>
      <c r="AK431" s="348">
        <v>6065698.4648943348</v>
      </c>
      <c r="AL431" s="369"/>
      <c r="AM431" s="350">
        <v>7963686.0313020144</v>
      </c>
      <c r="AN431" s="350">
        <v>2096721.4546329936</v>
      </c>
      <c r="AO431" s="350">
        <v>2118699.5541389007</v>
      </c>
      <c r="AP431" s="350">
        <v>2138974.2061767988</v>
      </c>
      <c r="AQ431" s="350">
        <v>2157488.0850946056</v>
      </c>
      <c r="AR431" s="348">
        <v>16475569.331345312</v>
      </c>
      <c r="AS431" s="369"/>
      <c r="AT431" s="350">
        <f t="shared" si="195"/>
        <v>2034960.0895424671</v>
      </c>
      <c r="AU431" s="350">
        <f t="shared" si="178"/>
        <v>2060099.8757726976</v>
      </c>
      <c r="AV431" s="350">
        <f t="shared" si="179"/>
        <v>2083635.67741498</v>
      </c>
      <c r="AW431" s="350">
        <f t="shared" si="180"/>
        <v>2105509.9468878484</v>
      </c>
      <c r="AX431" s="350">
        <f t="shared" si="181"/>
        <v>2125665.2768329857</v>
      </c>
      <c r="AY431" s="350">
        <f t="shared" si="182"/>
        <v>10409870.866450977</v>
      </c>
      <c r="AZ431" s="365"/>
      <c r="BA431" s="377">
        <f t="shared" si="183"/>
        <v>0</v>
      </c>
      <c r="BB431" s="377">
        <f t="shared" si="184"/>
        <v>0</v>
      </c>
      <c r="BC431" s="377">
        <f t="shared" si="185"/>
        <v>0</v>
      </c>
      <c r="BD431" s="377">
        <f t="shared" si="186"/>
        <v>0</v>
      </c>
      <c r="BE431" s="377">
        <f t="shared" si="187"/>
        <v>0</v>
      </c>
      <c r="BF431" s="377">
        <f t="shared" si="188"/>
        <v>0</v>
      </c>
      <c r="BG431" s="328"/>
    </row>
    <row r="432" spans="2:59">
      <c r="B432" s="332">
        <v>417</v>
      </c>
      <c r="C432" s="350">
        <v>7083963.3062038952</v>
      </c>
      <c r="D432" s="350">
        <v>43757.448633996966</v>
      </c>
      <c r="E432" s="350">
        <v>41896.221637764407</v>
      </c>
      <c r="F432" s="350">
        <v>39984.911969443216</v>
      </c>
      <c r="G432" s="350">
        <v>38023.617256083962</v>
      </c>
      <c r="H432" s="348">
        <v>7247625.5057011824</v>
      </c>
      <c r="I432" s="369"/>
      <c r="J432" s="350">
        <v>9823870.2440945506</v>
      </c>
      <c r="K432" s="350">
        <v>2817513.0477653667</v>
      </c>
      <c r="L432" s="350">
        <v>2847340.8482541954</v>
      </c>
      <c r="M432" s="350">
        <v>2874881.4492144873</v>
      </c>
      <c r="N432" s="350">
        <v>2900057.6539714811</v>
      </c>
      <c r="O432" s="348">
        <v>21263663.243300084</v>
      </c>
      <c r="P432" s="369"/>
      <c r="Q432" s="350">
        <f t="shared" si="189"/>
        <v>2739906.9378906554</v>
      </c>
      <c r="R432" s="350">
        <f t="shared" si="190"/>
        <v>2773755.59913137</v>
      </c>
      <c r="S432" s="350">
        <f t="shared" si="191"/>
        <v>2805444.6266164309</v>
      </c>
      <c r="T432" s="350">
        <f t="shared" si="192"/>
        <v>2834896.537245044</v>
      </c>
      <c r="U432" s="350">
        <f t="shared" si="193"/>
        <v>2862034.0367153971</v>
      </c>
      <c r="V432" s="350">
        <f t="shared" si="194"/>
        <v>14016037.737598902</v>
      </c>
      <c r="W432" s="365"/>
      <c r="X432" s="377">
        <f t="shared" si="172"/>
        <v>0</v>
      </c>
      <c r="Y432" s="377">
        <f t="shared" si="173"/>
        <v>0</v>
      </c>
      <c r="Z432" s="377">
        <f t="shared" si="174"/>
        <v>0</v>
      </c>
      <c r="AA432" s="377">
        <f t="shared" si="175"/>
        <v>0</v>
      </c>
      <c r="AB432" s="377">
        <f t="shared" si="176"/>
        <v>0</v>
      </c>
      <c r="AC432" s="377">
        <f t="shared" si="177"/>
        <v>0</v>
      </c>
      <c r="AD432" s="376"/>
      <c r="AE432" s="332">
        <v>417</v>
      </c>
      <c r="AF432" s="350">
        <v>5509839.1702356078</v>
      </c>
      <c r="AG432" s="350">
        <v>34034.126667767283</v>
      </c>
      <c r="AH432" s="350">
        <v>32586.482042115982</v>
      </c>
      <c r="AI432" s="350">
        <v>31099.883591256425</v>
      </c>
      <c r="AJ432" s="350">
        <v>29574.407248571002</v>
      </c>
      <c r="AK432" s="348">
        <v>5637134.0697853174</v>
      </c>
      <c r="AL432" s="369"/>
      <c r="AM432" s="350">
        <v>7151592.3578707054</v>
      </c>
      <c r="AN432" s="350">
        <v>1696069.4438601213</v>
      </c>
      <c r="AO432" s="350">
        <v>1713609.87549618</v>
      </c>
      <c r="AP432" s="350">
        <v>1729770.8721106104</v>
      </c>
      <c r="AQ432" s="350">
        <v>1744506.1948643324</v>
      </c>
      <c r="AR432" s="348">
        <v>14035548.744201951</v>
      </c>
      <c r="AS432" s="369"/>
      <c r="AT432" s="350">
        <f t="shared" si="195"/>
        <v>1641753.1876350977</v>
      </c>
      <c r="AU432" s="350">
        <f t="shared" si="178"/>
        <v>1662035.317192354</v>
      </c>
      <c r="AV432" s="350">
        <f t="shared" si="179"/>
        <v>1681023.3934540641</v>
      </c>
      <c r="AW432" s="350">
        <f t="shared" si="180"/>
        <v>1698670.988519354</v>
      </c>
      <c r="AX432" s="350">
        <f t="shared" si="181"/>
        <v>1714931.7876157614</v>
      </c>
      <c r="AY432" s="350">
        <f t="shared" si="182"/>
        <v>8398414.6744166333</v>
      </c>
      <c r="AZ432" s="365"/>
      <c r="BA432" s="377">
        <f t="shared" si="183"/>
        <v>0</v>
      </c>
      <c r="BB432" s="377">
        <f t="shared" si="184"/>
        <v>0</v>
      </c>
      <c r="BC432" s="377">
        <f t="shared" si="185"/>
        <v>0</v>
      </c>
      <c r="BD432" s="377">
        <f t="shared" si="186"/>
        <v>0</v>
      </c>
      <c r="BE432" s="377">
        <f t="shared" si="187"/>
        <v>0</v>
      </c>
      <c r="BF432" s="377">
        <f t="shared" si="188"/>
        <v>0</v>
      </c>
      <c r="BG432" s="328"/>
    </row>
    <row r="433" spans="2:59">
      <c r="B433" s="332">
        <v>418</v>
      </c>
      <c r="C433" s="350">
        <v>6581560.8086162275</v>
      </c>
      <c r="D433" s="350">
        <v>40654.122073492188</v>
      </c>
      <c r="E433" s="350">
        <v>38924.895350420098</v>
      </c>
      <c r="F433" s="350">
        <v>37149.137873652609</v>
      </c>
      <c r="G433" s="350">
        <v>35326.940346415795</v>
      </c>
      <c r="H433" s="348">
        <v>6733615.9042602079</v>
      </c>
      <c r="I433" s="369"/>
      <c r="J433" s="350">
        <v>8779205.6964179445</v>
      </c>
      <c r="K433" s="350">
        <v>2265448.5952519523</v>
      </c>
      <c r="L433" s="350">
        <v>2289136.7388376566</v>
      </c>
      <c r="M433" s="350">
        <v>2310983.9883812638</v>
      </c>
      <c r="N433" s="350">
        <v>2330928.4377988521</v>
      </c>
      <c r="O433" s="348">
        <v>17975703.456687666</v>
      </c>
      <c r="P433" s="369"/>
      <c r="Q433" s="350">
        <f t="shared" si="189"/>
        <v>2197644.887801717</v>
      </c>
      <c r="R433" s="350">
        <f t="shared" si="190"/>
        <v>2224794.4731784603</v>
      </c>
      <c r="S433" s="350">
        <f t="shared" si="191"/>
        <v>2250211.8434872366</v>
      </c>
      <c r="T433" s="350">
        <f t="shared" si="192"/>
        <v>2273834.8505076114</v>
      </c>
      <c r="U433" s="350">
        <f t="shared" si="193"/>
        <v>2295601.4974524365</v>
      </c>
      <c r="V433" s="350">
        <f t="shared" si="194"/>
        <v>11242087.55242746</v>
      </c>
      <c r="W433" s="365"/>
      <c r="X433" s="377">
        <f t="shared" si="172"/>
        <v>0</v>
      </c>
      <c r="Y433" s="377">
        <f t="shared" si="173"/>
        <v>0</v>
      </c>
      <c r="Z433" s="377">
        <f t="shared" si="174"/>
        <v>0</v>
      </c>
      <c r="AA433" s="377">
        <f t="shared" si="175"/>
        <v>0</v>
      </c>
      <c r="AB433" s="377">
        <f t="shared" si="176"/>
        <v>0</v>
      </c>
      <c r="AC433" s="377">
        <f t="shared" si="177"/>
        <v>0</v>
      </c>
      <c r="AD433" s="376"/>
      <c r="AE433" s="332">
        <v>418</v>
      </c>
      <c r="AF433" s="350">
        <v>5852427.243320738</v>
      </c>
      <c r="AG433" s="350">
        <v>36150.283875629073</v>
      </c>
      <c r="AH433" s="350">
        <v>34612.628313632376</v>
      </c>
      <c r="AI433" s="350">
        <v>33033.596874623137</v>
      </c>
      <c r="AJ433" s="350">
        <v>31413.270213329848</v>
      </c>
      <c r="AK433" s="348">
        <v>5987637.0225979537</v>
      </c>
      <c r="AL433" s="369"/>
      <c r="AM433" s="350">
        <v>7490762.7907123528</v>
      </c>
      <c r="AN433" s="350">
        <v>1694725.7394828764</v>
      </c>
      <c r="AO433" s="350">
        <v>1712136.6326737849</v>
      </c>
      <c r="AP433" s="350">
        <v>1728168.4592731164</v>
      </c>
      <c r="AQ433" s="350">
        <v>1742775.0815766773</v>
      </c>
      <c r="AR433" s="348">
        <v>14368568.703718808</v>
      </c>
      <c r="AS433" s="369"/>
      <c r="AT433" s="350">
        <f t="shared" si="195"/>
        <v>1638335.5473916149</v>
      </c>
      <c r="AU433" s="350">
        <f t="shared" si="178"/>
        <v>1658575.4556072473</v>
      </c>
      <c r="AV433" s="350">
        <f t="shared" si="179"/>
        <v>1677524.0043601524</v>
      </c>
      <c r="AW433" s="350">
        <f t="shared" si="180"/>
        <v>1695134.8623984933</v>
      </c>
      <c r="AX433" s="350">
        <f t="shared" si="181"/>
        <v>1711361.8113633473</v>
      </c>
      <c r="AY433" s="350">
        <f t="shared" si="182"/>
        <v>8380931.6811208539</v>
      </c>
      <c r="AZ433" s="365"/>
      <c r="BA433" s="377">
        <f t="shared" si="183"/>
        <v>0</v>
      </c>
      <c r="BB433" s="377">
        <f t="shared" si="184"/>
        <v>0</v>
      </c>
      <c r="BC433" s="377">
        <f t="shared" si="185"/>
        <v>0</v>
      </c>
      <c r="BD433" s="377">
        <f t="shared" si="186"/>
        <v>0</v>
      </c>
      <c r="BE433" s="377">
        <f t="shared" si="187"/>
        <v>0</v>
      </c>
      <c r="BF433" s="377">
        <f t="shared" si="188"/>
        <v>0</v>
      </c>
      <c r="BG433" s="328"/>
    </row>
    <row r="434" spans="2:59">
      <c r="B434" s="332">
        <v>419</v>
      </c>
      <c r="C434" s="350">
        <v>5810050.7550586881</v>
      </c>
      <c r="D434" s="350">
        <v>35888.52546042321</v>
      </c>
      <c r="E434" s="350">
        <v>34362.003816056793</v>
      </c>
      <c r="F434" s="350">
        <v>32794.405890778486</v>
      </c>
      <c r="G434" s="350">
        <v>31185.811755305647</v>
      </c>
      <c r="H434" s="348">
        <v>5944281.5019812528</v>
      </c>
      <c r="I434" s="369"/>
      <c r="J434" s="350">
        <v>7751096.7641510274</v>
      </c>
      <c r="K434" s="350">
        <v>2000914.1113426911</v>
      </c>
      <c r="L434" s="350">
        <v>2021837.2063189703</v>
      </c>
      <c r="M434" s="350">
        <v>2041134.3731034861</v>
      </c>
      <c r="N434" s="350">
        <v>2058750.9337771842</v>
      </c>
      <c r="O434" s="348">
        <v>15873733.388693359</v>
      </c>
      <c r="P434" s="369"/>
      <c r="Q434" s="350">
        <f t="shared" si="189"/>
        <v>1941046.0090923393</v>
      </c>
      <c r="R434" s="350">
        <f t="shared" si="190"/>
        <v>1965025.5858822679</v>
      </c>
      <c r="S434" s="350">
        <f t="shared" si="191"/>
        <v>1987475.2025029135</v>
      </c>
      <c r="T434" s="350">
        <f t="shared" si="192"/>
        <v>2008339.9672127077</v>
      </c>
      <c r="U434" s="350">
        <f t="shared" si="193"/>
        <v>2027565.1220218786</v>
      </c>
      <c r="V434" s="350">
        <f t="shared" si="194"/>
        <v>9929451.8867121059</v>
      </c>
      <c r="W434" s="365"/>
      <c r="X434" s="377">
        <f t="shared" si="172"/>
        <v>0</v>
      </c>
      <c r="Y434" s="377">
        <f t="shared" si="173"/>
        <v>0</v>
      </c>
      <c r="Z434" s="377">
        <f t="shared" si="174"/>
        <v>0</v>
      </c>
      <c r="AA434" s="377">
        <f t="shared" si="175"/>
        <v>0</v>
      </c>
      <c r="AB434" s="377">
        <f t="shared" si="176"/>
        <v>0</v>
      </c>
      <c r="AC434" s="377">
        <f t="shared" si="177"/>
        <v>0</v>
      </c>
      <c r="AD434" s="376"/>
      <c r="AE434" s="332">
        <v>419</v>
      </c>
      <c r="AF434" s="350">
        <v>5567292.8641549954</v>
      </c>
      <c r="AG434" s="350">
        <v>34389.016572167893</v>
      </c>
      <c r="AH434" s="350">
        <v>32926.27667265023</v>
      </c>
      <c r="AI434" s="350">
        <v>31424.176758002999</v>
      </c>
      <c r="AJ434" s="350">
        <v>29882.793553400457</v>
      </c>
      <c r="AK434" s="348">
        <v>5695915.1277112179</v>
      </c>
      <c r="AL434" s="369"/>
      <c r="AM434" s="350">
        <v>7442073.1403317433</v>
      </c>
      <c r="AN434" s="350">
        <v>1932330.2262797235</v>
      </c>
      <c r="AO434" s="350">
        <v>1952550.6913382357</v>
      </c>
      <c r="AP434" s="350">
        <v>1971201.0500267094</v>
      </c>
      <c r="AQ434" s="350">
        <v>1988228.4904738141</v>
      </c>
      <c r="AR434" s="348">
        <v>15286383.598450225</v>
      </c>
      <c r="AS434" s="369"/>
      <c r="AT434" s="350">
        <f t="shared" si="195"/>
        <v>1874780.2761767479</v>
      </c>
      <c r="AU434" s="350">
        <f t="shared" si="178"/>
        <v>1897941.2097075556</v>
      </c>
      <c r="AV434" s="350">
        <f t="shared" si="179"/>
        <v>1919624.4146655856</v>
      </c>
      <c r="AW434" s="350">
        <f t="shared" si="180"/>
        <v>1939776.8732687065</v>
      </c>
      <c r="AX434" s="350">
        <f t="shared" si="181"/>
        <v>1958345.6969204135</v>
      </c>
      <c r="AY434" s="350">
        <f t="shared" si="182"/>
        <v>9590468.470739007</v>
      </c>
      <c r="AZ434" s="365"/>
      <c r="BA434" s="377">
        <f t="shared" si="183"/>
        <v>0</v>
      </c>
      <c r="BB434" s="377">
        <f t="shared" si="184"/>
        <v>0</v>
      </c>
      <c r="BC434" s="377">
        <f t="shared" si="185"/>
        <v>0</v>
      </c>
      <c r="BD434" s="377">
        <f t="shared" si="186"/>
        <v>0</v>
      </c>
      <c r="BE434" s="377">
        <f t="shared" si="187"/>
        <v>0</v>
      </c>
      <c r="BF434" s="377">
        <f t="shared" si="188"/>
        <v>0</v>
      </c>
      <c r="BG434" s="328"/>
    </row>
    <row r="435" spans="2:59">
      <c r="B435" s="332">
        <v>420</v>
      </c>
      <c r="C435" s="350">
        <v>5364341.7698465344</v>
      </c>
      <c r="D435" s="350">
        <v>33135.393183600609</v>
      </c>
      <c r="E435" s="350">
        <v>31725.976267180209</v>
      </c>
      <c r="F435" s="350">
        <v>30278.634172693331</v>
      </c>
      <c r="G435" s="350">
        <v>28793.440828361381</v>
      </c>
      <c r="H435" s="348">
        <v>5488275.2142983694</v>
      </c>
      <c r="I435" s="369"/>
      <c r="J435" s="350">
        <v>7800902.723343201</v>
      </c>
      <c r="K435" s="350">
        <v>2499797.488133912</v>
      </c>
      <c r="L435" s="350">
        <v>2526568.6805500914</v>
      </c>
      <c r="M435" s="350">
        <v>2551312.5110283513</v>
      </c>
      <c r="N435" s="350">
        <v>2573960.3167543812</v>
      </c>
      <c r="O435" s="348">
        <v>17952541.719809934</v>
      </c>
      <c r="P435" s="369"/>
      <c r="Q435" s="350">
        <f t="shared" si="189"/>
        <v>2436560.9534966666</v>
      </c>
      <c r="R435" s="350">
        <f t="shared" si="190"/>
        <v>2466662.0949503114</v>
      </c>
      <c r="S435" s="350">
        <f t="shared" si="191"/>
        <v>2494842.704282911</v>
      </c>
      <c r="T435" s="350">
        <f t="shared" si="192"/>
        <v>2521033.8768556579</v>
      </c>
      <c r="U435" s="350">
        <f t="shared" si="193"/>
        <v>2545166.8759260196</v>
      </c>
      <c r="V435" s="350">
        <f t="shared" si="194"/>
        <v>12464266.505511565</v>
      </c>
      <c r="W435" s="365"/>
      <c r="X435" s="377">
        <f t="shared" si="172"/>
        <v>0</v>
      </c>
      <c r="Y435" s="377">
        <f t="shared" si="173"/>
        <v>0</v>
      </c>
      <c r="Z435" s="377">
        <f t="shared" si="174"/>
        <v>0</v>
      </c>
      <c r="AA435" s="377">
        <f t="shared" si="175"/>
        <v>0</v>
      </c>
      <c r="AB435" s="377">
        <f t="shared" si="176"/>
        <v>0</v>
      </c>
      <c r="AC435" s="377">
        <f t="shared" si="177"/>
        <v>0</v>
      </c>
      <c r="AD435" s="376"/>
      <c r="AE435" s="332">
        <v>420</v>
      </c>
      <c r="AF435" s="350">
        <v>7126336.1546578389</v>
      </c>
      <c r="AG435" s="350">
        <v>44019.184566208467</v>
      </c>
      <c r="AH435" s="350">
        <v>42146.824608658295</v>
      </c>
      <c r="AI435" s="350">
        <v>40224.082408658127</v>
      </c>
      <c r="AJ435" s="350">
        <v>38251.056177210718</v>
      </c>
      <c r="AK435" s="348">
        <v>7290977.3024185747</v>
      </c>
      <c r="AL435" s="369"/>
      <c r="AM435" s="350">
        <v>9033025.3309750874</v>
      </c>
      <c r="AN435" s="350">
        <v>1974263.4952305325</v>
      </c>
      <c r="AO435" s="350">
        <v>1994443.38999675</v>
      </c>
      <c r="AP435" s="350">
        <v>2013016.1027484706</v>
      </c>
      <c r="AQ435" s="350">
        <v>2029927.9429323308</v>
      </c>
      <c r="AR435" s="348">
        <v>17044676.261883173</v>
      </c>
      <c r="AS435" s="369"/>
      <c r="AT435" s="350">
        <f t="shared" si="195"/>
        <v>1906689.1763172485</v>
      </c>
      <c r="AU435" s="350">
        <f t="shared" si="178"/>
        <v>1930244.3106643241</v>
      </c>
      <c r="AV435" s="350">
        <f t="shared" si="179"/>
        <v>1952296.5653880918</v>
      </c>
      <c r="AW435" s="350">
        <f t="shared" si="180"/>
        <v>1972792.0203398124</v>
      </c>
      <c r="AX435" s="350">
        <f t="shared" si="181"/>
        <v>1991676.88675512</v>
      </c>
      <c r="AY435" s="350">
        <f t="shared" si="182"/>
        <v>9753698.9594645984</v>
      </c>
      <c r="AZ435" s="365"/>
      <c r="BA435" s="377">
        <f t="shared" si="183"/>
        <v>0</v>
      </c>
      <c r="BB435" s="377">
        <f t="shared" si="184"/>
        <v>0</v>
      </c>
      <c r="BC435" s="377">
        <f t="shared" si="185"/>
        <v>0</v>
      </c>
      <c r="BD435" s="377">
        <f t="shared" si="186"/>
        <v>0</v>
      </c>
      <c r="BE435" s="377">
        <f t="shared" si="187"/>
        <v>0</v>
      </c>
      <c r="BF435" s="377">
        <f t="shared" si="188"/>
        <v>0</v>
      </c>
      <c r="BG435" s="328"/>
    </row>
    <row r="436" spans="2:59">
      <c r="B436" s="332">
        <v>421</v>
      </c>
      <c r="C436" s="350">
        <v>6356706.1052481169</v>
      </c>
      <c r="D436" s="350">
        <v>39265.200687615885</v>
      </c>
      <c r="E436" s="350">
        <v>37595.05186007404</v>
      </c>
      <c r="F436" s="350">
        <v>35879.96197148315</v>
      </c>
      <c r="G436" s="350">
        <v>34120.018626251767</v>
      </c>
      <c r="H436" s="348">
        <v>6503566.338393542</v>
      </c>
      <c r="I436" s="369"/>
      <c r="J436" s="350">
        <v>9624700.6603096798</v>
      </c>
      <c r="K436" s="350">
        <v>3347632.3826807868</v>
      </c>
      <c r="L436" s="350">
        <v>3383758.9808318471</v>
      </c>
      <c r="M436" s="350">
        <v>3417172.34083308</v>
      </c>
      <c r="N436" s="350">
        <v>3447780.3583410657</v>
      </c>
      <c r="O436" s="348">
        <v>23221044.722996458</v>
      </c>
      <c r="P436" s="369"/>
      <c r="Q436" s="350">
        <f t="shared" si="189"/>
        <v>3267994.5550615629</v>
      </c>
      <c r="R436" s="350">
        <f t="shared" si="190"/>
        <v>3308367.1819931711</v>
      </c>
      <c r="S436" s="350">
        <f t="shared" si="191"/>
        <v>3346163.928971773</v>
      </c>
      <c r="T436" s="350">
        <f t="shared" si="192"/>
        <v>3381292.3788615968</v>
      </c>
      <c r="U436" s="350">
        <f t="shared" si="193"/>
        <v>3413660.339714814</v>
      </c>
      <c r="V436" s="350">
        <f t="shared" si="194"/>
        <v>16717478.384602915</v>
      </c>
      <c r="W436" s="365"/>
      <c r="X436" s="377">
        <f t="shared" si="172"/>
        <v>0</v>
      </c>
      <c r="Y436" s="377">
        <f t="shared" si="173"/>
        <v>0</v>
      </c>
      <c r="Z436" s="377">
        <f t="shared" si="174"/>
        <v>0</v>
      </c>
      <c r="AA436" s="377">
        <f t="shared" si="175"/>
        <v>0</v>
      </c>
      <c r="AB436" s="377">
        <f t="shared" si="176"/>
        <v>0</v>
      </c>
      <c r="AC436" s="377">
        <f t="shared" si="177"/>
        <v>0</v>
      </c>
      <c r="AD436" s="376"/>
      <c r="AE436" s="332">
        <v>421</v>
      </c>
      <c r="AF436" s="350">
        <v>5280596.7252621334</v>
      </c>
      <c r="AG436" s="350">
        <v>32618.102321358863</v>
      </c>
      <c r="AH436" s="350">
        <v>31230.688418088583</v>
      </c>
      <c r="AI436" s="350">
        <v>29805.941403004337</v>
      </c>
      <c r="AJ436" s="350">
        <v>28343.934050201842</v>
      </c>
      <c r="AK436" s="348">
        <v>5402595.3914547861</v>
      </c>
      <c r="AL436" s="369"/>
      <c r="AM436" s="350">
        <v>7254388.2772458121</v>
      </c>
      <c r="AN436" s="350">
        <v>2030793.7677502623</v>
      </c>
      <c r="AO436" s="350">
        <v>2052234.6966186427</v>
      </c>
      <c r="AP436" s="350">
        <v>2072026.7039336476</v>
      </c>
      <c r="AQ436" s="350">
        <v>2090114.180709596</v>
      </c>
      <c r="AR436" s="348">
        <v>15499557.626257962</v>
      </c>
      <c r="AS436" s="369"/>
      <c r="AT436" s="350">
        <f t="shared" si="195"/>
        <v>1973791.5519836787</v>
      </c>
      <c r="AU436" s="350">
        <f t="shared" si="178"/>
        <v>1998175.6654289034</v>
      </c>
      <c r="AV436" s="350">
        <f t="shared" si="179"/>
        <v>2021004.0082005542</v>
      </c>
      <c r="AW436" s="350">
        <f t="shared" si="180"/>
        <v>2042220.7625306433</v>
      </c>
      <c r="AX436" s="350">
        <f t="shared" si="181"/>
        <v>2061770.2466593941</v>
      </c>
      <c r="AY436" s="350">
        <f t="shared" si="182"/>
        <v>10096962.234803176</v>
      </c>
      <c r="AZ436" s="365"/>
      <c r="BA436" s="377">
        <f t="shared" si="183"/>
        <v>0</v>
      </c>
      <c r="BB436" s="377">
        <f t="shared" si="184"/>
        <v>0</v>
      </c>
      <c r="BC436" s="377">
        <f t="shared" si="185"/>
        <v>0</v>
      </c>
      <c r="BD436" s="377">
        <f t="shared" si="186"/>
        <v>0</v>
      </c>
      <c r="BE436" s="377">
        <f t="shared" si="187"/>
        <v>0</v>
      </c>
      <c r="BF436" s="377">
        <f t="shared" si="188"/>
        <v>0</v>
      </c>
      <c r="BG436" s="328"/>
    </row>
    <row r="437" spans="2:59">
      <c r="B437" s="332">
        <v>422</v>
      </c>
      <c r="C437" s="350">
        <v>7110517.2431826741</v>
      </c>
      <c r="D437" s="350">
        <v>43921.471580355952</v>
      </c>
      <c r="E437" s="350">
        <v>42053.26785340983</v>
      </c>
      <c r="F437" s="350">
        <v>40134.793721599046</v>
      </c>
      <c r="G437" s="350">
        <v>38166.147177920902</v>
      </c>
      <c r="H437" s="348">
        <v>7274792.9235159606</v>
      </c>
      <c r="I437" s="369"/>
      <c r="J437" s="350">
        <v>10419300.300328007</v>
      </c>
      <c r="K437" s="350">
        <v>3393581.0545928637</v>
      </c>
      <c r="L437" s="350">
        <v>3429981.3467005594</v>
      </c>
      <c r="M437" s="350">
        <v>3463629.7677580919</v>
      </c>
      <c r="N437" s="350">
        <v>3494433.0731442631</v>
      </c>
      <c r="O437" s="348">
        <v>24200925.542523786</v>
      </c>
      <c r="P437" s="369"/>
      <c r="Q437" s="350">
        <f t="shared" si="189"/>
        <v>3308783.0571453329</v>
      </c>
      <c r="R437" s="350">
        <f t="shared" si="190"/>
        <v>3349659.5830125078</v>
      </c>
      <c r="S437" s="350">
        <f t="shared" si="191"/>
        <v>3387928.0788471494</v>
      </c>
      <c r="T437" s="350">
        <f t="shared" si="192"/>
        <v>3423494.9740364929</v>
      </c>
      <c r="U437" s="350">
        <f t="shared" si="193"/>
        <v>3456266.9259663424</v>
      </c>
      <c r="V437" s="350">
        <f t="shared" si="194"/>
        <v>16926132.619007826</v>
      </c>
      <c r="W437" s="365"/>
      <c r="X437" s="377">
        <f t="shared" si="172"/>
        <v>0</v>
      </c>
      <c r="Y437" s="377">
        <f t="shared" si="173"/>
        <v>0</v>
      </c>
      <c r="Z437" s="377">
        <f t="shared" si="174"/>
        <v>0</v>
      </c>
      <c r="AA437" s="377">
        <f t="shared" si="175"/>
        <v>0</v>
      </c>
      <c r="AB437" s="377">
        <f t="shared" si="176"/>
        <v>0</v>
      </c>
      <c r="AC437" s="377">
        <f t="shared" si="177"/>
        <v>0</v>
      </c>
      <c r="AD437" s="376"/>
      <c r="AE437" s="332">
        <v>422</v>
      </c>
      <c r="AF437" s="350">
        <v>7000500.3508833982</v>
      </c>
      <c r="AG437" s="350">
        <v>43241.900229463317</v>
      </c>
      <c r="AH437" s="350">
        <v>41402.60213078712</v>
      </c>
      <c r="AI437" s="350">
        <v>39513.811431941511</v>
      </c>
      <c r="AJ437" s="350">
        <v>37575.624609737606</v>
      </c>
      <c r="AK437" s="348">
        <v>7162234.2892853282</v>
      </c>
      <c r="AL437" s="369"/>
      <c r="AM437" s="350">
        <v>8999339.6178060733</v>
      </c>
      <c r="AN437" s="350">
        <v>2066774.7187049496</v>
      </c>
      <c r="AO437" s="350">
        <v>2088053.4585190848</v>
      </c>
      <c r="AP437" s="350">
        <v>2107650.6659891019</v>
      </c>
      <c r="AQ437" s="350">
        <v>2125510.0492220325</v>
      </c>
      <c r="AR437" s="348">
        <v>17387328.510241244</v>
      </c>
      <c r="AS437" s="369"/>
      <c r="AT437" s="350">
        <f t="shared" si="195"/>
        <v>1998839.2669226751</v>
      </c>
      <c r="AU437" s="350">
        <f t="shared" si="178"/>
        <v>2023532.8184754862</v>
      </c>
      <c r="AV437" s="350">
        <f t="shared" si="179"/>
        <v>2046650.8563882976</v>
      </c>
      <c r="AW437" s="350">
        <f t="shared" si="180"/>
        <v>2068136.8545571603</v>
      </c>
      <c r="AX437" s="350">
        <f t="shared" si="181"/>
        <v>2087934.4246122949</v>
      </c>
      <c r="AY437" s="350">
        <f t="shared" si="182"/>
        <v>10225094.220955916</v>
      </c>
      <c r="AZ437" s="365"/>
      <c r="BA437" s="377">
        <f t="shared" si="183"/>
        <v>0</v>
      </c>
      <c r="BB437" s="377">
        <f t="shared" si="184"/>
        <v>0</v>
      </c>
      <c r="BC437" s="377">
        <f t="shared" si="185"/>
        <v>0</v>
      </c>
      <c r="BD437" s="377">
        <f t="shared" si="186"/>
        <v>0</v>
      </c>
      <c r="BE437" s="377">
        <f t="shared" si="187"/>
        <v>0</v>
      </c>
      <c r="BF437" s="377">
        <f t="shared" si="188"/>
        <v>0</v>
      </c>
      <c r="BG437" s="328"/>
    </row>
    <row r="438" spans="2:59">
      <c r="B438" s="332">
        <v>423</v>
      </c>
      <c r="C438" s="350">
        <v>5082769.550517329</v>
      </c>
      <c r="D438" s="350">
        <v>31396.129244547912</v>
      </c>
      <c r="E438" s="350">
        <v>30060.692075529132</v>
      </c>
      <c r="F438" s="350">
        <v>28689.320406336112</v>
      </c>
      <c r="G438" s="350">
        <v>27282.08428472342</v>
      </c>
      <c r="H438" s="348">
        <v>5200197.7765284665</v>
      </c>
      <c r="I438" s="369"/>
      <c r="J438" s="350">
        <v>7040071.9526956771</v>
      </c>
      <c r="K438" s="350">
        <v>2012878.9388085501</v>
      </c>
      <c r="L438" s="350">
        <v>2034181.1353348389</v>
      </c>
      <c r="M438" s="350">
        <v>2053849.2722069509</v>
      </c>
      <c r="N438" s="350">
        <v>2071828.2028809614</v>
      </c>
      <c r="O438" s="348">
        <v>15212809.501926979</v>
      </c>
      <c r="P438" s="369"/>
      <c r="Q438" s="350">
        <f t="shared" si="189"/>
        <v>1957302.402178348</v>
      </c>
      <c r="R438" s="350">
        <f t="shared" si="190"/>
        <v>1981482.8095640023</v>
      </c>
      <c r="S438" s="350">
        <f t="shared" si="191"/>
        <v>2004120.4432593097</v>
      </c>
      <c r="T438" s="350">
        <f t="shared" si="192"/>
        <v>2025159.9518006148</v>
      </c>
      <c r="U438" s="350">
        <f t="shared" si="193"/>
        <v>2044546.1185962379</v>
      </c>
      <c r="V438" s="350">
        <f t="shared" si="194"/>
        <v>10012611.725398513</v>
      </c>
      <c r="W438" s="365"/>
      <c r="X438" s="377">
        <f t="shared" si="172"/>
        <v>0</v>
      </c>
      <c r="Y438" s="377">
        <f t="shared" si="173"/>
        <v>0</v>
      </c>
      <c r="Z438" s="377">
        <f t="shared" si="174"/>
        <v>0</v>
      </c>
      <c r="AA438" s="377">
        <f t="shared" si="175"/>
        <v>0</v>
      </c>
      <c r="AB438" s="377">
        <f t="shared" si="176"/>
        <v>0</v>
      </c>
      <c r="AC438" s="377">
        <f t="shared" si="177"/>
        <v>0</v>
      </c>
      <c r="AD438" s="376"/>
      <c r="AE438" s="332">
        <v>423</v>
      </c>
      <c r="AF438" s="350">
        <v>6459843.0670336466</v>
      </c>
      <c r="AG438" s="350">
        <v>39902.274894882416</v>
      </c>
      <c r="AH438" s="350">
        <v>38205.028058881282</v>
      </c>
      <c r="AI438" s="350">
        <v>36462.110997323114</v>
      </c>
      <c r="AJ438" s="350">
        <v>34673.612735985145</v>
      </c>
      <c r="AK438" s="348">
        <v>6609086.0937207174</v>
      </c>
      <c r="AL438" s="369"/>
      <c r="AM438" s="350">
        <v>8228863.9792659786</v>
      </c>
      <c r="AN438" s="350">
        <v>1830777.5752298976</v>
      </c>
      <c r="AO438" s="350">
        <v>1849540.3489639855</v>
      </c>
      <c r="AP438" s="350">
        <v>1866813.0579759632</v>
      </c>
      <c r="AQ438" s="350">
        <v>1882545.8862257011</v>
      </c>
      <c r="AR438" s="348">
        <v>15658540.847661525</v>
      </c>
      <c r="AS438" s="369"/>
      <c r="AT438" s="350">
        <f t="shared" si="195"/>
        <v>1769020.9122323319</v>
      </c>
      <c r="AU438" s="350">
        <f t="shared" si="178"/>
        <v>1790875.3003350152</v>
      </c>
      <c r="AV438" s="350">
        <f t="shared" si="179"/>
        <v>1811335.3209051043</v>
      </c>
      <c r="AW438" s="350">
        <f t="shared" si="180"/>
        <v>1830350.94697864</v>
      </c>
      <c r="AX438" s="350">
        <f t="shared" si="181"/>
        <v>1847872.273489716</v>
      </c>
      <c r="AY438" s="350">
        <f t="shared" si="182"/>
        <v>9049454.7539408077</v>
      </c>
      <c r="AZ438" s="365"/>
      <c r="BA438" s="377">
        <f t="shared" si="183"/>
        <v>0</v>
      </c>
      <c r="BB438" s="377">
        <f t="shared" si="184"/>
        <v>0</v>
      </c>
      <c r="BC438" s="377">
        <f t="shared" si="185"/>
        <v>0</v>
      </c>
      <c r="BD438" s="377">
        <f t="shared" si="186"/>
        <v>0</v>
      </c>
      <c r="BE438" s="377">
        <f t="shared" si="187"/>
        <v>0</v>
      </c>
      <c r="BF438" s="377">
        <f t="shared" si="188"/>
        <v>0</v>
      </c>
      <c r="BG438" s="328"/>
    </row>
    <row r="439" spans="2:59">
      <c r="B439" s="332">
        <v>424</v>
      </c>
      <c r="C439" s="350">
        <v>6143778.6844022376</v>
      </c>
      <c r="D439" s="350">
        <v>37949.953801416857</v>
      </c>
      <c r="E439" s="350">
        <v>36335.749117963438</v>
      </c>
      <c r="F439" s="350">
        <v>34678.108741815973</v>
      </c>
      <c r="G439" s="350">
        <v>32977.117342944053</v>
      </c>
      <c r="H439" s="348">
        <v>6285719.6134063778</v>
      </c>
      <c r="I439" s="369"/>
      <c r="J439" s="350">
        <v>7607635.8910233285</v>
      </c>
      <c r="K439" s="350">
        <v>1519891.5727090952</v>
      </c>
      <c r="L439" s="350">
        <v>1535207.9471680617</v>
      </c>
      <c r="M439" s="350">
        <v>1549285.6556923559</v>
      </c>
      <c r="N439" s="350">
        <v>1562083.4867242712</v>
      </c>
      <c r="O439" s="348">
        <v>13774104.553317111</v>
      </c>
      <c r="P439" s="369"/>
      <c r="Q439" s="350">
        <f t="shared" si="189"/>
        <v>1463857.2066210909</v>
      </c>
      <c r="R439" s="350">
        <f t="shared" si="190"/>
        <v>1481941.6189076784</v>
      </c>
      <c r="S439" s="350">
        <f t="shared" si="191"/>
        <v>1498872.1980500983</v>
      </c>
      <c r="T439" s="350">
        <f t="shared" si="192"/>
        <v>1514607.54695054</v>
      </c>
      <c r="U439" s="350">
        <f t="shared" si="193"/>
        <v>1529106.3693813272</v>
      </c>
      <c r="V439" s="350">
        <f t="shared" si="194"/>
        <v>7488384.9399107331</v>
      </c>
      <c r="W439" s="365"/>
      <c r="X439" s="377">
        <f t="shared" si="172"/>
        <v>0</v>
      </c>
      <c r="Y439" s="377">
        <f t="shared" si="173"/>
        <v>0</v>
      </c>
      <c r="Z439" s="377">
        <f t="shared" si="174"/>
        <v>0</v>
      </c>
      <c r="AA439" s="377">
        <f t="shared" si="175"/>
        <v>0</v>
      </c>
      <c r="AB439" s="377">
        <f t="shared" si="176"/>
        <v>0</v>
      </c>
      <c r="AC439" s="377">
        <f t="shared" si="177"/>
        <v>0</v>
      </c>
      <c r="AD439" s="376"/>
      <c r="AE439" s="332">
        <v>424</v>
      </c>
      <c r="AF439" s="350">
        <v>5963900.8750648666</v>
      </c>
      <c r="AG439" s="350">
        <v>36838.853466442531</v>
      </c>
      <c r="AH439" s="350">
        <v>35271.909535238134</v>
      </c>
      <c r="AI439" s="350">
        <v>33662.801623367945</v>
      </c>
      <c r="AJ439" s="350">
        <v>32011.611921830743</v>
      </c>
      <c r="AK439" s="348">
        <v>6101686.0516117467</v>
      </c>
      <c r="AL439" s="369"/>
      <c r="AM439" s="350">
        <v>7041539.6289698482</v>
      </c>
      <c r="AN439" s="350">
        <v>1127790.6979061249</v>
      </c>
      <c r="AO439" s="350">
        <v>1138687.434262454</v>
      </c>
      <c r="AP439" s="350">
        <v>1148662.1213441377</v>
      </c>
      <c r="AQ439" s="350">
        <v>1157684.4405523024</v>
      </c>
      <c r="AR439" s="348">
        <v>11614364.323034868</v>
      </c>
      <c r="AS439" s="369"/>
      <c r="AT439" s="350">
        <f t="shared" si="195"/>
        <v>1077638.7539049815</v>
      </c>
      <c r="AU439" s="350">
        <f t="shared" si="178"/>
        <v>1090951.8444396823</v>
      </c>
      <c r="AV439" s="350">
        <f t="shared" si="179"/>
        <v>1103415.524727216</v>
      </c>
      <c r="AW439" s="350">
        <f t="shared" si="180"/>
        <v>1114999.3197207698</v>
      </c>
      <c r="AX439" s="350">
        <f t="shared" si="181"/>
        <v>1125672.8286304716</v>
      </c>
      <c r="AY439" s="350">
        <f t="shared" si="182"/>
        <v>5512678.271423121</v>
      </c>
      <c r="AZ439" s="365"/>
      <c r="BA439" s="377">
        <f t="shared" si="183"/>
        <v>0</v>
      </c>
      <c r="BB439" s="377">
        <f t="shared" si="184"/>
        <v>0</v>
      </c>
      <c r="BC439" s="377">
        <f t="shared" si="185"/>
        <v>0</v>
      </c>
      <c r="BD439" s="377">
        <f t="shared" si="186"/>
        <v>0</v>
      </c>
      <c r="BE439" s="377">
        <f t="shared" si="187"/>
        <v>0</v>
      </c>
      <c r="BF439" s="377">
        <f t="shared" si="188"/>
        <v>0</v>
      </c>
      <c r="BG439" s="328"/>
    </row>
    <row r="440" spans="2:59">
      <c r="B440" s="332">
        <v>425</v>
      </c>
      <c r="C440" s="350">
        <v>5574770.7566802548</v>
      </c>
      <c r="D440" s="350">
        <v>34435.207310872931</v>
      </c>
      <c r="E440" s="350">
        <v>32970.502684146995</v>
      </c>
      <c r="F440" s="350">
        <v>31466.385174593706</v>
      </c>
      <c r="G440" s="350">
        <v>29922.931610440923</v>
      </c>
      <c r="H440" s="348">
        <v>5703565.7834603097</v>
      </c>
      <c r="I440" s="369"/>
      <c r="J440" s="350">
        <v>7029939.9624639088</v>
      </c>
      <c r="K440" s="350">
        <v>1507581.494291459</v>
      </c>
      <c r="L440" s="350">
        <v>1522946.8857237583</v>
      </c>
      <c r="M440" s="350">
        <v>1537084.7277295336</v>
      </c>
      <c r="N440" s="350">
        <v>1549954.0460026707</v>
      </c>
      <c r="O440" s="348">
        <v>13147507.116211331</v>
      </c>
      <c r="P440" s="369"/>
      <c r="Q440" s="350">
        <f t="shared" si="189"/>
        <v>1455169.205783654</v>
      </c>
      <c r="R440" s="350">
        <f t="shared" si="190"/>
        <v>1473146.2869805861</v>
      </c>
      <c r="S440" s="350">
        <f t="shared" si="191"/>
        <v>1489976.3830396112</v>
      </c>
      <c r="T440" s="350">
        <f t="shared" si="192"/>
        <v>1505618.3425549399</v>
      </c>
      <c r="U440" s="350">
        <f t="shared" si="193"/>
        <v>1520031.1143922298</v>
      </c>
      <c r="V440" s="350">
        <f t="shared" si="194"/>
        <v>7443941.3327510208</v>
      </c>
      <c r="W440" s="365"/>
      <c r="X440" s="377">
        <f t="shared" si="172"/>
        <v>0</v>
      </c>
      <c r="Y440" s="377">
        <f t="shared" si="173"/>
        <v>0</v>
      </c>
      <c r="Z440" s="377">
        <f t="shared" si="174"/>
        <v>0</v>
      </c>
      <c r="AA440" s="377">
        <f t="shared" si="175"/>
        <v>0</v>
      </c>
      <c r="AB440" s="377">
        <f t="shared" si="176"/>
        <v>0</v>
      </c>
      <c r="AC440" s="377">
        <f t="shared" si="177"/>
        <v>0</v>
      </c>
      <c r="AD440" s="376"/>
      <c r="AE440" s="332">
        <v>425</v>
      </c>
      <c r="AF440" s="350">
        <v>7190266.3301260453</v>
      </c>
      <c r="AG440" s="350">
        <v>44414.079520952888</v>
      </c>
      <c r="AH440" s="350">
        <v>42524.92267113908</v>
      </c>
      <c r="AI440" s="350">
        <v>40584.931601094868</v>
      </c>
      <c r="AJ440" s="350">
        <v>38594.205402867934</v>
      </c>
      <c r="AK440" s="348">
        <v>7356384.4693221003</v>
      </c>
      <c r="AL440" s="369"/>
      <c r="AM440" s="350">
        <v>9470766.5540091451</v>
      </c>
      <c r="AN440" s="350">
        <v>2353087.4790948387</v>
      </c>
      <c r="AO440" s="350">
        <v>2377573.9751093332</v>
      </c>
      <c r="AP440" s="350">
        <v>2400147.6227521598</v>
      </c>
      <c r="AQ440" s="350">
        <v>2420744.1869330062</v>
      </c>
      <c r="AR440" s="348">
        <v>19022319.817898482</v>
      </c>
      <c r="AS440" s="369"/>
      <c r="AT440" s="350">
        <f t="shared" si="195"/>
        <v>2280500.2238830999</v>
      </c>
      <c r="AU440" s="350">
        <f t="shared" si="178"/>
        <v>2308673.3995738858</v>
      </c>
      <c r="AV440" s="350">
        <f t="shared" si="179"/>
        <v>2335049.0524381939</v>
      </c>
      <c r="AW440" s="350">
        <f t="shared" si="180"/>
        <v>2359562.6911510648</v>
      </c>
      <c r="AX440" s="350">
        <f t="shared" si="181"/>
        <v>2382149.9815301383</v>
      </c>
      <c r="AY440" s="350">
        <f t="shared" si="182"/>
        <v>11665935.348576382</v>
      </c>
      <c r="AZ440" s="365"/>
      <c r="BA440" s="377">
        <f t="shared" si="183"/>
        <v>0</v>
      </c>
      <c r="BB440" s="377">
        <f t="shared" si="184"/>
        <v>0</v>
      </c>
      <c r="BC440" s="377">
        <f t="shared" si="185"/>
        <v>0</v>
      </c>
      <c r="BD440" s="377">
        <f t="shared" si="186"/>
        <v>0</v>
      </c>
      <c r="BE440" s="377">
        <f t="shared" si="187"/>
        <v>0</v>
      </c>
      <c r="BF440" s="377">
        <f t="shared" si="188"/>
        <v>0</v>
      </c>
      <c r="BG440" s="328"/>
    </row>
    <row r="441" spans="2:59">
      <c r="B441" s="332">
        <v>426</v>
      </c>
      <c r="C441" s="350">
        <v>4938479.0435378589</v>
      </c>
      <c r="D441" s="350">
        <v>30504.850708137619</v>
      </c>
      <c r="E441" s="350">
        <v>29207.324151482917</v>
      </c>
      <c r="F441" s="350">
        <v>27874.883209216569</v>
      </c>
      <c r="G441" s="350">
        <v>26507.595940569397</v>
      </c>
      <c r="H441" s="348">
        <v>5052573.6975472653</v>
      </c>
      <c r="I441" s="369"/>
      <c r="J441" s="350">
        <v>6723968.8052594624</v>
      </c>
      <c r="K441" s="350">
        <v>1838052.4558029932</v>
      </c>
      <c r="L441" s="350">
        <v>1857405.424104769</v>
      </c>
      <c r="M441" s="350">
        <v>1875265.636811906</v>
      </c>
      <c r="N441" s="350">
        <v>1891582.792322306</v>
      </c>
      <c r="O441" s="348">
        <v>14186275.114301438</v>
      </c>
      <c r="P441" s="369"/>
      <c r="Q441" s="350">
        <f t="shared" si="189"/>
        <v>1785489.7617216036</v>
      </c>
      <c r="R441" s="350">
        <f t="shared" si="190"/>
        <v>1807547.6050948554</v>
      </c>
      <c r="S441" s="350">
        <f t="shared" si="191"/>
        <v>1828198.0999532861</v>
      </c>
      <c r="T441" s="350">
        <f t="shared" si="192"/>
        <v>1847390.7536026894</v>
      </c>
      <c r="U441" s="350">
        <f t="shared" si="193"/>
        <v>1865075.1963817365</v>
      </c>
      <c r="V441" s="350">
        <f t="shared" si="194"/>
        <v>9133701.4167541713</v>
      </c>
      <c r="W441" s="365"/>
      <c r="X441" s="377">
        <f t="shared" si="172"/>
        <v>0</v>
      </c>
      <c r="Y441" s="377">
        <f t="shared" si="173"/>
        <v>0</v>
      </c>
      <c r="Z441" s="377">
        <f t="shared" si="174"/>
        <v>0</v>
      </c>
      <c r="AA441" s="377">
        <f t="shared" si="175"/>
        <v>0</v>
      </c>
      <c r="AB441" s="377">
        <f t="shared" si="176"/>
        <v>0</v>
      </c>
      <c r="AC441" s="377">
        <f t="shared" si="177"/>
        <v>0</v>
      </c>
      <c r="AD441" s="376"/>
      <c r="AE441" s="332">
        <v>426</v>
      </c>
      <c r="AF441" s="350">
        <v>6231179.5190583579</v>
      </c>
      <c r="AG441" s="350">
        <v>38489.826379480583</v>
      </c>
      <c r="AH441" s="350">
        <v>36852.658167573594</v>
      </c>
      <c r="AI441" s="350">
        <v>35171.436350771095</v>
      </c>
      <c r="AJ441" s="350">
        <v>33446.246803554823</v>
      </c>
      <c r="AK441" s="348">
        <v>6375139.6867597383</v>
      </c>
      <c r="AL441" s="369"/>
      <c r="AM441" s="350">
        <v>7819410.0240536015</v>
      </c>
      <c r="AN441" s="350">
        <v>1646341.2446226534</v>
      </c>
      <c r="AO441" s="350">
        <v>1663073.1237055266</v>
      </c>
      <c r="AP441" s="350">
        <v>1678464.1689222776</v>
      </c>
      <c r="AQ441" s="350">
        <v>1692469.6612796411</v>
      </c>
      <c r="AR441" s="348">
        <v>14499758.2225837</v>
      </c>
      <c r="AS441" s="369"/>
      <c r="AT441" s="350">
        <f t="shared" si="195"/>
        <v>1588230.5049952436</v>
      </c>
      <c r="AU441" s="350">
        <f t="shared" si="178"/>
        <v>1607851.4182431728</v>
      </c>
      <c r="AV441" s="350">
        <f t="shared" si="179"/>
        <v>1626220.465537953</v>
      </c>
      <c r="AW441" s="350">
        <f t="shared" si="180"/>
        <v>1643292.7325715066</v>
      </c>
      <c r="AX441" s="350">
        <f t="shared" si="181"/>
        <v>1659023.4144760864</v>
      </c>
      <c r="AY441" s="350">
        <f t="shared" si="182"/>
        <v>8124618.5358239617</v>
      </c>
      <c r="AZ441" s="365"/>
      <c r="BA441" s="377">
        <f t="shared" si="183"/>
        <v>0</v>
      </c>
      <c r="BB441" s="377">
        <f t="shared" si="184"/>
        <v>0</v>
      </c>
      <c r="BC441" s="377">
        <f t="shared" si="185"/>
        <v>0</v>
      </c>
      <c r="BD441" s="377">
        <f t="shared" si="186"/>
        <v>0</v>
      </c>
      <c r="BE441" s="377">
        <f t="shared" si="187"/>
        <v>0</v>
      </c>
      <c r="BF441" s="377">
        <f t="shared" si="188"/>
        <v>0</v>
      </c>
      <c r="BG441" s="328"/>
    </row>
    <row r="442" spans="2:59">
      <c r="B442" s="332">
        <v>427</v>
      </c>
      <c r="C442" s="350">
        <v>5522062.4441173915</v>
      </c>
      <c r="D442" s="350">
        <v>34109.629498020717</v>
      </c>
      <c r="E442" s="350">
        <v>32658.773352721961</v>
      </c>
      <c r="F442" s="350">
        <v>31168.876965305622</v>
      </c>
      <c r="G442" s="350">
        <v>29640.016437610877</v>
      </c>
      <c r="H442" s="348">
        <v>5649639.7403710503</v>
      </c>
      <c r="I442" s="369"/>
      <c r="J442" s="350">
        <v>6420642.0082291588</v>
      </c>
      <c r="K442" s="350">
        <v>943790.19665584853</v>
      </c>
      <c r="L442" s="350">
        <v>952732.07031858317</v>
      </c>
      <c r="M442" s="350">
        <v>960901.21915234998</v>
      </c>
      <c r="N442" s="350">
        <v>968272.36982865771</v>
      </c>
      <c r="O442" s="348">
        <v>10246337.864184599</v>
      </c>
      <c r="P442" s="369"/>
      <c r="Q442" s="350">
        <f t="shared" si="189"/>
        <v>898579.56411176734</v>
      </c>
      <c r="R442" s="350">
        <f t="shared" si="190"/>
        <v>909680.56715782778</v>
      </c>
      <c r="S442" s="350">
        <f t="shared" si="191"/>
        <v>920073.29696586123</v>
      </c>
      <c r="T442" s="350">
        <f t="shared" si="192"/>
        <v>929732.34218704433</v>
      </c>
      <c r="U442" s="350">
        <f t="shared" si="193"/>
        <v>938632.35339104687</v>
      </c>
      <c r="V442" s="350">
        <f t="shared" si="194"/>
        <v>4596698.1238135491</v>
      </c>
      <c r="W442" s="365"/>
      <c r="X442" s="377">
        <f t="shared" si="172"/>
        <v>0</v>
      </c>
      <c r="Y442" s="377">
        <f t="shared" si="173"/>
        <v>0</v>
      </c>
      <c r="Z442" s="377">
        <f t="shared" si="174"/>
        <v>0</v>
      </c>
      <c r="AA442" s="377">
        <f t="shared" si="175"/>
        <v>0</v>
      </c>
      <c r="AB442" s="377">
        <f t="shared" si="176"/>
        <v>0</v>
      </c>
      <c r="AC442" s="377">
        <f t="shared" si="177"/>
        <v>0</v>
      </c>
      <c r="AD442" s="376"/>
      <c r="AE442" s="332">
        <v>427</v>
      </c>
      <c r="AF442" s="350">
        <v>6477648.3569303108</v>
      </c>
      <c r="AG442" s="350">
        <v>40012.257686208046</v>
      </c>
      <c r="AH442" s="350">
        <v>38310.33272232936</v>
      </c>
      <c r="AI442" s="350">
        <v>36562.611651875639</v>
      </c>
      <c r="AJ442" s="350">
        <v>34769.183746013143</v>
      </c>
      <c r="AK442" s="348">
        <v>6627302.7427367372</v>
      </c>
      <c r="AL442" s="369"/>
      <c r="AM442" s="350">
        <v>9051832.9077448882</v>
      </c>
      <c r="AN442" s="350">
        <v>2645998.1443880135</v>
      </c>
      <c r="AO442" s="350">
        <v>2674068.5463065892</v>
      </c>
      <c r="AP442" s="350">
        <v>2699991.3465533685</v>
      </c>
      <c r="AQ442" s="350">
        <v>2723694.0152186216</v>
      </c>
      <c r="AR442" s="348">
        <v>19795584.960211482</v>
      </c>
      <c r="AS442" s="369"/>
      <c r="AT442" s="350">
        <f t="shared" si="195"/>
        <v>2574184.5508145774</v>
      </c>
      <c r="AU442" s="350">
        <f t="shared" si="178"/>
        <v>2605985.8867018055</v>
      </c>
      <c r="AV442" s="350">
        <f t="shared" si="179"/>
        <v>2635758.2135842596</v>
      </c>
      <c r="AW442" s="350">
        <f t="shared" si="180"/>
        <v>2663428.7349014929</v>
      </c>
      <c r="AX442" s="350">
        <f t="shared" si="181"/>
        <v>2688924.8314726083</v>
      </c>
      <c r="AY442" s="350">
        <f t="shared" si="182"/>
        <v>13168282.217474744</v>
      </c>
      <c r="AZ442" s="365"/>
      <c r="BA442" s="377">
        <f t="shared" si="183"/>
        <v>0</v>
      </c>
      <c r="BB442" s="377">
        <f t="shared" si="184"/>
        <v>0</v>
      </c>
      <c r="BC442" s="377">
        <f t="shared" si="185"/>
        <v>0</v>
      </c>
      <c r="BD442" s="377">
        <f t="shared" si="186"/>
        <v>0</v>
      </c>
      <c r="BE442" s="377">
        <f t="shared" si="187"/>
        <v>0</v>
      </c>
      <c r="BF442" s="377">
        <f t="shared" si="188"/>
        <v>0</v>
      </c>
      <c r="BG442" s="328"/>
    </row>
    <row r="443" spans="2:59">
      <c r="B443" s="332">
        <v>428</v>
      </c>
      <c r="C443" s="350">
        <v>5790778.9894572347</v>
      </c>
      <c r="D443" s="350">
        <v>35769.484288561158</v>
      </c>
      <c r="E443" s="350">
        <v>34248.026071102482</v>
      </c>
      <c r="F443" s="350">
        <v>32685.62782153067</v>
      </c>
      <c r="G443" s="350">
        <v>31082.369344976123</v>
      </c>
      <c r="H443" s="348">
        <v>5924564.4969834043</v>
      </c>
      <c r="I443" s="369"/>
      <c r="J443" s="350">
        <v>7821683.3782003429</v>
      </c>
      <c r="K443" s="350">
        <v>2091763.5553548834</v>
      </c>
      <c r="L443" s="350">
        <v>2113730.9916339498</v>
      </c>
      <c r="M443" s="350">
        <v>2133999.2671657922</v>
      </c>
      <c r="N443" s="350">
        <v>2152511.1688108002</v>
      </c>
      <c r="O443" s="348">
        <v>16313688.361165769</v>
      </c>
      <c r="P443" s="369"/>
      <c r="Q443" s="350">
        <f t="shared" si="189"/>
        <v>2030904.3887431081</v>
      </c>
      <c r="R443" s="350">
        <f t="shared" si="190"/>
        <v>2055994.0710663223</v>
      </c>
      <c r="S443" s="350">
        <f t="shared" si="191"/>
        <v>2079482.9655628472</v>
      </c>
      <c r="T443" s="350">
        <f t="shared" si="192"/>
        <v>2101313.6393442615</v>
      </c>
      <c r="U443" s="350">
        <f t="shared" si="193"/>
        <v>2121428.7994658239</v>
      </c>
      <c r="V443" s="350">
        <f t="shared" si="194"/>
        <v>10389123.864182364</v>
      </c>
      <c r="W443" s="365"/>
      <c r="X443" s="377">
        <f t="shared" si="172"/>
        <v>0</v>
      </c>
      <c r="Y443" s="377">
        <f t="shared" si="173"/>
        <v>0</v>
      </c>
      <c r="Z443" s="377">
        <f t="shared" si="174"/>
        <v>0</v>
      </c>
      <c r="AA443" s="377">
        <f t="shared" si="175"/>
        <v>0</v>
      </c>
      <c r="AB443" s="377">
        <f t="shared" si="176"/>
        <v>0</v>
      </c>
      <c r="AC443" s="377">
        <f t="shared" si="177"/>
        <v>0</v>
      </c>
      <c r="AD443" s="376"/>
      <c r="AE443" s="332">
        <v>428</v>
      </c>
      <c r="AF443" s="350">
        <v>4938102.1010795645</v>
      </c>
      <c r="AG443" s="350">
        <v>30502.522344827419</v>
      </c>
      <c r="AH443" s="350">
        <v>29205.094825314442</v>
      </c>
      <c r="AI443" s="350">
        <v>27872.755585122999</v>
      </c>
      <c r="AJ443" s="350">
        <v>26505.572678287252</v>
      </c>
      <c r="AK443" s="348">
        <v>5052188.0465131169</v>
      </c>
      <c r="AL443" s="369"/>
      <c r="AM443" s="350">
        <v>7165611.7872265307</v>
      </c>
      <c r="AN443" s="350">
        <v>2285530.7419624412</v>
      </c>
      <c r="AO443" s="350">
        <v>2309996.0929852864</v>
      </c>
      <c r="AP443" s="350">
        <v>2332607.7845782298</v>
      </c>
      <c r="AQ443" s="350">
        <v>2353303.045505547</v>
      </c>
      <c r="AR443" s="348">
        <v>16447049.452258036</v>
      </c>
      <c r="AS443" s="369"/>
      <c r="AT443" s="350">
        <f t="shared" si="195"/>
        <v>2227509.6861469662</v>
      </c>
      <c r="AU443" s="350">
        <f t="shared" si="178"/>
        <v>2255028.2196176136</v>
      </c>
      <c r="AV443" s="350">
        <f t="shared" si="179"/>
        <v>2280790.998159972</v>
      </c>
      <c r="AW443" s="350">
        <f t="shared" si="180"/>
        <v>2304735.0289931069</v>
      </c>
      <c r="AX443" s="350">
        <f t="shared" si="181"/>
        <v>2326797.4728272599</v>
      </c>
      <c r="AY443" s="350">
        <f t="shared" si="182"/>
        <v>11394861.405744918</v>
      </c>
      <c r="AZ443" s="365"/>
      <c r="BA443" s="377">
        <f t="shared" si="183"/>
        <v>0</v>
      </c>
      <c r="BB443" s="377">
        <f t="shared" si="184"/>
        <v>0</v>
      </c>
      <c r="BC443" s="377">
        <f t="shared" si="185"/>
        <v>0</v>
      </c>
      <c r="BD443" s="377">
        <f t="shared" si="186"/>
        <v>0</v>
      </c>
      <c r="BE443" s="377">
        <f t="shared" si="187"/>
        <v>0</v>
      </c>
      <c r="BF443" s="377">
        <f t="shared" si="188"/>
        <v>0</v>
      </c>
      <c r="BG443" s="328"/>
    </row>
    <row r="444" spans="2:59">
      <c r="B444" s="332">
        <v>429</v>
      </c>
      <c r="C444" s="350">
        <v>4464799.455700743</v>
      </c>
      <c r="D444" s="350">
        <v>27578.944779799232</v>
      </c>
      <c r="E444" s="350">
        <v>26405.871893828742</v>
      </c>
      <c r="F444" s="350">
        <v>25201.233473509415</v>
      </c>
      <c r="G444" s="350">
        <v>23965.091050099047</v>
      </c>
      <c r="H444" s="348">
        <v>4567950.5968979793</v>
      </c>
      <c r="I444" s="369"/>
      <c r="J444" s="350">
        <v>5517226.7422549687</v>
      </c>
      <c r="K444" s="350">
        <v>1093007.8607727536</v>
      </c>
      <c r="L444" s="350">
        <v>1104006.8791167575</v>
      </c>
      <c r="M444" s="350">
        <v>1114115.0316376416</v>
      </c>
      <c r="N444" s="350">
        <v>1123302.6903063366</v>
      </c>
      <c r="O444" s="348">
        <v>9951659.2040884569</v>
      </c>
      <c r="P444" s="369"/>
      <c r="Q444" s="350">
        <f t="shared" si="189"/>
        <v>1052427.2865542257</v>
      </c>
      <c r="R444" s="350">
        <f t="shared" si="190"/>
        <v>1065428.9159929543</v>
      </c>
      <c r="S444" s="350">
        <f t="shared" si="191"/>
        <v>1077601.0072229288</v>
      </c>
      <c r="T444" s="350">
        <f t="shared" si="192"/>
        <v>1088913.7981641323</v>
      </c>
      <c r="U444" s="350">
        <f t="shared" si="193"/>
        <v>1099337.5992562375</v>
      </c>
      <c r="V444" s="350">
        <f t="shared" si="194"/>
        <v>5383708.6071904777</v>
      </c>
      <c r="W444" s="365"/>
      <c r="X444" s="377">
        <f t="shared" si="172"/>
        <v>0</v>
      </c>
      <c r="Y444" s="377">
        <f t="shared" si="173"/>
        <v>0</v>
      </c>
      <c r="Z444" s="377">
        <f t="shared" si="174"/>
        <v>0</v>
      </c>
      <c r="AA444" s="377">
        <f t="shared" si="175"/>
        <v>0</v>
      </c>
      <c r="AB444" s="377">
        <f t="shared" si="176"/>
        <v>0</v>
      </c>
      <c r="AC444" s="377">
        <f t="shared" si="177"/>
        <v>0</v>
      </c>
      <c r="AD444" s="376"/>
      <c r="AE444" s="332">
        <v>429</v>
      </c>
      <c r="AF444" s="350">
        <v>6206020.6914092535</v>
      </c>
      <c r="AG444" s="350">
        <v>38334.4209855019</v>
      </c>
      <c r="AH444" s="350">
        <v>36703.862955940276</v>
      </c>
      <c r="AI444" s="350">
        <v>35029.429191034571</v>
      </c>
      <c r="AJ444" s="350">
        <v>33311.205218528761</v>
      </c>
      <c r="AK444" s="348">
        <v>6349399.6097602583</v>
      </c>
      <c r="AL444" s="369"/>
      <c r="AM444" s="350">
        <v>8711123.4470131826</v>
      </c>
      <c r="AN444" s="350">
        <v>2574385.0797371562</v>
      </c>
      <c r="AO444" s="350">
        <v>2601727.867107545</v>
      </c>
      <c r="AP444" s="350">
        <v>2626981.3780305511</v>
      </c>
      <c r="AQ444" s="350">
        <v>2650075.0276889526</v>
      </c>
      <c r="AR444" s="348">
        <v>19164292.799577389</v>
      </c>
      <c r="AS444" s="369"/>
      <c r="AT444" s="350">
        <f t="shared" si="195"/>
        <v>2505102.7556039291</v>
      </c>
      <c r="AU444" s="350">
        <f t="shared" si="178"/>
        <v>2536050.6587516544</v>
      </c>
      <c r="AV444" s="350">
        <f t="shared" si="179"/>
        <v>2565024.0041516046</v>
      </c>
      <c r="AW444" s="350">
        <f t="shared" si="180"/>
        <v>2591951.9488395164</v>
      </c>
      <c r="AX444" s="350">
        <f t="shared" si="181"/>
        <v>2616763.8224704238</v>
      </c>
      <c r="AY444" s="350">
        <f t="shared" si="182"/>
        <v>12814893.189817131</v>
      </c>
      <c r="AZ444" s="365"/>
      <c r="BA444" s="377">
        <f t="shared" si="183"/>
        <v>0</v>
      </c>
      <c r="BB444" s="377">
        <f t="shared" si="184"/>
        <v>0</v>
      </c>
      <c r="BC444" s="377">
        <f t="shared" si="185"/>
        <v>0</v>
      </c>
      <c r="BD444" s="377">
        <f t="shared" si="186"/>
        <v>0</v>
      </c>
      <c r="BE444" s="377">
        <f t="shared" si="187"/>
        <v>0</v>
      </c>
      <c r="BF444" s="377">
        <f t="shared" si="188"/>
        <v>0</v>
      </c>
      <c r="BG444" s="328"/>
    </row>
    <row r="445" spans="2:59">
      <c r="B445" s="332">
        <v>430</v>
      </c>
      <c r="C445" s="350">
        <v>5676293.6405971302</v>
      </c>
      <c r="D445" s="350">
        <v>35062.311403052576</v>
      </c>
      <c r="E445" s="350">
        <v>33570.93284760612</v>
      </c>
      <c r="F445" s="350">
        <v>32039.423656137784</v>
      </c>
      <c r="G445" s="350">
        <v>30467.862056002305</v>
      </c>
      <c r="H445" s="348">
        <v>5807434.1705599288</v>
      </c>
      <c r="I445" s="369"/>
      <c r="J445" s="350">
        <v>7887009.5497324951</v>
      </c>
      <c r="K445" s="350">
        <v>2273089.2846015608</v>
      </c>
      <c r="L445" s="350">
        <v>2297166.4522757102</v>
      </c>
      <c r="M445" s="350">
        <v>2319398.4536183774</v>
      </c>
      <c r="N445" s="350">
        <v>2339723.0013289638</v>
      </c>
      <c r="O445" s="348">
        <v>17116386.741557106</v>
      </c>
      <c r="P445" s="369"/>
      <c r="Q445" s="350">
        <f t="shared" si="189"/>
        <v>2210715.9091353649</v>
      </c>
      <c r="R445" s="350">
        <f t="shared" si="190"/>
        <v>2238026.9731985084</v>
      </c>
      <c r="S445" s="350">
        <f t="shared" si="191"/>
        <v>2263595.5194281042</v>
      </c>
      <c r="T445" s="350">
        <f t="shared" si="192"/>
        <v>2287359.0299622398</v>
      </c>
      <c r="U445" s="350">
        <f t="shared" si="193"/>
        <v>2309255.1392729613</v>
      </c>
      <c r="V445" s="350">
        <f t="shared" si="194"/>
        <v>11308952.570997179</v>
      </c>
      <c r="W445" s="365"/>
      <c r="X445" s="377">
        <f t="shared" si="172"/>
        <v>0</v>
      </c>
      <c r="Y445" s="377">
        <f t="shared" si="173"/>
        <v>0</v>
      </c>
      <c r="Z445" s="377">
        <f t="shared" si="174"/>
        <v>0</v>
      </c>
      <c r="AA445" s="377">
        <f t="shared" si="175"/>
        <v>0</v>
      </c>
      <c r="AB445" s="377">
        <f t="shared" si="176"/>
        <v>0</v>
      </c>
      <c r="AC445" s="377">
        <f t="shared" si="177"/>
        <v>0</v>
      </c>
      <c r="AD445" s="376"/>
      <c r="AE445" s="332">
        <v>430</v>
      </c>
      <c r="AF445" s="350">
        <v>5571879.5071825553</v>
      </c>
      <c r="AG445" s="350">
        <v>34417.348141377726</v>
      </c>
      <c r="AH445" s="350">
        <v>32953.403156024491</v>
      </c>
      <c r="AI445" s="350">
        <v>31450.065728593596</v>
      </c>
      <c r="AJ445" s="350">
        <v>29907.412647461231</v>
      </c>
      <c r="AK445" s="348">
        <v>5700607.7368560126</v>
      </c>
      <c r="AL445" s="369"/>
      <c r="AM445" s="350">
        <v>7939955.637680538</v>
      </c>
      <c r="AN445" s="350">
        <v>2431748.5623157285</v>
      </c>
      <c r="AO445" s="350">
        <v>2457673.1496006846</v>
      </c>
      <c r="AP445" s="350">
        <v>2481624.8251128108</v>
      </c>
      <c r="AQ445" s="350">
        <v>2503536.8608929738</v>
      </c>
      <c r="AR445" s="348">
        <v>17814539.035602733</v>
      </c>
      <c r="AS445" s="369"/>
      <c r="AT445" s="350">
        <f t="shared" si="195"/>
        <v>2368076.1304979827</v>
      </c>
      <c r="AU445" s="350">
        <f t="shared" si="178"/>
        <v>2397331.2141743507</v>
      </c>
      <c r="AV445" s="350">
        <f t="shared" si="179"/>
        <v>2424719.7464446602</v>
      </c>
      <c r="AW445" s="350">
        <f t="shared" si="180"/>
        <v>2450174.7593842172</v>
      </c>
      <c r="AX445" s="350">
        <f t="shared" si="181"/>
        <v>2473629.4482455128</v>
      </c>
      <c r="AY445" s="350">
        <f t="shared" si="182"/>
        <v>12113931.29874672</v>
      </c>
      <c r="AZ445" s="365"/>
      <c r="BA445" s="377">
        <f t="shared" si="183"/>
        <v>0</v>
      </c>
      <c r="BB445" s="377">
        <f t="shared" si="184"/>
        <v>0</v>
      </c>
      <c r="BC445" s="377">
        <f t="shared" si="185"/>
        <v>0</v>
      </c>
      <c r="BD445" s="377">
        <f t="shared" si="186"/>
        <v>0</v>
      </c>
      <c r="BE445" s="377">
        <f t="shared" si="187"/>
        <v>0</v>
      </c>
      <c r="BF445" s="377">
        <f t="shared" si="188"/>
        <v>0</v>
      </c>
      <c r="BG445" s="328"/>
    </row>
    <row r="446" spans="2:59">
      <c r="B446" s="332">
        <v>431</v>
      </c>
      <c r="C446" s="350">
        <v>7307711.5839332985</v>
      </c>
      <c r="D446" s="350">
        <v>45139.53565879917</v>
      </c>
      <c r="E446" s="350">
        <v>43219.521467198305</v>
      </c>
      <c r="F446" s="350">
        <v>41247.842733144462</v>
      </c>
      <c r="G446" s="350">
        <v>39224.600167250333</v>
      </c>
      <c r="H446" s="348">
        <v>7476543.0839596912</v>
      </c>
      <c r="I446" s="369"/>
      <c r="J446" s="350">
        <v>9640426.3985393457</v>
      </c>
      <c r="K446" s="350">
        <v>2406672.5821685842</v>
      </c>
      <c r="L446" s="350">
        <v>2431732.1207685731</v>
      </c>
      <c r="M446" s="350">
        <v>2454835.3477883292</v>
      </c>
      <c r="N446" s="350">
        <v>2475916.5567534016</v>
      </c>
      <c r="O446" s="348">
        <v>19409583.006018233</v>
      </c>
      <c r="P446" s="369"/>
      <c r="Q446" s="350">
        <f t="shared" si="189"/>
        <v>2332714.8146060472</v>
      </c>
      <c r="R446" s="350">
        <f t="shared" si="190"/>
        <v>2361533.0465097851</v>
      </c>
      <c r="S446" s="350">
        <f t="shared" si="191"/>
        <v>2388512.599301375</v>
      </c>
      <c r="T446" s="350">
        <f t="shared" si="192"/>
        <v>2413587.5050551849</v>
      </c>
      <c r="U446" s="350">
        <f t="shared" si="193"/>
        <v>2436691.9565861514</v>
      </c>
      <c r="V446" s="350">
        <f t="shared" si="194"/>
        <v>11933039.922058541</v>
      </c>
      <c r="W446" s="365"/>
      <c r="X446" s="377">
        <f t="shared" si="172"/>
        <v>0</v>
      </c>
      <c r="Y446" s="377">
        <f t="shared" si="173"/>
        <v>0</v>
      </c>
      <c r="Z446" s="377">
        <f t="shared" si="174"/>
        <v>0</v>
      </c>
      <c r="AA446" s="377">
        <f t="shared" si="175"/>
        <v>0</v>
      </c>
      <c r="AB446" s="377">
        <f t="shared" si="176"/>
        <v>0</v>
      </c>
      <c r="AC446" s="377">
        <f t="shared" si="177"/>
        <v>0</v>
      </c>
      <c r="AD446" s="376"/>
      <c r="AE446" s="332">
        <v>431</v>
      </c>
      <c r="AF446" s="350">
        <v>5759150.4020891702</v>
      </c>
      <c r="AG446" s="350">
        <v>35574.115364796133</v>
      </c>
      <c r="AH446" s="350">
        <v>34060.967182005377</v>
      </c>
      <c r="AI446" s="350">
        <v>32507.102576979694</v>
      </c>
      <c r="AJ446" s="350">
        <v>30912.600918961889</v>
      </c>
      <c r="AK446" s="348">
        <v>5892205.1881319135</v>
      </c>
      <c r="AL446" s="369"/>
      <c r="AM446" s="350">
        <v>8040901.2257070066</v>
      </c>
      <c r="AN446" s="350">
        <v>2345513.564514502</v>
      </c>
      <c r="AO446" s="350">
        <v>2370390.5332965404</v>
      </c>
      <c r="AP446" s="350">
        <v>2393363.7503980547</v>
      </c>
      <c r="AQ446" s="350">
        <v>2414368.9257258088</v>
      </c>
      <c r="AR446" s="348">
        <v>17564537.999641914</v>
      </c>
      <c r="AS446" s="369"/>
      <c r="AT446" s="350">
        <f t="shared" si="195"/>
        <v>2281750.8236178365</v>
      </c>
      <c r="AU446" s="350">
        <f t="shared" si="178"/>
        <v>2309939.4491497059</v>
      </c>
      <c r="AV446" s="350">
        <f t="shared" si="179"/>
        <v>2336329.5661145351</v>
      </c>
      <c r="AW446" s="350">
        <f t="shared" si="180"/>
        <v>2360856.6478210748</v>
      </c>
      <c r="AX446" s="350">
        <f t="shared" si="181"/>
        <v>2383456.3248068471</v>
      </c>
      <c r="AY446" s="350">
        <f t="shared" si="182"/>
        <v>11672332.81151</v>
      </c>
      <c r="AZ446" s="365"/>
      <c r="BA446" s="377">
        <f t="shared" si="183"/>
        <v>0</v>
      </c>
      <c r="BB446" s="377">
        <f t="shared" si="184"/>
        <v>0</v>
      </c>
      <c r="BC446" s="377">
        <f t="shared" si="185"/>
        <v>0</v>
      </c>
      <c r="BD446" s="377">
        <f t="shared" si="186"/>
        <v>0</v>
      </c>
      <c r="BE446" s="377">
        <f t="shared" si="187"/>
        <v>0</v>
      </c>
      <c r="BF446" s="377">
        <f t="shared" si="188"/>
        <v>0</v>
      </c>
      <c r="BG446" s="328"/>
    </row>
    <row r="447" spans="2:59">
      <c r="B447" s="332">
        <v>432</v>
      </c>
      <c r="C447" s="350">
        <v>7348311.5075031361</v>
      </c>
      <c r="D447" s="350">
        <v>45390.320282233792</v>
      </c>
      <c r="E447" s="350">
        <v>43459.638944211933</v>
      </c>
      <c r="F447" s="350">
        <v>41477.0060277214</v>
      </c>
      <c r="G447" s="350">
        <v>39442.522802887433</v>
      </c>
      <c r="H447" s="348">
        <v>7518080.9955601916</v>
      </c>
      <c r="I447" s="369"/>
      <c r="J447" s="350">
        <v>9621545.3489896767</v>
      </c>
      <c r="K447" s="350">
        <v>2346707.5689667771</v>
      </c>
      <c r="L447" s="350">
        <v>2371068.4994665962</v>
      </c>
      <c r="M447" s="350">
        <v>2393521.3971922342</v>
      </c>
      <c r="N447" s="350">
        <v>2414002.2342201453</v>
      </c>
      <c r="O447" s="348">
        <v>19146845.048835427</v>
      </c>
      <c r="P447" s="369"/>
      <c r="Q447" s="350">
        <f t="shared" si="189"/>
        <v>2273233.8414865406</v>
      </c>
      <c r="R447" s="350">
        <f t="shared" si="190"/>
        <v>2301317.2486845432</v>
      </c>
      <c r="S447" s="350">
        <f t="shared" si="191"/>
        <v>2327608.8605223843</v>
      </c>
      <c r="T447" s="350">
        <f t="shared" si="192"/>
        <v>2352044.3911645128</v>
      </c>
      <c r="U447" s="350">
        <f t="shared" si="193"/>
        <v>2374559.7114172578</v>
      </c>
      <c r="V447" s="350">
        <f t="shared" si="194"/>
        <v>11628764.053275235</v>
      </c>
      <c r="W447" s="365"/>
      <c r="X447" s="377">
        <f t="shared" si="172"/>
        <v>0</v>
      </c>
      <c r="Y447" s="377">
        <f t="shared" si="173"/>
        <v>0</v>
      </c>
      <c r="Z447" s="377">
        <f t="shared" si="174"/>
        <v>0</v>
      </c>
      <c r="AA447" s="377">
        <f t="shared" si="175"/>
        <v>0</v>
      </c>
      <c r="AB447" s="377">
        <f t="shared" si="176"/>
        <v>0</v>
      </c>
      <c r="AC447" s="377">
        <f t="shared" si="177"/>
        <v>0</v>
      </c>
      <c r="AD447" s="376"/>
      <c r="AE447" s="332">
        <v>432</v>
      </c>
      <c r="AF447" s="350">
        <v>5242290.9159283349</v>
      </c>
      <c r="AG447" s="350">
        <v>32381.488379155096</v>
      </c>
      <c r="AH447" s="350">
        <v>31004.138871105755</v>
      </c>
      <c r="AI447" s="350">
        <v>29589.727068186072</v>
      </c>
      <c r="AJ447" s="350">
        <v>28138.325216581619</v>
      </c>
      <c r="AK447" s="348">
        <v>5363404.5954633635</v>
      </c>
      <c r="AL447" s="369"/>
      <c r="AM447" s="350">
        <v>7389876.3522001542</v>
      </c>
      <c r="AN447" s="350">
        <v>2206498.0782871004</v>
      </c>
      <c r="AO447" s="350">
        <v>2229959.1249214122</v>
      </c>
      <c r="AP447" s="350">
        <v>2251629.6192011372</v>
      </c>
      <c r="AQ447" s="350">
        <v>2271449.0487903357</v>
      </c>
      <c r="AR447" s="348">
        <v>16349412.22340014</v>
      </c>
      <c r="AS447" s="369"/>
      <c r="AT447" s="350">
        <f t="shared" si="195"/>
        <v>2147585.4362718193</v>
      </c>
      <c r="AU447" s="350">
        <f t="shared" si="178"/>
        <v>2174116.5899079451</v>
      </c>
      <c r="AV447" s="350">
        <f t="shared" si="179"/>
        <v>2198954.9860503064</v>
      </c>
      <c r="AW447" s="350">
        <f t="shared" si="180"/>
        <v>2222039.8921329509</v>
      </c>
      <c r="AX447" s="350">
        <f t="shared" si="181"/>
        <v>2243310.7235737541</v>
      </c>
      <c r="AY447" s="350">
        <f t="shared" si="182"/>
        <v>10986007.627936777</v>
      </c>
      <c r="AZ447" s="365"/>
      <c r="BA447" s="377">
        <f t="shared" si="183"/>
        <v>0</v>
      </c>
      <c r="BB447" s="377">
        <f t="shared" si="184"/>
        <v>0</v>
      </c>
      <c r="BC447" s="377">
        <f t="shared" si="185"/>
        <v>0</v>
      </c>
      <c r="BD447" s="377">
        <f t="shared" si="186"/>
        <v>0</v>
      </c>
      <c r="BE447" s="377">
        <f t="shared" si="187"/>
        <v>0</v>
      </c>
      <c r="BF447" s="377">
        <f t="shared" si="188"/>
        <v>0</v>
      </c>
      <c r="BG447" s="328"/>
    </row>
    <row r="448" spans="2:59">
      <c r="B448" s="332">
        <v>433</v>
      </c>
      <c r="C448" s="350">
        <v>6675111.9392670402</v>
      </c>
      <c r="D448" s="350">
        <v>41231.984862605466</v>
      </c>
      <c r="E448" s="350">
        <v>39478.178694051348</v>
      </c>
      <c r="F448" s="350">
        <v>37677.180377829631</v>
      </c>
      <c r="G448" s="350">
        <v>35829.081906441941</v>
      </c>
      <c r="H448" s="348">
        <v>6829328.3651079684</v>
      </c>
      <c r="I448" s="369"/>
      <c r="J448" s="350">
        <v>8836878.2475604955</v>
      </c>
      <c r="K448" s="350">
        <v>2229704.636513602</v>
      </c>
      <c r="L448" s="350">
        <v>2252953.238643093</v>
      </c>
      <c r="M448" s="350">
        <v>2274389.579971998</v>
      </c>
      <c r="N448" s="350">
        <v>2293952.7678603977</v>
      </c>
      <c r="O448" s="348">
        <v>17887878.470549587</v>
      </c>
      <c r="P448" s="369"/>
      <c r="Q448" s="350">
        <f t="shared" si="189"/>
        <v>2161766.3082934553</v>
      </c>
      <c r="R448" s="350">
        <f t="shared" si="190"/>
        <v>2188472.6516509964</v>
      </c>
      <c r="S448" s="350">
        <f t="shared" si="191"/>
        <v>2213475.0599490418</v>
      </c>
      <c r="T448" s="350">
        <f t="shared" si="192"/>
        <v>2236712.3995941682</v>
      </c>
      <c r="U448" s="350">
        <f t="shared" si="193"/>
        <v>2258123.6859539556</v>
      </c>
      <c r="V448" s="350">
        <f t="shared" si="194"/>
        <v>11058550.105441619</v>
      </c>
      <c r="W448" s="365"/>
      <c r="X448" s="377">
        <f t="shared" si="172"/>
        <v>0</v>
      </c>
      <c r="Y448" s="377">
        <f t="shared" si="173"/>
        <v>0</v>
      </c>
      <c r="Z448" s="377">
        <f t="shared" si="174"/>
        <v>0</v>
      </c>
      <c r="AA448" s="377">
        <f t="shared" si="175"/>
        <v>0</v>
      </c>
      <c r="AB448" s="377">
        <f t="shared" si="176"/>
        <v>0</v>
      </c>
      <c r="AC448" s="377">
        <f t="shared" si="177"/>
        <v>0</v>
      </c>
      <c r="AD448" s="376"/>
      <c r="AE448" s="332">
        <v>433</v>
      </c>
      <c r="AF448" s="350">
        <v>7896063.6282190075</v>
      </c>
      <c r="AG448" s="350">
        <v>48773.770231132534</v>
      </c>
      <c r="AH448" s="350">
        <v>46699.173546540536</v>
      </c>
      <c r="AI448" s="350">
        <v>44568.752749321604</v>
      </c>
      <c r="AJ448" s="350">
        <v>42382.616658410581</v>
      </c>
      <c r="AK448" s="348">
        <v>8078487.9414044134</v>
      </c>
      <c r="AL448" s="369"/>
      <c r="AM448" s="350">
        <v>9415752.1313595381</v>
      </c>
      <c r="AN448" s="350">
        <v>1587236.4224578419</v>
      </c>
      <c r="AO448" s="350">
        <v>1602738.1346904512</v>
      </c>
      <c r="AP448" s="350">
        <v>1616943.2066644884</v>
      </c>
      <c r="AQ448" s="350">
        <v>1629808.8759392118</v>
      </c>
      <c r="AR448" s="348">
        <v>15852478.771111529</v>
      </c>
      <c r="AS448" s="369"/>
      <c r="AT448" s="350">
        <f t="shared" si="195"/>
        <v>1519688.5031405305</v>
      </c>
      <c r="AU448" s="350">
        <f t="shared" si="178"/>
        <v>1538462.6522267093</v>
      </c>
      <c r="AV448" s="350">
        <f t="shared" si="179"/>
        <v>1556038.9611439107</v>
      </c>
      <c r="AW448" s="350">
        <f t="shared" si="180"/>
        <v>1572374.4539151669</v>
      </c>
      <c r="AX448" s="350">
        <f t="shared" si="181"/>
        <v>1587426.2592808013</v>
      </c>
      <c r="AY448" s="350">
        <f t="shared" si="182"/>
        <v>7773990.8297071159</v>
      </c>
      <c r="AZ448" s="365"/>
      <c r="BA448" s="377">
        <f t="shared" si="183"/>
        <v>0</v>
      </c>
      <c r="BB448" s="377">
        <f t="shared" si="184"/>
        <v>0</v>
      </c>
      <c r="BC448" s="377">
        <f t="shared" si="185"/>
        <v>0</v>
      </c>
      <c r="BD448" s="377">
        <f t="shared" si="186"/>
        <v>0</v>
      </c>
      <c r="BE448" s="377">
        <f t="shared" si="187"/>
        <v>0</v>
      </c>
      <c r="BF448" s="377">
        <f t="shared" si="188"/>
        <v>0</v>
      </c>
      <c r="BG448" s="328"/>
    </row>
    <row r="449" spans="2:59">
      <c r="B449" s="332">
        <v>434</v>
      </c>
      <c r="C449" s="350">
        <v>5807188.4336496629</v>
      </c>
      <c r="D449" s="350">
        <v>35870.844978944377</v>
      </c>
      <c r="E449" s="350">
        <v>34345.075375442226</v>
      </c>
      <c r="F449" s="350">
        <v>32778.249727254057</v>
      </c>
      <c r="G449" s="350">
        <v>31170.448065656423</v>
      </c>
      <c r="H449" s="348">
        <v>5941353.0517969597</v>
      </c>
      <c r="I449" s="369"/>
      <c r="J449" s="350">
        <v>7305151.1887205634</v>
      </c>
      <c r="K449" s="350">
        <v>1552339.3504264047</v>
      </c>
      <c r="L449" s="350">
        <v>1568138.6155752076</v>
      </c>
      <c r="M449" s="350">
        <v>1582673.747470622</v>
      </c>
      <c r="N449" s="350">
        <v>1595902.5677797128</v>
      </c>
      <c r="O449" s="348">
        <v>13604205.46997251</v>
      </c>
      <c r="P449" s="369"/>
      <c r="Q449" s="350">
        <f t="shared" si="189"/>
        <v>1497962.7550709005</v>
      </c>
      <c r="R449" s="350">
        <f t="shared" si="190"/>
        <v>1516468.5054474603</v>
      </c>
      <c r="S449" s="350">
        <f t="shared" si="191"/>
        <v>1533793.5401997655</v>
      </c>
      <c r="T449" s="350">
        <f t="shared" si="192"/>
        <v>1549895.4977433679</v>
      </c>
      <c r="U449" s="350">
        <f t="shared" si="193"/>
        <v>1564732.1197140564</v>
      </c>
      <c r="V449" s="350">
        <f t="shared" si="194"/>
        <v>7662852.4181755502</v>
      </c>
      <c r="W449" s="365"/>
      <c r="X449" s="377">
        <f t="shared" si="172"/>
        <v>0</v>
      </c>
      <c r="Y449" s="377">
        <f t="shared" si="173"/>
        <v>0</v>
      </c>
      <c r="Z449" s="377">
        <f t="shared" si="174"/>
        <v>0</v>
      </c>
      <c r="AA449" s="377">
        <f t="shared" si="175"/>
        <v>0</v>
      </c>
      <c r="AB449" s="377">
        <f t="shared" si="176"/>
        <v>0</v>
      </c>
      <c r="AC449" s="377">
        <f t="shared" si="177"/>
        <v>0</v>
      </c>
      <c r="AD449" s="376"/>
      <c r="AE449" s="332">
        <v>434</v>
      </c>
      <c r="AF449" s="350">
        <v>5055353.4440430487</v>
      </c>
      <c r="AG449" s="350">
        <v>31226.780700668762</v>
      </c>
      <c r="AH449" s="350">
        <v>29898.546787130523</v>
      </c>
      <c r="AI449" s="350">
        <v>28534.57220161875</v>
      </c>
      <c r="AJ449" s="350">
        <v>27134.926614057749</v>
      </c>
      <c r="AK449" s="348">
        <v>5172148.2703465251</v>
      </c>
      <c r="AL449" s="369"/>
      <c r="AM449" s="350">
        <v>6475719.9087926336</v>
      </c>
      <c r="AN449" s="350">
        <v>1469140.3754779608</v>
      </c>
      <c r="AO449" s="350">
        <v>1484239.7184714526</v>
      </c>
      <c r="AP449" s="350">
        <v>1498143.6004693813</v>
      </c>
      <c r="AQ449" s="350">
        <v>1510812.021812052</v>
      </c>
      <c r="AR449" s="348">
        <v>12438055.625023479</v>
      </c>
      <c r="AS449" s="369"/>
      <c r="AT449" s="350">
        <f t="shared" si="195"/>
        <v>1420366.4647495849</v>
      </c>
      <c r="AU449" s="350">
        <f t="shared" si="178"/>
        <v>1437913.5947772921</v>
      </c>
      <c r="AV449" s="350">
        <f t="shared" si="179"/>
        <v>1454341.1716843222</v>
      </c>
      <c r="AW449" s="350">
        <f t="shared" si="180"/>
        <v>1469609.0282677626</v>
      </c>
      <c r="AX449" s="350">
        <f t="shared" si="181"/>
        <v>1483677.0951979943</v>
      </c>
      <c r="AY449" s="350">
        <f t="shared" si="182"/>
        <v>7265907.3546769535</v>
      </c>
      <c r="AZ449" s="365"/>
      <c r="BA449" s="377">
        <f t="shared" si="183"/>
        <v>0</v>
      </c>
      <c r="BB449" s="377">
        <f t="shared" si="184"/>
        <v>0</v>
      </c>
      <c r="BC449" s="377">
        <f t="shared" si="185"/>
        <v>0</v>
      </c>
      <c r="BD449" s="377">
        <f t="shared" si="186"/>
        <v>0</v>
      </c>
      <c r="BE449" s="377">
        <f t="shared" si="187"/>
        <v>0</v>
      </c>
      <c r="BF449" s="377">
        <f t="shared" si="188"/>
        <v>0</v>
      </c>
      <c r="BG449" s="328"/>
    </row>
    <row r="450" spans="2:59">
      <c r="B450" s="332">
        <v>435</v>
      </c>
      <c r="C450" s="350">
        <v>5725798.2097099042</v>
      </c>
      <c r="D450" s="350">
        <v>35368.099779765071</v>
      </c>
      <c r="E450" s="350">
        <v>33863.714488332087</v>
      </c>
      <c r="F450" s="350">
        <v>32318.848570199509</v>
      </c>
      <c r="G450" s="350">
        <v>30733.580934970669</v>
      </c>
      <c r="H450" s="348">
        <v>5858082.4534831718</v>
      </c>
      <c r="I450" s="369"/>
      <c r="J450" s="350">
        <v>7386470.6618904974</v>
      </c>
      <c r="K450" s="350">
        <v>1716556.4090824723</v>
      </c>
      <c r="L450" s="350">
        <v>1734258.9151832501</v>
      </c>
      <c r="M450" s="350">
        <v>1750565.0119998874</v>
      </c>
      <c r="N450" s="350">
        <v>1765427.9299465304</v>
      </c>
      <c r="O450" s="348">
        <v>14353278.928102639</v>
      </c>
      <c r="P450" s="369"/>
      <c r="Q450" s="350">
        <f t="shared" si="189"/>
        <v>1660672.4521805933</v>
      </c>
      <c r="R450" s="350">
        <f t="shared" si="190"/>
        <v>1681188.3093027072</v>
      </c>
      <c r="S450" s="350">
        <f t="shared" si="191"/>
        <v>1700395.2006949179</v>
      </c>
      <c r="T450" s="350">
        <f t="shared" si="192"/>
        <v>1718246.163429688</v>
      </c>
      <c r="U450" s="350">
        <f t="shared" si="193"/>
        <v>1734694.3490115597</v>
      </c>
      <c r="V450" s="350">
        <f t="shared" si="194"/>
        <v>8495196.4746194668</v>
      </c>
      <c r="W450" s="365"/>
      <c r="X450" s="377">
        <f t="shared" si="172"/>
        <v>0</v>
      </c>
      <c r="Y450" s="377">
        <f t="shared" si="173"/>
        <v>0</v>
      </c>
      <c r="Z450" s="377">
        <f t="shared" si="174"/>
        <v>0</v>
      </c>
      <c r="AA450" s="377">
        <f t="shared" si="175"/>
        <v>0</v>
      </c>
      <c r="AB450" s="377">
        <f t="shared" si="176"/>
        <v>0</v>
      </c>
      <c r="AC450" s="377">
        <f t="shared" si="177"/>
        <v>0</v>
      </c>
      <c r="AD450" s="376"/>
      <c r="AE450" s="332">
        <v>435</v>
      </c>
      <c r="AF450" s="350">
        <v>7048656.3149558725</v>
      </c>
      <c r="AG450" s="350">
        <v>43539.358309530544</v>
      </c>
      <c r="AH450" s="350">
        <v>41687.407804778799</v>
      </c>
      <c r="AI450" s="350">
        <v>39785.624243642822</v>
      </c>
      <c r="AJ450" s="350">
        <v>37834.104766583834</v>
      </c>
      <c r="AK450" s="348">
        <v>7211502.810080409</v>
      </c>
      <c r="AL450" s="369"/>
      <c r="AM450" s="350">
        <v>10030816.971673338</v>
      </c>
      <c r="AN450" s="350">
        <v>3062541.4655298125</v>
      </c>
      <c r="AO450" s="350">
        <v>3095180.3839333067</v>
      </c>
      <c r="AP450" s="350">
        <v>3125334.5537796393</v>
      </c>
      <c r="AQ450" s="350">
        <v>3152919.9437950123</v>
      </c>
      <c r="AR450" s="348">
        <v>22466793.318711109</v>
      </c>
      <c r="AS450" s="369"/>
      <c r="AT450" s="350">
        <f t="shared" si="195"/>
        <v>2982160.6567174653</v>
      </c>
      <c r="AU450" s="350">
        <f t="shared" si="178"/>
        <v>3019002.1072202818</v>
      </c>
      <c r="AV450" s="350">
        <f t="shared" si="179"/>
        <v>3053492.9761285279</v>
      </c>
      <c r="AW450" s="350">
        <f t="shared" si="180"/>
        <v>3085548.9295359966</v>
      </c>
      <c r="AX450" s="350">
        <f t="shared" si="181"/>
        <v>3115085.8390284283</v>
      </c>
      <c r="AY450" s="350">
        <f t="shared" si="182"/>
        <v>15255290.5086307</v>
      </c>
      <c r="AZ450" s="365"/>
      <c r="BA450" s="377">
        <f t="shared" si="183"/>
        <v>0</v>
      </c>
      <c r="BB450" s="377">
        <f t="shared" si="184"/>
        <v>0</v>
      </c>
      <c r="BC450" s="377">
        <f t="shared" si="185"/>
        <v>0</v>
      </c>
      <c r="BD450" s="377">
        <f t="shared" si="186"/>
        <v>0</v>
      </c>
      <c r="BE450" s="377">
        <f t="shared" si="187"/>
        <v>0</v>
      </c>
      <c r="BF450" s="377">
        <f t="shared" si="188"/>
        <v>0</v>
      </c>
      <c r="BG450" s="328"/>
    </row>
    <row r="451" spans="2:59">
      <c r="B451" s="332">
        <v>436</v>
      </c>
      <c r="C451" s="350">
        <v>6566496.147458165</v>
      </c>
      <c r="D451" s="350">
        <v>40561.068071329108</v>
      </c>
      <c r="E451" s="350">
        <v>38835.799408573614</v>
      </c>
      <c r="F451" s="350">
        <v>37064.106497258574</v>
      </c>
      <c r="G451" s="350">
        <v>35246.079832997922</v>
      </c>
      <c r="H451" s="348">
        <v>6718203.2012683246</v>
      </c>
      <c r="I451" s="369"/>
      <c r="J451" s="350">
        <v>9056237.7784560844</v>
      </c>
      <c r="K451" s="350">
        <v>2561060.8317193417</v>
      </c>
      <c r="L451" s="350">
        <v>2588131.2458165768</v>
      </c>
      <c r="M451" s="350">
        <v>2613122.3772152504</v>
      </c>
      <c r="N451" s="350">
        <v>2635964.0794119034</v>
      </c>
      <c r="O451" s="348">
        <v>19454516.312619157</v>
      </c>
      <c r="P451" s="369"/>
      <c r="Q451" s="350">
        <f t="shared" si="189"/>
        <v>2489741.6309979195</v>
      </c>
      <c r="R451" s="350">
        <f t="shared" si="190"/>
        <v>2520499.7636480127</v>
      </c>
      <c r="S451" s="350">
        <f t="shared" si="191"/>
        <v>2549295.4464080031</v>
      </c>
      <c r="T451" s="350">
        <f t="shared" si="192"/>
        <v>2576058.270717992</v>
      </c>
      <c r="U451" s="350">
        <f t="shared" si="193"/>
        <v>2600717.9995789053</v>
      </c>
      <c r="V451" s="350">
        <f t="shared" si="194"/>
        <v>12736313.111350833</v>
      </c>
      <c r="W451" s="365"/>
      <c r="X451" s="377">
        <f t="shared" si="172"/>
        <v>0</v>
      </c>
      <c r="Y451" s="377">
        <f t="shared" si="173"/>
        <v>0</v>
      </c>
      <c r="Z451" s="377">
        <f t="shared" si="174"/>
        <v>0</v>
      </c>
      <c r="AA451" s="377">
        <f t="shared" si="175"/>
        <v>0</v>
      </c>
      <c r="AB451" s="377">
        <f t="shared" si="176"/>
        <v>0</v>
      </c>
      <c r="AC451" s="377">
        <f t="shared" si="177"/>
        <v>0</v>
      </c>
      <c r="AD451" s="376"/>
      <c r="AE451" s="332">
        <v>436</v>
      </c>
      <c r="AF451" s="350">
        <v>5213352.2986072637</v>
      </c>
      <c r="AG451" s="350">
        <v>32202.735327194965</v>
      </c>
      <c r="AH451" s="350">
        <v>30832.989096216967</v>
      </c>
      <c r="AI451" s="350">
        <v>29426.385162520342</v>
      </c>
      <c r="AJ451" s="350">
        <v>27982.995373473743</v>
      </c>
      <c r="AK451" s="348">
        <v>5333797.4035666697</v>
      </c>
      <c r="AL451" s="369"/>
      <c r="AM451" s="350">
        <v>7746778.548660174</v>
      </c>
      <c r="AN451" s="350">
        <v>2596926.7954372615</v>
      </c>
      <c r="AO451" s="350">
        <v>2624857.9765330697</v>
      </c>
      <c r="AP451" s="350">
        <v>2650683.7732582781</v>
      </c>
      <c r="AQ451" s="350">
        <v>2674332.7880937159</v>
      </c>
      <c r="AR451" s="348">
        <v>18293579.881982498</v>
      </c>
      <c r="AS451" s="369"/>
      <c r="AT451" s="350">
        <f t="shared" si="195"/>
        <v>2533426.2500529103</v>
      </c>
      <c r="AU451" s="350">
        <f t="shared" si="178"/>
        <v>2564724.0601100666</v>
      </c>
      <c r="AV451" s="350">
        <f t="shared" si="179"/>
        <v>2594024.9874368529</v>
      </c>
      <c r="AW451" s="350">
        <f t="shared" si="180"/>
        <v>2621257.3880957579</v>
      </c>
      <c r="AX451" s="350">
        <f t="shared" si="181"/>
        <v>2646349.7927202419</v>
      </c>
      <c r="AY451" s="350">
        <f t="shared" si="182"/>
        <v>12959782.478415828</v>
      </c>
      <c r="AZ451" s="365"/>
      <c r="BA451" s="377">
        <f t="shared" si="183"/>
        <v>0</v>
      </c>
      <c r="BB451" s="377">
        <f t="shared" si="184"/>
        <v>0</v>
      </c>
      <c r="BC451" s="377">
        <f t="shared" si="185"/>
        <v>0</v>
      </c>
      <c r="BD451" s="377">
        <f t="shared" si="186"/>
        <v>0</v>
      </c>
      <c r="BE451" s="377">
        <f t="shared" si="187"/>
        <v>0</v>
      </c>
      <c r="BF451" s="377">
        <f t="shared" si="188"/>
        <v>0</v>
      </c>
      <c r="BG451" s="328"/>
    </row>
    <row r="452" spans="2:59">
      <c r="B452" s="332">
        <v>437</v>
      </c>
      <c r="C452" s="350">
        <v>5692457.2021314511</v>
      </c>
      <c r="D452" s="350">
        <v>35162.153282943415</v>
      </c>
      <c r="E452" s="350">
        <v>33666.527944197805</v>
      </c>
      <c r="F452" s="350">
        <v>32130.657695207905</v>
      </c>
      <c r="G452" s="350">
        <v>30554.620986096576</v>
      </c>
      <c r="H452" s="348">
        <v>5823971.1620398965</v>
      </c>
      <c r="I452" s="369"/>
      <c r="J452" s="350">
        <v>7517095.1832183599</v>
      </c>
      <c r="K452" s="350">
        <v>1882341.6127152098</v>
      </c>
      <c r="L452" s="350">
        <v>1901949.260021725</v>
      </c>
      <c r="M452" s="350">
        <v>1920026.8569330147</v>
      </c>
      <c r="N452" s="350">
        <v>1936523.007844792</v>
      </c>
      <c r="O452" s="348">
        <v>15157935.920733104</v>
      </c>
      <c r="P452" s="369"/>
      <c r="Q452" s="350">
        <f t="shared" si="189"/>
        <v>1824637.9810869088</v>
      </c>
      <c r="R452" s="350">
        <f t="shared" si="190"/>
        <v>1847179.4594322664</v>
      </c>
      <c r="S452" s="350">
        <f t="shared" si="191"/>
        <v>1868282.7320775271</v>
      </c>
      <c r="T452" s="350">
        <f t="shared" si="192"/>
        <v>1887896.1992378067</v>
      </c>
      <c r="U452" s="350">
        <f t="shared" si="193"/>
        <v>1905968.3868586954</v>
      </c>
      <c r="V452" s="350">
        <f t="shared" si="194"/>
        <v>9333964.7586932071</v>
      </c>
      <c r="W452" s="365"/>
      <c r="X452" s="377">
        <f t="shared" si="172"/>
        <v>0</v>
      </c>
      <c r="Y452" s="377">
        <f t="shared" si="173"/>
        <v>0</v>
      </c>
      <c r="Z452" s="377">
        <f t="shared" si="174"/>
        <v>0</v>
      </c>
      <c r="AA452" s="377">
        <f t="shared" si="175"/>
        <v>0</v>
      </c>
      <c r="AB452" s="377">
        <f t="shared" si="176"/>
        <v>0</v>
      </c>
      <c r="AC452" s="377">
        <f t="shared" si="177"/>
        <v>0</v>
      </c>
      <c r="AD452" s="376"/>
      <c r="AE452" s="332">
        <v>437</v>
      </c>
      <c r="AF452" s="350">
        <v>5466629.0997320432</v>
      </c>
      <c r="AG452" s="350">
        <v>33767.21923773265</v>
      </c>
      <c r="AH452" s="350">
        <v>32330.927543518483</v>
      </c>
      <c r="AI452" s="350">
        <v>30855.987513510296</v>
      </c>
      <c r="AJ452" s="350">
        <v>29342.474485594295</v>
      </c>
      <c r="AK452" s="348">
        <v>5592925.7085123984</v>
      </c>
      <c r="AL452" s="369"/>
      <c r="AM452" s="350">
        <v>7752825.138647221</v>
      </c>
      <c r="AN452" s="350">
        <v>2348206.7996327123</v>
      </c>
      <c r="AO452" s="350">
        <v>2373212.0370691172</v>
      </c>
      <c r="AP452" s="350">
        <v>2396311.9614209845</v>
      </c>
      <c r="AQ452" s="350">
        <v>2417442.1531617222</v>
      </c>
      <c r="AR452" s="348">
        <v>17287998.08993176</v>
      </c>
      <c r="AS452" s="369"/>
      <c r="AT452" s="350">
        <f t="shared" si="195"/>
        <v>2286196.0389151778</v>
      </c>
      <c r="AU452" s="350">
        <f t="shared" si="178"/>
        <v>2314439.5803949796</v>
      </c>
      <c r="AV452" s="350">
        <f t="shared" si="179"/>
        <v>2340881.1095255986</v>
      </c>
      <c r="AW452" s="350">
        <f t="shared" si="180"/>
        <v>2365455.973907474</v>
      </c>
      <c r="AX452" s="350">
        <f t="shared" si="181"/>
        <v>2388099.6786761279</v>
      </c>
      <c r="AY452" s="350">
        <f t="shared" si="182"/>
        <v>11695072.381419361</v>
      </c>
      <c r="AZ452" s="365"/>
      <c r="BA452" s="377">
        <f t="shared" si="183"/>
        <v>0</v>
      </c>
      <c r="BB452" s="377">
        <f t="shared" si="184"/>
        <v>0</v>
      </c>
      <c r="BC452" s="377">
        <f t="shared" si="185"/>
        <v>0</v>
      </c>
      <c r="BD452" s="377">
        <f t="shared" si="186"/>
        <v>0</v>
      </c>
      <c r="BE452" s="377">
        <f t="shared" si="187"/>
        <v>0</v>
      </c>
      <c r="BF452" s="377">
        <f t="shared" si="188"/>
        <v>0</v>
      </c>
      <c r="BG452" s="328"/>
    </row>
    <row r="453" spans="2:59">
      <c r="B453" s="332">
        <v>438</v>
      </c>
      <c r="C453" s="350">
        <v>5995782.2935505239</v>
      </c>
      <c r="D453" s="350">
        <v>37035.784121143755</v>
      </c>
      <c r="E453" s="350">
        <v>35460.463726903545</v>
      </c>
      <c r="F453" s="350">
        <v>33842.753954643755</v>
      </c>
      <c r="G453" s="350">
        <v>32182.737434721595</v>
      </c>
      <c r="H453" s="348">
        <v>6134304.0327879358</v>
      </c>
      <c r="I453" s="369"/>
      <c r="J453" s="350">
        <v>8381533.6157950014</v>
      </c>
      <c r="K453" s="350">
        <v>2452260.5483991737</v>
      </c>
      <c r="L453" s="350">
        <v>2478278.1867940081</v>
      </c>
      <c r="M453" s="350">
        <v>2502305.4847966991</v>
      </c>
      <c r="N453" s="350">
        <v>2524275.2216630895</v>
      </c>
      <c r="O453" s="348">
        <v>18338653.05744797</v>
      </c>
      <c r="P453" s="369"/>
      <c r="Q453" s="350">
        <f t="shared" si="189"/>
        <v>2385751.3222444775</v>
      </c>
      <c r="R453" s="350">
        <f t="shared" si="190"/>
        <v>2415224.76427803</v>
      </c>
      <c r="S453" s="350">
        <f t="shared" si="191"/>
        <v>2442817.7230671048</v>
      </c>
      <c r="T453" s="350">
        <f t="shared" si="192"/>
        <v>2468462.7308420553</v>
      </c>
      <c r="U453" s="350">
        <f t="shared" si="193"/>
        <v>2492092.4842283679</v>
      </c>
      <c r="V453" s="350">
        <f t="shared" si="194"/>
        <v>12204349.024660034</v>
      </c>
      <c r="W453" s="365"/>
      <c r="X453" s="377">
        <f t="shared" si="172"/>
        <v>0</v>
      </c>
      <c r="Y453" s="377">
        <f t="shared" si="173"/>
        <v>0</v>
      </c>
      <c r="Z453" s="377">
        <f t="shared" si="174"/>
        <v>0</v>
      </c>
      <c r="AA453" s="377">
        <f t="shared" si="175"/>
        <v>0</v>
      </c>
      <c r="AB453" s="377">
        <f t="shared" si="176"/>
        <v>0</v>
      </c>
      <c r="AC453" s="377">
        <f t="shared" si="177"/>
        <v>0</v>
      </c>
      <c r="AD453" s="376"/>
      <c r="AE453" s="332">
        <v>438</v>
      </c>
      <c r="AF453" s="350">
        <v>5865761.9663472222</v>
      </c>
      <c r="AG453" s="350">
        <v>36232.652097013663</v>
      </c>
      <c r="AH453" s="350">
        <v>34691.492995342887</v>
      </c>
      <c r="AI453" s="350">
        <v>33108.863741955043</v>
      </c>
      <c r="AJ453" s="350">
        <v>31484.845175347644</v>
      </c>
      <c r="AK453" s="348">
        <v>6001279.8203568812</v>
      </c>
      <c r="AL453" s="369"/>
      <c r="AM453" s="350">
        <v>8291109.2946262462</v>
      </c>
      <c r="AN453" s="350">
        <v>2491542.5893138419</v>
      </c>
      <c r="AO453" s="350">
        <v>2518052.34576838</v>
      </c>
      <c r="AP453" s="350">
        <v>2542540.3511661184</v>
      </c>
      <c r="AQ453" s="350">
        <v>2564938.2659456325</v>
      </c>
      <c r="AR453" s="348">
        <v>18408182.846820217</v>
      </c>
      <c r="AS453" s="369"/>
      <c r="AT453" s="350">
        <f t="shared" si="195"/>
        <v>2425347.328279024</v>
      </c>
      <c r="AU453" s="350">
        <f t="shared" si="178"/>
        <v>2455309.9372168281</v>
      </c>
      <c r="AV453" s="350">
        <f t="shared" si="179"/>
        <v>2483360.8527730373</v>
      </c>
      <c r="AW453" s="350">
        <f t="shared" si="180"/>
        <v>2509431.4874241631</v>
      </c>
      <c r="AX453" s="350">
        <f t="shared" si="181"/>
        <v>2533453.4207702847</v>
      </c>
      <c r="AY453" s="350">
        <f t="shared" si="182"/>
        <v>12406903.026463335</v>
      </c>
      <c r="AZ453" s="365"/>
      <c r="BA453" s="377">
        <f t="shared" si="183"/>
        <v>0</v>
      </c>
      <c r="BB453" s="377">
        <f t="shared" si="184"/>
        <v>0</v>
      </c>
      <c r="BC453" s="377">
        <f t="shared" si="185"/>
        <v>0</v>
      </c>
      <c r="BD453" s="377">
        <f t="shared" si="186"/>
        <v>0</v>
      </c>
      <c r="BE453" s="377">
        <f t="shared" si="187"/>
        <v>0</v>
      </c>
      <c r="BF453" s="377">
        <f t="shared" si="188"/>
        <v>0</v>
      </c>
      <c r="BG453" s="328"/>
    </row>
    <row r="454" spans="2:59">
      <c r="B454" s="332">
        <v>439</v>
      </c>
      <c r="C454" s="350">
        <v>6121288.7747812988</v>
      </c>
      <c r="D454" s="350">
        <v>37811.034241492911</v>
      </c>
      <c r="E454" s="350">
        <v>36202.738513960205</v>
      </c>
      <c r="F454" s="350">
        <v>34551.166094384796</v>
      </c>
      <c r="G454" s="350">
        <v>32856.401342790508</v>
      </c>
      <c r="H454" s="348">
        <v>6262710.1149739278</v>
      </c>
      <c r="I454" s="369"/>
      <c r="J454" s="350">
        <v>7944271.219679377</v>
      </c>
      <c r="K454" s="350">
        <v>1883314.5050809237</v>
      </c>
      <c r="L454" s="350">
        <v>1902790.334511901</v>
      </c>
      <c r="M454" s="350">
        <v>1920734.4335007865</v>
      </c>
      <c r="N454" s="350">
        <v>1937095.4590567905</v>
      </c>
      <c r="O454" s="348">
        <v>15588205.95182978</v>
      </c>
      <c r="P454" s="369"/>
      <c r="Q454" s="350">
        <f t="shared" si="189"/>
        <v>1822982.4448980782</v>
      </c>
      <c r="R454" s="350">
        <f t="shared" si="190"/>
        <v>1845503.4708394308</v>
      </c>
      <c r="S454" s="350">
        <f t="shared" si="191"/>
        <v>1866587.5959979407</v>
      </c>
      <c r="T454" s="350">
        <f t="shared" si="192"/>
        <v>1886183.2674064017</v>
      </c>
      <c r="U454" s="350">
        <f t="shared" si="193"/>
        <v>1904239.0577139999</v>
      </c>
      <c r="V454" s="350">
        <f t="shared" si="194"/>
        <v>9325495.8368558511</v>
      </c>
      <c r="W454" s="365"/>
      <c r="X454" s="377">
        <f t="shared" si="172"/>
        <v>0</v>
      </c>
      <c r="Y454" s="377">
        <f t="shared" si="173"/>
        <v>0</v>
      </c>
      <c r="Z454" s="377">
        <f t="shared" si="174"/>
        <v>0</v>
      </c>
      <c r="AA454" s="377">
        <f t="shared" si="175"/>
        <v>0</v>
      </c>
      <c r="AB454" s="377">
        <f t="shared" si="176"/>
        <v>0</v>
      </c>
      <c r="AC454" s="377">
        <f t="shared" si="177"/>
        <v>0</v>
      </c>
      <c r="AD454" s="376"/>
      <c r="AE454" s="332">
        <v>439</v>
      </c>
      <c r="AF454" s="350">
        <v>6959843.4690215001</v>
      </c>
      <c r="AG454" s="350">
        <v>42990.763776213884</v>
      </c>
      <c r="AH454" s="350">
        <v>41162.147789062728</v>
      </c>
      <c r="AI454" s="350">
        <v>39284.32664045837</v>
      </c>
      <c r="AJ454" s="350">
        <v>37357.396246894816</v>
      </c>
      <c r="AK454" s="348">
        <v>7120638.1034741309</v>
      </c>
      <c r="AL454" s="369"/>
      <c r="AM454" s="350">
        <v>9738419.9849113207</v>
      </c>
      <c r="AN454" s="350">
        <v>2855893.6627694583</v>
      </c>
      <c r="AO454" s="350">
        <v>2886201.3162167566</v>
      </c>
      <c r="AP454" s="350">
        <v>2914191.0741778845</v>
      </c>
      <c r="AQ454" s="350">
        <v>2939784.6473771739</v>
      </c>
      <c r="AR454" s="348">
        <v>21334490.685452592</v>
      </c>
      <c r="AS454" s="369"/>
      <c r="AT454" s="350">
        <f t="shared" si="195"/>
        <v>2778576.5158898206</v>
      </c>
      <c r="AU454" s="350">
        <f t="shared" si="178"/>
        <v>2812902.8989932444</v>
      </c>
      <c r="AV454" s="350">
        <f t="shared" si="179"/>
        <v>2845039.1684276937</v>
      </c>
      <c r="AW454" s="350">
        <f t="shared" si="180"/>
        <v>2874906.7475374262</v>
      </c>
      <c r="AX454" s="350">
        <f t="shared" si="181"/>
        <v>2902427.2511302792</v>
      </c>
      <c r="AY454" s="350">
        <f t="shared" si="182"/>
        <v>14213852.581978461</v>
      </c>
      <c r="AZ454" s="365"/>
      <c r="BA454" s="377">
        <f t="shared" si="183"/>
        <v>0</v>
      </c>
      <c r="BB454" s="377">
        <f t="shared" si="184"/>
        <v>0</v>
      </c>
      <c r="BC454" s="377">
        <f t="shared" si="185"/>
        <v>0</v>
      </c>
      <c r="BD454" s="377">
        <f t="shared" si="186"/>
        <v>0</v>
      </c>
      <c r="BE454" s="377">
        <f t="shared" si="187"/>
        <v>0</v>
      </c>
      <c r="BF454" s="377">
        <f t="shared" si="188"/>
        <v>0</v>
      </c>
      <c r="BG454" s="328"/>
    </row>
    <row r="455" spans="2:59">
      <c r="B455" s="332">
        <v>440</v>
      </c>
      <c r="C455" s="350">
        <v>6408875.3661134858</v>
      </c>
      <c r="D455" s="350">
        <v>39587.448792796058</v>
      </c>
      <c r="E455" s="350">
        <v>37903.593113243434</v>
      </c>
      <c r="F455" s="350">
        <v>36174.42754295007</v>
      </c>
      <c r="G455" s="350">
        <v>34400.040405292959</v>
      </c>
      <c r="H455" s="348">
        <v>6556940.875967768</v>
      </c>
      <c r="I455" s="369"/>
      <c r="J455" s="350">
        <v>8275193.5674420502</v>
      </c>
      <c r="K455" s="350">
        <v>1928962.0436398881</v>
      </c>
      <c r="L455" s="350">
        <v>1948863.5228342654</v>
      </c>
      <c r="M455" s="350">
        <v>1967195.8550141107</v>
      </c>
      <c r="N455" s="350">
        <v>1983906.4786261427</v>
      </c>
      <c r="O455" s="348">
        <v>16104121.467556458</v>
      </c>
      <c r="P455" s="369"/>
      <c r="Q455" s="350">
        <f t="shared" si="189"/>
        <v>1866318.2013285644</v>
      </c>
      <c r="R455" s="350">
        <f t="shared" si="190"/>
        <v>1889374.5948470919</v>
      </c>
      <c r="S455" s="350">
        <f t="shared" si="191"/>
        <v>1910959.929721022</v>
      </c>
      <c r="T455" s="350">
        <f t="shared" si="192"/>
        <v>1931021.4274711607</v>
      </c>
      <c r="U455" s="350">
        <f t="shared" si="193"/>
        <v>1949506.4382208497</v>
      </c>
      <c r="V455" s="350">
        <f t="shared" si="194"/>
        <v>9547180.5915886909</v>
      </c>
      <c r="W455" s="365"/>
      <c r="X455" s="377">
        <f t="shared" si="172"/>
        <v>0</v>
      </c>
      <c r="Y455" s="377">
        <f t="shared" si="173"/>
        <v>0</v>
      </c>
      <c r="Z455" s="377">
        <f t="shared" si="174"/>
        <v>0</v>
      </c>
      <c r="AA455" s="377">
        <f t="shared" si="175"/>
        <v>0</v>
      </c>
      <c r="AB455" s="377">
        <f t="shared" si="176"/>
        <v>0</v>
      </c>
      <c r="AC455" s="377">
        <f t="shared" si="177"/>
        <v>0</v>
      </c>
      <c r="AD455" s="376"/>
      <c r="AE455" s="332">
        <v>440</v>
      </c>
      <c r="AF455" s="350">
        <v>11254590.315275865</v>
      </c>
      <c r="AG455" s="350">
        <v>69519.298213483577</v>
      </c>
      <c r="AH455" s="350">
        <v>66562.288638348778</v>
      </c>
      <c r="AI455" s="350">
        <v>63525.71061659282</v>
      </c>
      <c r="AJ455" s="350">
        <v>60409.719252397277</v>
      </c>
      <c r="AK455" s="348">
        <v>11514607.331996687</v>
      </c>
      <c r="AL455" s="369"/>
      <c r="AM455" s="350">
        <v>14023012.426437054</v>
      </c>
      <c r="AN455" s="350">
        <v>2872142.3455145489</v>
      </c>
      <c r="AO455" s="350">
        <v>2901204.1622570618</v>
      </c>
      <c r="AP455" s="350">
        <v>2927926.0112361051</v>
      </c>
      <c r="AQ455" s="350">
        <v>2952229.9488251098</v>
      </c>
      <c r="AR455" s="348">
        <v>25676514.894269876</v>
      </c>
      <c r="AS455" s="369"/>
      <c r="AT455" s="350">
        <f t="shared" si="195"/>
        <v>2768422.1111611892</v>
      </c>
      <c r="AU455" s="350">
        <f t="shared" si="178"/>
        <v>2802623.0473010652</v>
      </c>
      <c r="AV455" s="350">
        <f t="shared" si="179"/>
        <v>2834641.8736187131</v>
      </c>
      <c r="AW455" s="350">
        <f t="shared" si="180"/>
        <v>2864400.3006195123</v>
      </c>
      <c r="AX455" s="350">
        <f t="shared" si="181"/>
        <v>2891820.2295727124</v>
      </c>
      <c r="AY455" s="350">
        <f t="shared" si="182"/>
        <v>14161907.562273189</v>
      </c>
      <c r="AZ455" s="365"/>
      <c r="BA455" s="377">
        <f t="shared" si="183"/>
        <v>0</v>
      </c>
      <c r="BB455" s="377">
        <f t="shared" si="184"/>
        <v>0</v>
      </c>
      <c r="BC455" s="377">
        <f t="shared" si="185"/>
        <v>0</v>
      </c>
      <c r="BD455" s="377">
        <f t="shared" si="186"/>
        <v>0</v>
      </c>
      <c r="BE455" s="377">
        <f t="shared" si="187"/>
        <v>0</v>
      </c>
      <c r="BF455" s="377">
        <f t="shared" si="188"/>
        <v>0</v>
      </c>
      <c r="BG455" s="328"/>
    </row>
    <row r="456" spans="2:59">
      <c r="B456" s="332">
        <v>441</v>
      </c>
      <c r="C456" s="350">
        <v>5354233.4846580299</v>
      </c>
      <c r="D456" s="350">
        <v>33072.954580972473</v>
      </c>
      <c r="E456" s="350">
        <v>31666.193496104861</v>
      </c>
      <c r="F456" s="350">
        <v>30221.578697396442</v>
      </c>
      <c r="G456" s="350">
        <v>28739.18397375695</v>
      </c>
      <c r="H456" s="348">
        <v>5477933.3954062611</v>
      </c>
      <c r="I456" s="369"/>
      <c r="J456" s="350">
        <v>7288890.9021766018</v>
      </c>
      <c r="K456" s="350">
        <v>1991631.0245767555</v>
      </c>
      <c r="L456" s="350">
        <v>2012599.9913788787</v>
      </c>
      <c r="M456" s="350">
        <v>2031951.4688013217</v>
      </c>
      <c r="N456" s="350">
        <v>2049630.9528689517</v>
      </c>
      <c r="O456" s="348">
        <v>15374704.339802509</v>
      </c>
      <c r="P456" s="369"/>
      <c r="Q456" s="350">
        <f t="shared" si="189"/>
        <v>1934657.417518572</v>
      </c>
      <c r="R456" s="350">
        <f t="shared" si="190"/>
        <v>1958558.069995783</v>
      </c>
      <c r="S456" s="350">
        <f t="shared" si="191"/>
        <v>1980933.7978827739</v>
      </c>
      <c r="T456" s="350">
        <f t="shared" si="192"/>
        <v>2001729.8901039253</v>
      </c>
      <c r="U456" s="350">
        <f t="shared" si="193"/>
        <v>2020891.7688951949</v>
      </c>
      <c r="V456" s="350">
        <f t="shared" si="194"/>
        <v>9896770.9443962481</v>
      </c>
      <c r="W456" s="365"/>
      <c r="X456" s="377">
        <f t="shared" si="172"/>
        <v>0</v>
      </c>
      <c r="Y456" s="377">
        <f t="shared" si="173"/>
        <v>0</v>
      </c>
      <c r="Z456" s="377">
        <f t="shared" si="174"/>
        <v>0</v>
      </c>
      <c r="AA456" s="377">
        <f t="shared" si="175"/>
        <v>0</v>
      </c>
      <c r="AB456" s="377">
        <f t="shared" si="176"/>
        <v>0</v>
      </c>
      <c r="AC456" s="377">
        <f t="shared" si="177"/>
        <v>0</v>
      </c>
      <c r="AD456" s="376"/>
      <c r="AE456" s="332">
        <v>441</v>
      </c>
      <c r="AF456" s="350">
        <v>4608063.250475144</v>
      </c>
      <c r="AG456" s="350">
        <v>28463.881342848039</v>
      </c>
      <c r="AH456" s="350">
        <v>27253.167600919751</v>
      </c>
      <c r="AI456" s="350">
        <v>26009.875468795824</v>
      </c>
      <c r="AJ456" s="350">
        <v>24734.068452110685</v>
      </c>
      <c r="AK456" s="348">
        <v>4714524.243339818</v>
      </c>
      <c r="AL456" s="369"/>
      <c r="AM456" s="350">
        <v>6496858.137556362</v>
      </c>
      <c r="AN456" s="350">
        <v>1940592.8376954948</v>
      </c>
      <c r="AO456" s="350">
        <v>1961227.4181358698</v>
      </c>
      <c r="AP456" s="350">
        <v>1980287.2309891032</v>
      </c>
      <c r="AQ456" s="350">
        <v>1997719.0558043341</v>
      </c>
      <c r="AR456" s="348">
        <v>14376684.680181164</v>
      </c>
      <c r="AS456" s="369"/>
      <c r="AT456" s="350">
        <f t="shared" si="195"/>
        <v>1888794.887081218</v>
      </c>
      <c r="AU456" s="350">
        <f t="shared" si="178"/>
        <v>1912128.9563526467</v>
      </c>
      <c r="AV456" s="350">
        <f t="shared" si="179"/>
        <v>1933974.2505349501</v>
      </c>
      <c r="AW456" s="350">
        <f t="shared" si="180"/>
        <v>1954277.3555203073</v>
      </c>
      <c r="AX456" s="350">
        <f t="shared" si="181"/>
        <v>1972984.9873522234</v>
      </c>
      <c r="AY456" s="350">
        <f t="shared" si="182"/>
        <v>9662160.4368413463</v>
      </c>
      <c r="AZ456" s="365"/>
      <c r="BA456" s="377">
        <f t="shared" si="183"/>
        <v>0</v>
      </c>
      <c r="BB456" s="377">
        <f t="shared" si="184"/>
        <v>0</v>
      </c>
      <c r="BC456" s="377">
        <f t="shared" si="185"/>
        <v>0</v>
      </c>
      <c r="BD456" s="377">
        <f t="shared" si="186"/>
        <v>0</v>
      </c>
      <c r="BE456" s="377">
        <f t="shared" si="187"/>
        <v>0</v>
      </c>
      <c r="BF456" s="377">
        <f t="shared" si="188"/>
        <v>0</v>
      </c>
      <c r="BG456" s="328"/>
    </row>
    <row r="457" spans="2:59">
      <c r="B457" s="332">
        <v>442</v>
      </c>
      <c r="C457" s="350">
        <v>5904817.3448918704</v>
      </c>
      <c r="D457" s="350">
        <v>36473.896107842105</v>
      </c>
      <c r="E457" s="350">
        <v>34922.475670566782</v>
      </c>
      <c r="F457" s="350">
        <v>33329.308965277363</v>
      </c>
      <c r="G457" s="350">
        <v>31694.477368708369</v>
      </c>
      <c r="H457" s="348">
        <v>6041237.503004265</v>
      </c>
      <c r="I457" s="369"/>
      <c r="J457" s="350">
        <v>7713049.0962532274</v>
      </c>
      <c r="K457" s="350">
        <v>1867044.4441451391</v>
      </c>
      <c r="L457" s="350">
        <v>1886406.5463081452</v>
      </c>
      <c r="M457" s="350">
        <v>1904250.4923019921</v>
      </c>
      <c r="N457" s="350">
        <v>1920525.3522778715</v>
      </c>
      <c r="O457" s="348">
        <v>15291275.931286376</v>
      </c>
      <c r="P457" s="369"/>
      <c r="Q457" s="350">
        <f t="shared" si="189"/>
        <v>1808231.751361357</v>
      </c>
      <c r="R457" s="350">
        <f t="shared" si="190"/>
        <v>1830570.5480372969</v>
      </c>
      <c r="S457" s="350">
        <f t="shared" si="191"/>
        <v>1851484.0706375784</v>
      </c>
      <c r="T457" s="350">
        <f t="shared" si="192"/>
        <v>1870921.1833367147</v>
      </c>
      <c r="U457" s="350">
        <f t="shared" si="193"/>
        <v>1888830.874909163</v>
      </c>
      <c r="V457" s="350">
        <f t="shared" si="194"/>
        <v>9250038.4282821119</v>
      </c>
      <c r="W457" s="365"/>
      <c r="X457" s="377">
        <f t="shared" si="172"/>
        <v>0</v>
      </c>
      <c r="Y457" s="377">
        <f t="shared" si="173"/>
        <v>0</v>
      </c>
      <c r="Z457" s="377">
        <f t="shared" si="174"/>
        <v>0</v>
      </c>
      <c r="AA457" s="377">
        <f t="shared" si="175"/>
        <v>0</v>
      </c>
      <c r="AB457" s="377">
        <f t="shared" si="176"/>
        <v>0</v>
      </c>
      <c r="AC457" s="377">
        <f t="shared" si="177"/>
        <v>0</v>
      </c>
      <c r="AD457" s="376"/>
      <c r="AE457" s="332">
        <v>442</v>
      </c>
      <c r="AF457" s="350">
        <v>6479437.8245624043</v>
      </c>
      <c r="AG457" s="350">
        <v>40023.311179091965</v>
      </c>
      <c r="AH457" s="350">
        <v>38320.916053903849</v>
      </c>
      <c r="AI457" s="350">
        <v>36572.71217084433</v>
      </c>
      <c r="AJ457" s="350">
        <v>34778.788825739262</v>
      </c>
      <c r="AK457" s="348">
        <v>6629133.5527919838</v>
      </c>
      <c r="AL457" s="369"/>
      <c r="AM457" s="350">
        <v>8561206.0047439709</v>
      </c>
      <c r="AN457" s="350">
        <v>2147509.5421959609</v>
      </c>
      <c r="AO457" s="350">
        <v>2169884.3185129836</v>
      </c>
      <c r="AP457" s="350">
        <v>2190513.5353898425</v>
      </c>
      <c r="AQ457" s="350">
        <v>2209338.5542817209</v>
      </c>
      <c r="AR457" s="348">
        <v>17278451.955124479</v>
      </c>
      <c r="AS457" s="369"/>
      <c r="AT457" s="350">
        <f t="shared" si="195"/>
        <v>2081768.1801815666</v>
      </c>
      <c r="AU457" s="350">
        <f t="shared" si="178"/>
        <v>2107486.2310168687</v>
      </c>
      <c r="AV457" s="350">
        <f t="shared" si="179"/>
        <v>2131563.4024590799</v>
      </c>
      <c r="AW457" s="350">
        <f t="shared" si="180"/>
        <v>2153940.823218998</v>
      </c>
      <c r="AX457" s="350">
        <f t="shared" si="181"/>
        <v>2174559.7654559817</v>
      </c>
      <c r="AY457" s="350">
        <f t="shared" si="182"/>
        <v>10649318.402332496</v>
      </c>
      <c r="AZ457" s="365"/>
      <c r="BA457" s="377">
        <f t="shared" si="183"/>
        <v>0</v>
      </c>
      <c r="BB457" s="377">
        <f t="shared" si="184"/>
        <v>0</v>
      </c>
      <c r="BC457" s="377">
        <f t="shared" si="185"/>
        <v>0</v>
      </c>
      <c r="BD457" s="377">
        <f t="shared" si="186"/>
        <v>0</v>
      </c>
      <c r="BE457" s="377">
        <f t="shared" si="187"/>
        <v>0</v>
      </c>
      <c r="BF457" s="377">
        <f t="shared" si="188"/>
        <v>0</v>
      </c>
      <c r="BG457" s="328"/>
    </row>
    <row r="458" spans="2:59">
      <c r="B458" s="332">
        <v>443</v>
      </c>
      <c r="C458" s="350">
        <v>6630379.9906090209</v>
      </c>
      <c r="D458" s="350">
        <v>40955.676832608755</v>
      </c>
      <c r="E458" s="350">
        <v>39213.623450854568</v>
      </c>
      <c r="F458" s="350">
        <v>37424.694170322953</v>
      </c>
      <c r="G458" s="350">
        <v>35588.98036703805</v>
      </c>
      <c r="H458" s="348">
        <v>6783562.9654298462</v>
      </c>
      <c r="I458" s="369"/>
      <c r="J458" s="350">
        <v>9444137.250359796</v>
      </c>
      <c r="K458" s="350">
        <v>2889473.9406823865</v>
      </c>
      <c r="L458" s="350">
        <v>2920275.0477662124</v>
      </c>
      <c r="M458" s="350">
        <v>2948731.863769494</v>
      </c>
      <c r="N458" s="350">
        <v>2974765.1024077013</v>
      </c>
      <c r="O458" s="348">
        <v>21177383.204985589</v>
      </c>
      <c r="P458" s="369"/>
      <c r="Q458" s="350">
        <f t="shared" si="189"/>
        <v>2813757.2597507751</v>
      </c>
      <c r="R458" s="350">
        <f t="shared" si="190"/>
        <v>2848518.2638497776</v>
      </c>
      <c r="S458" s="350">
        <f t="shared" si="191"/>
        <v>2881061.4243153576</v>
      </c>
      <c r="T458" s="350">
        <f t="shared" si="192"/>
        <v>2911307.1695991713</v>
      </c>
      <c r="U458" s="350">
        <f t="shared" si="193"/>
        <v>2939176.1220406634</v>
      </c>
      <c r="V458" s="350">
        <f t="shared" si="194"/>
        <v>14393820.239555743</v>
      </c>
      <c r="W458" s="365"/>
      <c r="X458" s="377">
        <f t="shared" si="172"/>
        <v>0</v>
      </c>
      <c r="Y458" s="377">
        <f t="shared" si="173"/>
        <v>0</v>
      </c>
      <c r="Z458" s="377">
        <f t="shared" si="174"/>
        <v>0</v>
      </c>
      <c r="AA458" s="377">
        <f t="shared" si="175"/>
        <v>0</v>
      </c>
      <c r="AB458" s="377">
        <f t="shared" si="176"/>
        <v>0</v>
      </c>
      <c r="AC458" s="377">
        <f t="shared" si="177"/>
        <v>0</v>
      </c>
      <c r="AD458" s="376"/>
      <c r="AE458" s="332">
        <v>443</v>
      </c>
      <c r="AF458" s="350">
        <v>4887209.6191574605</v>
      </c>
      <c r="AG458" s="350">
        <v>30188.160868447398</v>
      </c>
      <c r="AH458" s="350">
        <v>28904.104742483931</v>
      </c>
      <c r="AI458" s="350">
        <v>27585.49669887378</v>
      </c>
      <c r="AJ458" s="350">
        <v>26232.404090285036</v>
      </c>
      <c r="AK458" s="348">
        <v>5000119.7855575513</v>
      </c>
      <c r="AL458" s="369"/>
      <c r="AM458" s="350">
        <v>6379379.3302958691</v>
      </c>
      <c r="AN458" s="350">
        <v>1540792.0554338542</v>
      </c>
      <c r="AO458" s="350">
        <v>1556766.0332705502</v>
      </c>
      <c r="AP458" s="350">
        <v>1571487.1119649878</v>
      </c>
      <c r="AQ458" s="350">
        <v>1584913.2639306213</v>
      </c>
      <c r="AR458" s="348">
        <v>12633337.794895882</v>
      </c>
      <c r="AS458" s="369"/>
      <c r="AT458" s="350">
        <f t="shared" si="195"/>
        <v>1492169.7111384086</v>
      </c>
      <c r="AU458" s="350">
        <f t="shared" si="178"/>
        <v>1510603.8945654067</v>
      </c>
      <c r="AV458" s="350">
        <f t="shared" si="179"/>
        <v>1527861.9285280663</v>
      </c>
      <c r="AW458" s="350">
        <f t="shared" si="180"/>
        <v>1543901.615266114</v>
      </c>
      <c r="AX458" s="350">
        <f t="shared" si="181"/>
        <v>1558680.8598403363</v>
      </c>
      <c r="AY458" s="350">
        <f t="shared" si="182"/>
        <v>7633218.0093383305</v>
      </c>
      <c r="AZ458" s="365"/>
      <c r="BA458" s="377">
        <f t="shared" si="183"/>
        <v>0</v>
      </c>
      <c r="BB458" s="377">
        <f t="shared" si="184"/>
        <v>0</v>
      </c>
      <c r="BC458" s="377">
        <f t="shared" si="185"/>
        <v>0</v>
      </c>
      <c r="BD458" s="377">
        <f t="shared" si="186"/>
        <v>0</v>
      </c>
      <c r="BE458" s="377">
        <f t="shared" si="187"/>
        <v>0</v>
      </c>
      <c r="BF458" s="377">
        <f t="shared" si="188"/>
        <v>0</v>
      </c>
      <c r="BG458" s="328"/>
    </row>
    <row r="459" spans="2:59">
      <c r="B459" s="332">
        <v>444</v>
      </c>
      <c r="C459" s="350">
        <v>5803415.0336577278</v>
      </c>
      <c r="D459" s="350">
        <v>35847.536789842728</v>
      </c>
      <c r="E459" s="350">
        <v>34322.758602252266</v>
      </c>
      <c r="F459" s="350">
        <v>32756.951047409362</v>
      </c>
      <c r="G459" s="350">
        <v>31150.194104583166</v>
      </c>
      <c r="H459" s="348">
        <v>5937492.4742018152</v>
      </c>
      <c r="I459" s="369"/>
      <c r="J459" s="350">
        <v>7865888.4544657953</v>
      </c>
      <c r="K459" s="350">
        <v>2123800.6420256807</v>
      </c>
      <c r="L459" s="350">
        <v>2146129.8772775074</v>
      </c>
      <c r="M459" s="350">
        <v>2166734.0865299865</v>
      </c>
      <c r="N459" s="350">
        <v>2185555.1662376551</v>
      </c>
      <c r="O459" s="348">
        <v>16488108.226536624</v>
      </c>
      <c r="P459" s="369"/>
      <c r="Q459" s="350">
        <f t="shared" si="189"/>
        <v>2062473.4208080675</v>
      </c>
      <c r="R459" s="350">
        <f t="shared" si="190"/>
        <v>2087953.1052358381</v>
      </c>
      <c r="S459" s="350">
        <f t="shared" si="191"/>
        <v>2111807.1186752552</v>
      </c>
      <c r="T459" s="350">
        <f t="shared" si="192"/>
        <v>2133977.1354825771</v>
      </c>
      <c r="U459" s="350">
        <f t="shared" si="193"/>
        <v>2154404.9721330721</v>
      </c>
      <c r="V459" s="350">
        <f t="shared" si="194"/>
        <v>10550615.752334809</v>
      </c>
      <c r="W459" s="365"/>
      <c r="X459" s="377">
        <f t="shared" si="172"/>
        <v>0</v>
      </c>
      <c r="Y459" s="377">
        <f t="shared" si="173"/>
        <v>0</v>
      </c>
      <c r="Z459" s="377">
        <f t="shared" si="174"/>
        <v>0</v>
      </c>
      <c r="AA459" s="377">
        <f t="shared" si="175"/>
        <v>0</v>
      </c>
      <c r="AB459" s="377">
        <f t="shared" si="176"/>
        <v>0</v>
      </c>
      <c r="AC459" s="377">
        <f t="shared" si="177"/>
        <v>0</v>
      </c>
      <c r="AD459" s="376"/>
      <c r="AE459" s="332">
        <v>444</v>
      </c>
      <c r="AF459" s="350">
        <v>4834379.808002416</v>
      </c>
      <c r="AG459" s="350">
        <v>29861.832562096406</v>
      </c>
      <c r="AH459" s="350">
        <v>28591.656839867228</v>
      </c>
      <c r="AI459" s="350">
        <v>27287.302699684031</v>
      </c>
      <c r="AJ459" s="350">
        <v>25948.836766141496</v>
      </c>
      <c r="AK459" s="348">
        <v>4946069.4368702052</v>
      </c>
      <c r="AL459" s="369"/>
      <c r="AM459" s="350">
        <v>6702701.4742591595</v>
      </c>
      <c r="AN459" s="350">
        <v>1921264.6430340894</v>
      </c>
      <c r="AO459" s="350">
        <v>1941602.9737228544</v>
      </c>
      <c r="AP459" s="350">
        <v>1960381.6530533147</v>
      </c>
      <c r="AQ459" s="350">
        <v>1977548.0412545332</v>
      </c>
      <c r="AR459" s="348">
        <v>14503498.785323953</v>
      </c>
      <c r="AS459" s="369"/>
      <c r="AT459" s="350">
        <f t="shared" si="195"/>
        <v>1868321.6662567435</v>
      </c>
      <c r="AU459" s="350">
        <f t="shared" si="178"/>
        <v>1891402.8104719929</v>
      </c>
      <c r="AV459" s="350">
        <f t="shared" si="179"/>
        <v>1913011.3168829873</v>
      </c>
      <c r="AW459" s="350">
        <f t="shared" si="180"/>
        <v>1933094.3503536307</v>
      </c>
      <c r="AX459" s="350">
        <f t="shared" si="181"/>
        <v>1951599.2044883918</v>
      </c>
      <c r="AY459" s="350">
        <f t="shared" si="182"/>
        <v>9557429.348453749</v>
      </c>
      <c r="AZ459" s="365"/>
      <c r="BA459" s="377">
        <f t="shared" si="183"/>
        <v>0</v>
      </c>
      <c r="BB459" s="377">
        <f t="shared" si="184"/>
        <v>0</v>
      </c>
      <c r="BC459" s="377">
        <f t="shared" si="185"/>
        <v>0</v>
      </c>
      <c r="BD459" s="377">
        <f t="shared" si="186"/>
        <v>0</v>
      </c>
      <c r="BE459" s="377">
        <f t="shared" si="187"/>
        <v>0</v>
      </c>
      <c r="BF459" s="377">
        <f t="shared" si="188"/>
        <v>0</v>
      </c>
      <c r="BG459" s="328"/>
    </row>
    <row r="460" spans="2:59">
      <c r="B460" s="332">
        <v>445</v>
      </c>
      <c r="C460" s="350">
        <v>5184912.8010048931</v>
      </c>
      <c r="D460" s="350">
        <v>32027.065324156742</v>
      </c>
      <c r="E460" s="350">
        <v>30664.791232492698</v>
      </c>
      <c r="F460" s="350">
        <v>29265.860501544605</v>
      </c>
      <c r="G460" s="350">
        <v>27830.344586754847</v>
      </c>
      <c r="H460" s="348">
        <v>5304700.8626498422</v>
      </c>
      <c r="I460" s="369"/>
      <c r="J460" s="350">
        <v>6613179.7306519654</v>
      </c>
      <c r="K460" s="350">
        <v>1477938.7269124389</v>
      </c>
      <c r="L460" s="350">
        <v>1493095.4043821138</v>
      </c>
      <c r="M460" s="350">
        <v>1507049.2542087957</v>
      </c>
      <c r="N460" s="350">
        <v>1519760.0556418013</v>
      </c>
      <c r="O460" s="348">
        <v>12611023.171797115</v>
      </c>
      <c r="P460" s="369"/>
      <c r="Q460" s="350">
        <f t="shared" si="189"/>
        <v>1428266.9296470722</v>
      </c>
      <c r="R460" s="350">
        <f t="shared" si="190"/>
        <v>1445911.6615882821</v>
      </c>
      <c r="S460" s="350">
        <f t="shared" si="191"/>
        <v>1462430.6131496211</v>
      </c>
      <c r="T460" s="350">
        <f t="shared" si="192"/>
        <v>1477783.3937072512</v>
      </c>
      <c r="U460" s="350">
        <f t="shared" si="193"/>
        <v>1491929.7110550464</v>
      </c>
      <c r="V460" s="350">
        <f t="shared" si="194"/>
        <v>7306322.3091472732</v>
      </c>
      <c r="W460" s="365"/>
      <c r="X460" s="377">
        <f t="shared" si="172"/>
        <v>0</v>
      </c>
      <c r="Y460" s="377">
        <f t="shared" si="173"/>
        <v>0</v>
      </c>
      <c r="Z460" s="377">
        <f t="shared" si="174"/>
        <v>0</v>
      </c>
      <c r="AA460" s="377">
        <f t="shared" si="175"/>
        <v>0</v>
      </c>
      <c r="AB460" s="377">
        <f t="shared" si="176"/>
        <v>0</v>
      </c>
      <c r="AC460" s="377">
        <f t="shared" si="177"/>
        <v>0</v>
      </c>
      <c r="AD460" s="376"/>
      <c r="AE460" s="332">
        <v>445</v>
      </c>
      <c r="AF460" s="350">
        <v>4870609.621508277</v>
      </c>
      <c r="AG460" s="350">
        <v>30085.623134545436</v>
      </c>
      <c r="AH460" s="350">
        <v>28805.928460275605</v>
      </c>
      <c r="AI460" s="350">
        <v>27491.799228121847</v>
      </c>
      <c r="AJ460" s="350">
        <v>26143.302561976729</v>
      </c>
      <c r="AK460" s="348">
        <v>4983136.2748931963</v>
      </c>
      <c r="AL460" s="369"/>
      <c r="AM460" s="350">
        <v>6587662.6420684317</v>
      </c>
      <c r="AN460" s="350">
        <v>1768351.0232910784</v>
      </c>
      <c r="AO460" s="350">
        <v>1786930.3025145587</v>
      </c>
      <c r="AP460" s="350">
        <v>1804073.1841417095</v>
      </c>
      <c r="AQ460" s="350">
        <v>1819731.2962737065</v>
      </c>
      <c r="AR460" s="348">
        <v>13766748.448289486</v>
      </c>
      <c r="AS460" s="369"/>
      <c r="AT460" s="350">
        <f t="shared" si="195"/>
        <v>1717053.0205601547</v>
      </c>
      <c r="AU460" s="350">
        <f t="shared" si="178"/>
        <v>1738265.4001565329</v>
      </c>
      <c r="AV460" s="350">
        <f t="shared" si="179"/>
        <v>1758124.3740542831</v>
      </c>
      <c r="AW460" s="350">
        <f t="shared" si="180"/>
        <v>1776581.3849135877</v>
      </c>
      <c r="AX460" s="350">
        <f t="shared" si="181"/>
        <v>1793587.9937117298</v>
      </c>
      <c r="AY460" s="350">
        <f t="shared" si="182"/>
        <v>8783612.1733962893</v>
      </c>
      <c r="AZ460" s="365"/>
      <c r="BA460" s="377">
        <f t="shared" si="183"/>
        <v>0</v>
      </c>
      <c r="BB460" s="377">
        <f t="shared" si="184"/>
        <v>0</v>
      </c>
      <c r="BC460" s="377">
        <f t="shared" si="185"/>
        <v>0</v>
      </c>
      <c r="BD460" s="377">
        <f t="shared" si="186"/>
        <v>0</v>
      </c>
      <c r="BE460" s="377">
        <f t="shared" si="187"/>
        <v>0</v>
      </c>
      <c r="BF460" s="377">
        <f t="shared" si="188"/>
        <v>0</v>
      </c>
      <c r="BG460" s="328"/>
    </row>
    <row r="461" spans="2:59">
      <c r="B461" s="332">
        <v>446</v>
      </c>
      <c r="C461" s="350">
        <v>5171596.6130203325</v>
      </c>
      <c r="D461" s="350">
        <v>31944.811593223119</v>
      </c>
      <c r="E461" s="350">
        <v>30586.036171369571</v>
      </c>
      <c r="F461" s="350">
        <v>29190.698253900315</v>
      </c>
      <c r="G461" s="350">
        <v>27758.869112735694</v>
      </c>
      <c r="H461" s="348">
        <v>5291077.0281515615</v>
      </c>
      <c r="I461" s="369"/>
      <c r="J461" s="350">
        <v>6713354.1724982597</v>
      </c>
      <c r="K461" s="350">
        <v>1592749.1600786115</v>
      </c>
      <c r="L461" s="350">
        <v>1609221.9383500405</v>
      </c>
      <c r="M461" s="350">
        <v>1624399.3187336149</v>
      </c>
      <c r="N461" s="350">
        <v>1638237.8786611946</v>
      </c>
      <c r="O461" s="348">
        <v>13177962.46832172</v>
      </c>
      <c r="P461" s="369"/>
      <c r="Q461" s="350">
        <f t="shared" si="189"/>
        <v>1541757.5594779272</v>
      </c>
      <c r="R461" s="350">
        <f t="shared" si="190"/>
        <v>1560804.3484853883</v>
      </c>
      <c r="S461" s="350">
        <f t="shared" si="191"/>
        <v>1578635.902178671</v>
      </c>
      <c r="T461" s="350">
        <f t="shared" si="192"/>
        <v>1595208.6204797146</v>
      </c>
      <c r="U461" s="350">
        <f t="shared" si="193"/>
        <v>1610479.009548459</v>
      </c>
      <c r="V461" s="350">
        <f t="shared" si="194"/>
        <v>7886885.4401701586</v>
      </c>
      <c r="W461" s="365"/>
      <c r="X461" s="377">
        <f t="shared" si="172"/>
        <v>0</v>
      </c>
      <c r="Y461" s="377">
        <f t="shared" si="173"/>
        <v>0</v>
      </c>
      <c r="Z461" s="377">
        <f t="shared" si="174"/>
        <v>0</v>
      </c>
      <c r="AA461" s="377">
        <f t="shared" si="175"/>
        <v>0</v>
      </c>
      <c r="AB461" s="377">
        <f t="shared" si="176"/>
        <v>0</v>
      </c>
      <c r="AC461" s="377">
        <f t="shared" si="177"/>
        <v>0</v>
      </c>
      <c r="AD461" s="376"/>
      <c r="AE461" s="332">
        <v>446</v>
      </c>
      <c r="AF461" s="350">
        <v>4833969.8888029885</v>
      </c>
      <c r="AG461" s="350">
        <v>29859.300502353362</v>
      </c>
      <c r="AH461" s="350">
        <v>28589.232481512568</v>
      </c>
      <c r="AI461" s="350">
        <v>27284.988940789332</v>
      </c>
      <c r="AJ461" s="350">
        <v>25946.636499133205</v>
      </c>
      <c r="AK461" s="348">
        <v>4945650.0472267764</v>
      </c>
      <c r="AL461" s="369"/>
      <c r="AM461" s="350">
        <v>6411900.4211841933</v>
      </c>
      <c r="AN461" s="350">
        <v>1627283.5008302047</v>
      </c>
      <c r="AO461" s="350">
        <v>1644263.3533882874</v>
      </c>
      <c r="AP461" s="350">
        <v>1659920.6600283985</v>
      </c>
      <c r="AQ461" s="350">
        <v>1674210.973069706</v>
      </c>
      <c r="AR461" s="348">
        <v>13017578.908500791</v>
      </c>
      <c r="AS461" s="369"/>
      <c r="AT461" s="350">
        <f t="shared" si="195"/>
        <v>1577930.5323812049</v>
      </c>
      <c r="AU461" s="350">
        <f t="shared" si="178"/>
        <v>1597424.2003278513</v>
      </c>
      <c r="AV461" s="350">
        <f t="shared" si="179"/>
        <v>1615674.1209067749</v>
      </c>
      <c r="AW461" s="350">
        <f t="shared" si="180"/>
        <v>1632635.6710876091</v>
      </c>
      <c r="AX461" s="350">
        <f t="shared" si="181"/>
        <v>1648264.3365705728</v>
      </c>
      <c r="AY461" s="350">
        <f t="shared" si="182"/>
        <v>8071928.8612740142</v>
      </c>
      <c r="AZ461" s="365"/>
      <c r="BA461" s="377">
        <f t="shared" si="183"/>
        <v>0</v>
      </c>
      <c r="BB461" s="377">
        <f t="shared" si="184"/>
        <v>0</v>
      </c>
      <c r="BC461" s="377">
        <f t="shared" si="185"/>
        <v>0</v>
      </c>
      <c r="BD461" s="377">
        <f t="shared" si="186"/>
        <v>0</v>
      </c>
      <c r="BE461" s="377">
        <f t="shared" si="187"/>
        <v>0</v>
      </c>
      <c r="BF461" s="377">
        <f t="shared" si="188"/>
        <v>0</v>
      </c>
      <c r="BG461" s="328"/>
    </row>
    <row r="462" spans="2:59">
      <c r="B462" s="332">
        <v>447</v>
      </c>
      <c r="C462" s="350">
        <v>5618711.7360015465</v>
      </c>
      <c r="D462" s="350">
        <v>34706.629544792195</v>
      </c>
      <c r="E462" s="350">
        <v>33230.379949041257</v>
      </c>
      <c r="F462" s="350">
        <v>31714.406813620622</v>
      </c>
      <c r="G462" s="350">
        <v>30158.787572330184</v>
      </c>
      <c r="H462" s="348">
        <v>5748521.9398813304</v>
      </c>
      <c r="I462" s="369"/>
      <c r="J462" s="350">
        <v>8475231.7373548914</v>
      </c>
      <c r="K462" s="350">
        <v>2926515.9235803094</v>
      </c>
      <c r="L462" s="350">
        <v>2958077.416830014</v>
      </c>
      <c r="M462" s="350">
        <v>2987266.8558475617</v>
      </c>
      <c r="N462" s="350">
        <v>3014003.7340454208</v>
      </c>
      <c r="O462" s="348">
        <v>20361095.667658199</v>
      </c>
      <c r="P462" s="369"/>
      <c r="Q462" s="350">
        <f t="shared" si="189"/>
        <v>2856520.0013533449</v>
      </c>
      <c r="R462" s="350">
        <f t="shared" si="190"/>
        <v>2891809.2940355171</v>
      </c>
      <c r="S462" s="350">
        <f t="shared" si="191"/>
        <v>2924847.0368809728</v>
      </c>
      <c r="T462" s="350">
        <f t="shared" si="192"/>
        <v>2955552.4490339411</v>
      </c>
      <c r="U462" s="350">
        <f t="shared" si="193"/>
        <v>2983844.9464730904</v>
      </c>
      <c r="V462" s="350">
        <f t="shared" si="194"/>
        <v>14612573.727776868</v>
      </c>
      <c r="W462" s="365"/>
      <c r="X462" s="377">
        <f t="shared" si="172"/>
        <v>0</v>
      </c>
      <c r="Y462" s="377">
        <f t="shared" si="173"/>
        <v>0</v>
      </c>
      <c r="Z462" s="377">
        <f t="shared" si="174"/>
        <v>0</v>
      </c>
      <c r="AA462" s="377">
        <f t="shared" si="175"/>
        <v>0</v>
      </c>
      <c r="AB462" s="377">
        <f t="shared" si="176"/>
        <v>0</v>
      </c>
      <c r="AC462" s="377">
        <f t="shared" si="177"/>
        <v>0</v>
      </c>
      <c r="AD462" s="376"/>
      <c r="AE462" s="332">
        <v>447</v>
      </c>
      <c r="AF462" s="350">
        <v>5158007.1352969985</v>
      </c>
      <c r="AG462" s="350">
        <v>31860.869759006437</v>
      </c>
      <c r="AH462" s="350">
        <v>30505.664810589278</v>
      </c>
      <c r="AI462" s="350">
        <v>29113.993442342289</v>
      </c>
      <c r="AJ462" s="350">
        <v>27685.926738909438</v>
      </c>
      <c r="AK462" s="348">
        <v>5277173.5900478465</v>
      </c>
      <c r="AL462" s="369"/>
      <c r="AM462" s="350">
        <v>7156399.727973504</v>
      </c>
      <c r="AN462" s="350">
        <v>2054941.4957989871</v>
      </c>
      <c r="AO462" s="350">
        <v>2076699.1626490632</v>
      </c>
      <c r="AP462" s="350">
        <v>2096788.6880420849</v>
      </c>
      <c r="AQ462" s="350">
        <v>2115153.7672938448</v>
      </c>
      <c r="AR462" s="348">
        <v>15499982.841757484</v>
      </c>
      <c r="AS462" s="369"/>
      <c r="AT462" s="350">
        <f t="shared" si="195"/>
        <v>1998392.5926765054</v>
      </c>
      <c r="AU462" s="350">
        <f t="shared" si="178"/>
        <v>2023080.6260399807</v>
      </c>
      <c r="AV462" s="350">
        <f t="shared" si="179"/>
        <v>2046193.4978384739</v>
      </c>
      <c r="AW462" s="350">
        <f t="shared" si="180"/>
        <v>2067674.6945997425</v>
      </c>
      <c r="AX462" s="350">
        <f t="shared" si="181"/>
        <v>2087467.8405549354</v>
      </c>
      <c r="AY462" s="350">
        <f t="shared" si="182"/>
        <v>10222809.251709636</v>
      </c>
      <c r="AZ462" s="365"/>
      <c r="BA462" s="377">
        <f t="shared" si="183"/>
        <v>0</v>
      </c>
      <c r="BB462" s="377">
        <f t="shared" si="184"/>
        <v>0</v>
      </c>
      <c r="BC462" s="377">
        <f t="shared" si="185"/>
        <v>0</v>
      </c>
      <c r="BD462" s="377">
        <f t="shared" si="186"/>
        <v>0</v>
      </c>
      <c r="BE462" s="377">
        <f t="shared" si="187"/>
        <v>0</v>
      </c>
      <c r="BF462" s="377">
        <f t="shared" si="188"/>
        <v>0</v>
      </c>
      <c r="BG462" s="328"/>
    </row>
    <row r="463" spans="2:59">
      <c r="B463" s="332">
        <v>448</v>
      </c>
      <c r="C463" s="350">
        <v>6033343.4206206882</v>
      </c>
      <c r="D463" s="350">
        <v>37267.798181261729</v>
      </c>
      <c r="E463" s="350">
        <v>35682.609048199571</v>
      </c>
      <c r="F463" s="350">
        <v>34054.764984973292</v>
      </c>
      <c r="G463" s="350">
        <v>32384.349139595903</v>
      </c>
      <c r="H463" s="348">
        <v>6172732.94197472</v>
      </c>
      <c r="I463" s="369"/>
      <c r="J463" s="350">
        <v>8045154.9589120634</v>
      </c>
      <c r="K463" s="350">
        <v>2073933.1467601552</v>
      </c>
      <c r="L463" s="350">
        <v>2095616.0293451629</v>
      </c>
      <c r="M463" s="350">
        <v>2115613.6254777228</v>
      </c>
      <c r="N463" s="350">
        <v>2133869.2639810606</v>
      </c>
      <c r="O463" s="348">
        <v>16464187.024476165</v>
      </c>
      <c r="P463" s="369"/>
      <c r="Q463" s="350">
        <f t="shared" si="189"/>
        <v>2011811.5382913752</v>
      </c>
      <c r="R463" s="350">
        <f t="shared" si="190"/>
        <v>2036665.3485788936</v>
      </c>
      <c r="S463" s="350">
        <f t="shared" si="191"/>
        <v>2059933.4202969633</v>
      </c>
      <c r="T463" s="350">
        <f t="shared" si="192"/>
        <v>2081558.8604927496</v>
      </c>
      <c r="U463" s="350">
        <f t="shared" si="193"/>
        <v>2101484.9148414647</v>
      </c>
      <c r="V463" s="350">
        <f t="shared" si="194"/>
        <v>10291454.082501445</v>
      </c>
      <c r="W463" s="365"/>
      <c r="X463" s="377">
        <f t="shared" si="172"/>
        <v>0</v>
      </c>
      <c r="Y463" s="377">
        <f t="shared" si="173"/>
        <v>0</v>
      </c>
      <c r="Z463" s="377">
        <f t="shared" si="174"/>
        <v>0</v>
      </c>
      <c r="AA463" s="377">
        <f t="shared" si="175"/>
        <v>0</v>
      </c>
      <c r="AB463" s="377">
        <f t="shared" si="176"/>
        <v>0</v>
      </c>
      <c r="AC463" s="377">
        <f t="shared" si="177"/>
        <v>0</v>
      </c>
      <c r="AD463" s="376"/>
      <c r="AE463" s="332">
        <v>448</v>
      </c>
      <c r="AF463" s="350">
        <v>8244214.714842503</v>
      </c>
      <c r="AG463" s="350">
        <v>50924.29002228695</v>
      </c>
      <c r="AH463" s="350">
        <v>48758.220785794343</v>
      </c>
      <c r="AI463" s="350">
        <v>46533.866055104983</v>
      </c>
      <c r="AJ463" s="350">
        <v>44251.339447172017</v>
      </c>
      <c r="AK463" s="348">
        <v>8434682.4311528616</v>
      </c>
      <c r="AL463" s="369"/>
      <c r="AM463" s="350">
        <v>10247890.605558049</v>
      </c>
      <c r="AN463" s="350">
        <v>2079353.4836778345</v>
      </c>
      <c r="AO463" s="350">
        <v>2100361.3914454347</v>
      </c>
      <c r="AP463" s="350">
        <v>2119675.0249018534</v>
      </c>
      <c r="AQ463" s="350">
        <v>2137237.9728504075</v>
      </c>
      <c r="AR463" s="348">
        <v>18684518.478433579</v>
      </c>
      <c r="AS463" s="369"/>
      <c r="AT463" s="350">
        <f t="shared" si="195"/>
        <v>2003675.890715546</v>
      </c>
      <c r="AU463" s="350">
        <f t="shared" si="178"/>
        <v>2028429.1936555475</v>
      </c>
      <c r="AV463" s="350">
        <f t="shared" si="179"/>
        <v>2051603.1706596403</v>
      </c>
      <c r="AW463" s="350">
        <f t="shared" si="180"/>
        <v>2073141.1588467485</v>
      </c>
      <c r="AX463" s="350">
        <f t="shared" si="181"/>
        <v>2092986.6334032353</v>
      </c>
      <c r="AY463" s="350">
        <f t="shared" si="182"/>
        <v>10249836.047280718</v>
      </c>
      <c r="AZ463" s="365"/>
      <c r="BA463" s="377">
        <f t="shared" si="183"/>
        <v>0</v>
      </c>
      <c r="BB463" s="377">
        <f t="shared" si="184"/>
        <v>0</v>
      </c>
      <c r="BC463" s="377">
        <f t="shared" si="185"/>
        <v>0</v>
      </c>
      <c r="BD463" s="377">
        <f t="shared" si="186"/>
        <v>0</v>
      </c>
      <c r="BE463" s="377">
        <f t="shared" si="187"/>
        <v>0</v>
      </c>
      <c r="BF463" s="377">
        <f t="shared" si="188"/>
        <v>0</v>
      </c>
      <c r="BG463" s="328"/>
    </row>
    <row r="464" spans="2:59">
      <c r="B464" s="332">
        <v>449</v>
      </c>
      <c r="C464" s="350">
        <v>7046806.560322728</v>
      </c>
      <c r="D464" s="350">
        <v>43527.932425480467</v>
      </c>
      <c r="E464" s="350">
        <v>41676.467921731753</v>
      </c>
      <c r="F464" s="350">
        <v>39775.183439112312</v>
      </c>
      <c r="G464" s="350">
        <v>37824.176092601338</v>
      </c>
      <c r="H464" s="348">
        <v>7209610.320201654</v>
      </c>
      <c r="I464" s="369"/>
      <c r="J464" s="350">
        <v>9263249.5514524318</v>
      </c>
      <c r="K464" s="350">
        <v>2287352.7396776923</v>
      </c>
      <c r="L464" s="350">
        <v>2311136.0592951342</v>
      </c>
      <c r="M464" s="350">
        <v>2333059.8471116563</v>
      </c>
      <c r="N464" s="350">
        <v>2353061.6731501264</v>
      </c>
      <c r="O464" s="348">
        <v>18547859.870687041</v>
      </c>
      <c r="P464" s="369"/>
      <c r="Q464" s="350">
        <f t="shared" si="189"/>
        <v>2216442.9911297038</v>
      </c>
      <c r="R464" s="350">
        <f t="shared" si="190"/>
        <v>2243824.807252212</v>
      </c>
      <c r="S464" s="350">
        <f t="shared" si="191"/>
        <v>2269459.5913734026</v>
      </c>
      <c r="T464" s="350">
        <f t="shared" si="192"/>
        <v>2293284.6636725441</v>
      </c>
      <c r="U464" s="350">
        <f t="shared" si="193"/>
        <v>2315237.497057525</v>
      </c>
      <c r="V464" s="350">
        <f t="shared" si="194"/>
        <v>11338249.550485387</v>
      </c>
      <c r="W464" s="365"/>
      <c r="X464" s="377">
        <f t="shared" ref="X464:X527" si="196">IF(Q464&lt;Q$8,1,0)</f>
        <v>0</v>
      </c>
      <c r="Y464" s="377">
        <f t="shared" ref="Y464:Y527" si="197">IF(R464&lt;R$8,1,0)</f>
        <v>0</v>
      </c>
      <c r="Z464" s="377">
        <f t="shared" ref="Z464:Z527" si="198">IF(S464&lt;S$8,1,0)</f>
        <v>0</v>
      </c>
      <c r="AA464" s="377">
        <f t="shared" ref="AA464:AA527" si="199">IF(T464&lt;T$8,1,0)</f>
        <v>0</v>
      </c>
      <c r="AB464" s="377">
        <f t="shared" ref="AB464:AB527" si="200">IF(U464&lt;U$8,1,0)</f>
        <v>0</v>
      </c>
      <c r="AC464" s="377">
        <f t="shared" ref="AC464:AC527" si="201">IF(V464&lt;V$8,1,0)</f>
        <v>0</v>
      </c>
      <c r="AD464" s="376"/>
      <c r="AE464" s="332">
        <v>449</v>
      </c>
      <c r="AF464" s="350">
        <v>5992116.821163469</v>
      </c>
      <c r="AG464" s="350">
        <v>37013.142597921877</v>
      </c>
      <c r="AH464" s="350">
        <v>35438.785262901001</v>
      </c>
      <c r="AI464" s="350">
        <v>33822.064464255571</v>
      </c>
      <c r="AJ464" s="350">
        <v>32163.062781836099</v>
      </c>
      <c r="AK464" s="348">
        <v>6130553.8762703836</v>
      </c>
      <c r="AL464" s="369"/>
      <c r="AM464" s="350">
        <v>7996709.8325152537</v>
      </c>
      <c r="AN464" s="350">
        <v>2066370.7869481519</v>
      </c>
      <c r="AO464" s="350">
        <v>2087981.0137880899</v>
      </c>
      <c r="AP464" s="350">
        <v>2107912.1395241637</v>
      </c>
      <c r="AQ464" s="350">
        <v>2126107.6960501028</v>
      </c>
      <c r="AR464" s="348">
        <v>16385081.468825761</v>
      </c>
      <c r="AS464" s="369"/>
      <c r="AT464" s="350">
        <f t="shared" si="195"/>
        <v>2004593.0113517847</v>
      </c>
      <c r="AU464" s="350">
        <f t="shared" ref="AU464:AU527" si="202">AN464-AG464</f>
        <v>2029357.64435023</v>
      </c>
      <c r="AV464" s="350">
        <f t="shared" ref="AV464:AV527" si="203">AO464-AH464</f>
        <v>2052542.2285251888</v>
      </c>
      <c r="AW464" s="350">
        <f t="shared" ref="AW464:AW527" si="204">AP464-AI464</f>
        <v>2074090.0750599082</v>
      </c>
      <c r="AX464" s="350">
        <f t="shared" ref="AX464:AX527" si="205">AQ464-AJ464</f>
        <v>2093944.6332682667</v>
      </c>
      <c r="AY464" s="350">
        <f t="shared" ref="AY464:AY527" si="206">AR464-AK464</f>
        <v>10254527.592555378</v>
      </c>
      <c r="AZ464" s="365"/>
      <c r="BA464" s="377">
        <f t="shared" ref="BA464:BA527" si="207">IF(AT464&lt;AT$8,1,0)</f>
        <v>0</v>
      </c>
      <c r="BB464" s="377">
        <f t="shared" ref="BB464:BB527" si="208">IF(AU464&lt;AU$8,1,0)</f>
        <v>0</v>
      </c>
      <c r="BC464" s="377">
        <f t="shared" ref="BC464:BC527" si="209">IF(AV464&lt;AV$8,1,0)</f>
        <v>0</v>
      </c>
      <c r="BD464" s="377">
        <f t="shared" ref="BD464:BD527" si="210">IF(AW464&lt;AW$8,1,0)</f>
        <v>0</v>
      </c>
      <c r="BE464" s="377">
        <f t="shared" ref="BE464:BE527" si="211">IF(AX464&lt;AX$8,1,0)</f>
        <v>0</v>
      </c>
      <c r="BF464" s="377">
        <f t="shared" ref="BF464:BF527" si="212">IF(AY464&lt;AY$8,1,0)</f>
        <v>0</v>
      </c>
      <c r="BG464" s="328"/>
    </row>
    <row r="465" spans="2:59">
      <c r="B465" s="332">
        <v>450</v>
      </c>
      <c r="C465" s="350">
        <v>6471038.0310875447</v>
      </c>
      <c r="D465" s="350">
        <v>39971.425883301614</v>
      </c>
      <c r="E465" s="350">
        <v>38271.237703814724</v>
      </c>
      <c r="F465" s="350">
        <v>36525.300151875497</v>
      </c>
      <c r="G465" s="350">
        <v>34733.702407542085</v>
      </c>
      <c r="H465" s="348">
        <v>6620539.6972340783</v>
      </c>
      <c r="I465" s="369"/>
      <c r="J465" s="350">
        <v>8018932.468704788</v>
      </c>
      <c r="K465" s="350">
        <v>1606988.4671666492</v>
      </c>
      <c r="L465" s="350">
        <v>1623190.8101641464</v>
      </c>
      <c r="M465" s="350">
        <v>1638083.5576743847</v>
      </c>
      <c r="N465" s="350">
        <v>1651623.1319126068</v>
      </c>
      <c r="O465" s="348">
        <v>14538818.435622577</v>
      </c>
      <c r="P465" s="369"/>
      <c r="Q465" s="350">
        <f t="shared" ref="Q465:Q528" si="213">J465-C465</f>
        <v>1547894.4376172433</v>
      </c>
      <c r="R465" s="350">
        <f t="shared" ref="R465:R528" si="214">K465-D465</f>
        <v>1567017.0412833476</v>
      </c>
      <c r="S465" s="350">
        <f t="shared" ref="S465:S528" si="215">L465-E465</f>
        <v>1584919.5724603317</v>
      </c>
      <c r="T465" s="350">
        <f t="shared" ref="T465:T528" si="216">M465-F465</f>
        <v>1601558.2575225092</v>
      </c>
      <c r="U465" s="350">
        <f t="shared" ref="U465:U528" si="217">N465-G465</f>
        <v>1616889.4295050646</v>
      </c>
      <c r="V465" s="350">
        <f t="shared" ref="V465:V528" si="218">O465-H465</f>
        <v>7918278.7383884983</v>
      </c>
      <c r="W465" s="365"/>
      <c r="X465" s="377">
        <f t="shared" si="196"/>
        <v>0</v>
      </c>
      <c r="Y465" s="377">
        <f t="shared" si="197"/>
        <v>0</v>
      </c>
      <c r="Z465" s="377">
        <f t="shared" si="198"/>
        <v>0</v>
      </c>
      <c r="AA465" s="377">
        <f t="shared" si="199"/>
        <v>0</v>
      </c>
      <c r="AB465" s="377">
        <f t="shared" si="200"/>
        <v>0</v>
      </c>
      <c r="AC465" s="377">
        <f t="shared" si="201"/>
        <v>0</v>
      </c>
      <c r="AD465" s="376"/>
      <c r="AE465" s="332">
        <v>450</v>
      </c>
      <c r="AF465" s="350">
        <v>6391435.4481574697</v>
      </c>
      <c r="AG465" s="350">
        <v>39479.722894008155</v>
      </c>
      <c r="AH465" s="350">
        <v>37800.449345207344</v>
      </c>
      <c r="AI465" s="350">
        <v>36075.989203550613</v>
      </c>
      <c r="AJ465" s="350">
        <v>34306.430552071288</v>
      </c>
      <c r="AK465" s="348">
        <v>6539098.0401523076</v>
      </c>
      <c r="AL465" s="369"/>
      <c r="AM465" s="350">
        <v>7765322.6744310539</v>
      </c>
      <c r="AN465" s="350">
        <v>1430339.8772119589</v>
      </c>
      <c r="AO465" s="350">
        <v>1444550.6141860257</v>
      </c>
      <c r="AP465" s="350">
        <v>1457594.3942507864</v>
      </c>
      <c r="AQ465" s="350">
        <v>1469432.5473648882</v>
      </c>
      <c r="AR465" s="348">
        <v>13567240.107444713</v>
      </c>
      <c r="AS465" s="369"/>
      <c r="AT465" s="350">
        <f t="shared" ref="AT465:AT528" si="219">AM465-AF465</f>
        <v>1373887.2262735842</v>
      </c>
      <c r="AU465" s="350">
        <f t="shared" si="202"/>
        <v>1390860.1543179508</v>
      </c>
      <c r="AV465" s="350">
        <f t="shared" si="203"/>
        <v>1406750.1648408184</v>
      </c>
      <c r="AW465" s="350">
        <f t="shared" si="204"/>
        <v>1421518.4050472358</v>
      </c>
      <c r="AX465" s="350">
        <f t="shared" si="205"/>
        <v>1435126.1168128171</v>
      </c>
      <c r="AY465" s="350">
        <f t="shared" si="206"/>
        <v>7028142.0672924053</v>
      </c>
      <c r="AZ465" s="365"/>
      <c r="BA465" s="377">
        <f t="shared" si="207"/>
        <v>0</v>
      </c>
      <c r="BB465" s="377">
        <f t="shared" si="208"/>
        <v>0</v>
      </c>
      <c r="BC465" s="377">
        <f t="shared" si="209"/>
        <v>0</v>
      </c>
      <c r="BD465" s="377">
        <f t="shared" si="210"/>
        <v>0</v>
      </c>
      <c r="BE465" s="377">
        <f t="shared" si="211"/>
        <v>0</v>
      </c>
      <c r="BF465" s="377">
        <f t="shared" si="212"/>
        <v>0</v>
      </c>
      <c r="BG465" s="328"/>
    </row>
    <row r="466" spans="2:59">
      <c r="B466" s="332">
        <v>451</v>
      </c>
      <c r="C466" s="350">
        <v>4599439.3876666967</v>
      </c>
      <c r="D466" s="350">
        <v>28410.611976879434</v>
      </c>
      <c r="E466" s="350">
        <v>27202.164052202788</v>
      </c>
      <c r="F466" s="350">
        <v>25961.198706885567</v>
      </c>
      <c r="G466" s="350">
        <v>24687.779327715059</v>
      </c>
      <c r="H466" s="348">
        <v>4705701.1417303793</v>
      </c>
      <c r="I466" s="369"/>
      <c r="J466" s="350">
        <v>5903987.3371321876</v>
      </c>
      <c r="K466" s="350">
        <v>1349074.8758335898</v>
      </c>
      <c r="L466" s="350">
        <v>1362954.4789863024</v>
      </c>
      <c r="M466" s="350">
        <v>1375736.4094872149</v>
      </c>
      <c r="N466" s="350">
        <v>1387383.9286983623</v>
      </c>
      <c r="O466" s="348">
        <v>11379137.030137656</v>
      </c>
      <c r="P466" s="369"/>
      <c r="Q466" s="350">
        <f t="shared" si="213"/>
        <v>1304547.9494654909</v>
      </c>
      <c r="R466" s="350">
        <f t="shared" si="214"/>
        <v>1320664.2638567104</v>
      </c>
      <c r="S466" s="350">
        <f t="shared" si="215"/>
        <v>1335752.3149340996</v>
      </c>
      <c r="T466" s="350">
        <f t="shared" si="216"/>
        <v>1349775.2107803293</v>
      </c>
      <c r="U466" s="350">
        <f t="shared" si="217"/>
        <v>1362696.1493706473</v>
      </c>
      <c r="V466" s="350">
        <f t="shared" si="218"/>
        <v>6673435.8884072769</v>
      </c>
      <c r="W466" s="365"/>
      <c r="X466" s="377">
        <f t="shared" si="196"/>
        <v>0</v>
      </c>
      <c r="Y466" s="377">
        <f t="shared" si="197"/>
        <v>0</v>
      </c>
      <c r="Z466" s="377">
        <f t="shared" si="198"/>
        <v>0</v>
      </c>
      <c r="AA466" s="377">
        <f t="shared" si="199"/>
        <v>0</v>
      </c>
      <c r="AB466" s="377">
        <f t="shared" si="200"/>
        <v>0</v>
      </c>
      <c r="AC466" s="377">
        <f t="shared" si="201"/>
        <v>0</v>
      </c>
      <c r="AD466" s="376"/>
      <c r="AE466" s="332">
        <v>451</v>
      </c>
      <c r="AF466" s="350">
        <v>5265488.1670572245</v>
      </c>
      <c r="AG466" s="350">
        <v>32524.777168332053</v>
      </c>
      <c r="AH466" s="350">
        <v>31141.332858803409</v>
      </c>
      <c r="AI466" s="350">
        <v>29720.662252944461</v>
      </c>
      <c r="AJ466" s="350">
        <v>28262.837916633289</v>
      </c>
      <c r="AK466" s="348">
        <v>5387137.7772539379</v>
      </c>
      <c r="AL466" s="369"/>
      <c r="AM466" s="350">
        <v>6813402.0828370918</v>
      </c>
      <c r="AN466" s="350">
        <v>1599561.5372464655</v>
      </c>
      <c r="AO466" s="350">
        <v>1616080.8493931175</v>
      </c>
      <c r="AP466" s="350">
        <v>1631299.073224833</v>
      </c>
      <c r="AQ466" s="350">
        <v>1645172.613793188</v>
      </c>
      <c r="AR466" s="348">
        <v>13305516.156494698</v>
      </c>
      <c r="AS466" s="369"/>
      <c r="AT466" s="350">
        <f t="shared" si="219"/>
        <v>1547913.9157798672</v>
      </c>
      <c r="AU466" s="350">
        <f t="shared" si="202"/>
        <v>1567036.7600781333</v>
      </c>
      <c r="AV466" s="350">
        <f t="shared" si="203"/>
        <v>1584939.516534314</v>
      </c>
      <c r="AW466" s="350">
        <f t="shared" si="204"/>
        <v>1601578.4109718886</v>
      </c>
      <c r="AX466" s="350">
        <f t="shared" si="205"/>
        <v>1616909.7758765547</v>
      </c>
      <c r="AY466" s="350">
        <f t="shared" si="206"/>
        <v>7918378.3792407596</v>
      </c>
      <c r="AZ466" s="365"/>
      <c r="BA466" s="377">
        <f t="shared" si="207"/>
        <v>0</v>
      </c>
      <c r="BB466" s="377">
        <f t="shared" si="208"/>
        <v>0</v>
      </c>
      <c r="BC466" s="377">
        <f t="shared" si="209"/>
        <v>0</v>
      </c>
      <c r="BD466" s="377">
        <f t="shared" si="210"/>
        <v>0</v>
      </c>
      <c r="BE466" s="377">
        <f t="shared" si="211"/>
        <v>0</v>
      </c>
      <c r="BF466" s="377">
        <f t="shared" si="212"/>
        <v>0</v>
      </c>
      <c r="BG466" s="328"/>
    </row>
    <row r="467" spans="2:59">
      <c r="B467" s="332">
        <v>452</v>
      </c>
      <c r="C467" s="350">
        <v>5506669.0572513193</v>
      </c>
      <c r="D467" s="350">
        <v>34014.544966101857</v>
      </c>
      <c r="E467" s="350">
        <v>32567.733249883724</v>
      </c>
      <c r="F467" s="350">
        <v>31081.990120733546</v>
      </c>
      <c r="G467" s="350">
        <v>29557.391468340895</v>
      </c>
      <c r="H467" s="348">
        <v>5633890.7170563787</v>
      </c>
      <c r="I467" s="369"/>
      <c r="J467" s="350">
        <v>7621669.0818882044</v>
      </c>
      <c r="K467" s="350">
        <v>2175143.1648366456</v>
      </c>
      <c r="L467" s="350">
        <v>2198157.8751468714</v>
      </c>
      <c r="M467" s="350">
        <v>2219406.7697689892</v>
      </c>
      <c r="N467" s="350">
        <v>2238830.2592631802</v>
      </c>
      <c r="O467" s="348">
        <v>16453207.15090389</v>
      </c>
      <c r="P467" s="369"/>
      <c r="Q467" s="350">
        <f t="shared" si="213"/>
        <v>2115000.0246368852</v>
      </c>
      <c r="R467" s="350">
        <f t="shared" si="214"/>
        <v>2141128.6198705439</v>
      </c>
      <c r="S467" s="350">
        <f t="shared" si="215"/>
        <v>2165590.1418969878</v>
      </c>
      <c r="T467" s="350">
        <f t="shared" si="216"/>
        <v>2188324.7796482556</v>
      </c>
      <c r="U467" s="350">
        <f t="shared" si="217"/>
        <v>2209272.8677948392</v>
      </c>
      <c r="V467" s="350">
        <f t="shared" si="218"/>
        <v>10819316.433847511</v>
      </c>
      <c r="W467" s="365"/>
      <c r="X467" s="377">
        <f t="shared" si="196"/>
        <v>0</v>
      </c>
      <c r="Y467" s="377">
        <f t="shared" si="197"/>
        <v>0</v>
      </c>
      <c r="Z467" s="377">
        <f t="shared" si="198"/>
        <v>0</v>
      </c>
      <c r="AA467" s="377">
        <f t="shared" si="199"/>
        <v>0</v>
      </c>
      <c r="AB467" s="377">
        <f t="shared" si="200"/>
        <v>0</v>
      </c>
      <c r="AC467" s="377">
        <f t="shared" si="201"/>
        <v>0</v>
      </c>
      <c r="AD467" s="376"/>
      <c r="AE467" s="332">
        <v>452</v>
      </c>
      <c r="AF467" s="350">
        <v>6872338.5492139198</v>
      </c>
      <c r="AG467" s="350">
        <v>42450.248266999042</v>
      </c>
      <c r="AH467" s="350">
        <v>40644.623155437133</v>
      </c>
      <c r="AI467" s="350">
        <v>38790.411530490586</v>
      </c>
      <c r="AJ467" s="350">
        <v>36887.708102708086</v>
      </c>
      <c r="AK467" s="348">
        <v>7031111.5402695546</v>
      </c>
      <c r="AL467" s="369"/>
      <c r="AM467" s="350">
        <v>8298519.4565466233</v>
      </c>
      <c r="AN467" s="350">
        <v>1486250.1169347342</v>
      </c>
      <c r="AO467" s="350">
        <v>1500939.3170108944</v>
      </c>
      <c r="AP467" s="350">
        <v>1514415.4627941209</v>
      </c>
      <c r="AQ467" s="350">
        <v>1526638.4156366838</v>
      </c>
      <c r="AR467" s="348">
        <v>14326762.768923055</v>
      </c>
      <c r="AS467" s="369"/>
      <c r="AT467" s="350">
        <f t="shared" si="219"/>
        <v>1426180.9073327035</v>
      </c>
      <c r="AU467" s="350">
        <f t="shared" si="202"/>
        <v>1443799.868667735</v>
      </c>
      <c r="AV467" s="350">
        <f t="shared" si="203"/>
        <v>1460294.6938554572</v>
      </c>
      <c r="AW467" s="350">
        <f t="shared" si="204"/>
        <v>1475625.0512636304</v>
      </c>
      <c r="AX467" s="350">
        <f t="shared" si="205"/>
        <v>1489750.7075339758</v>
      </c>
      <c r="AY467" s="350">
        <f t="shared" si="206"/>
        <v>7295651.2286535008</v>
      </c>
      <c r="AZ467" s="365"/>
      <c r="BA467" s="377">
        <f t="shared" si="207"/>
        <v>0</v>
      </c>
      <c r="BB467" s="377">
        <f t="shared" si="208"/>
        <v>0</v>
      </c>
      <c r="BC467" s="377">
        <f t="shared" si="209"/>
        <v>0</v>
      </c>
      <c r="BD467" s="377">
        <f t="shared" si="210"/>
        <v>0</v>
      </c>
      <c r="BE467" s="377">
        <f t="shared" si="211"/>
        <v>0</v>
      </c>
      <c r="BF467" s="377">
        <f t="shared" si="212"/>
        <v>0</v>
      </c>
      <c r="BG467" s="328"/>
    </row>
    <row r="468" spans="2:59">
      <c r="B468" s="332">
        <v>453</v>
      </c>
      <c r="C468" s="350">
        <v>5058726.9541748241</v>
      </c>
      <c r="D468" s="350">
        <v>31247.61878098084</v>
      </c>
      <c r="E468" s="350">
        <v>29918.49851783158</v>
      </c>
      <c r="F468" s="350">
        <v>28553.613732443053</v>
      </c>
      <c r="G468" s="350">
        <v>27153.034141228509</v>
      </c>
      <c r="H468" s="348">
        <v>5175599.7193473084</v>
      </c>
      <c r="I468" s="369"/>
      <c r="J468" s="350">
        <v>7851318.6212821016</v>
      </c>
      <c r="K468" s="350">
        <v>2858338.8114073006</v>
      </c>
      <c r="L468" s="350">
        <v>2889308.0560519909</v>
      </c>
      <c r="M468" s="350">
        <v>2917961.4025665252</v>
      </c>
      <c r="N468" s="350">
        <v>2944220.1400999133</v>
      </c>
      <c r="O468" s="348">
        <v>19461147.031407833</v>
      </c>
      <c r="P468" s="369"/>
      <c r="Q468" s="350">
        <f t="shared" si="213"/>
        <v>2792591.6671072775</v>
      </c>
      <c r="R468" s="350">
        <f t="shared" si="214"/>
        <v>2827091.1926263198</v>
      </c>
      <c r="S468" s="350">
        <f t="shared" si="215"/>
        <v>2859389.5575341592</v>
      </c>
      <c r="T468" s="350">
        <f t="shared" si="216"/>
        <v>2889407.788834082</v>
      </c>
      <c r="U468" s="350">
        <f t="shared" si="217"/>
        <v>2917067.1059586848</v>
      </c>
      <c r="V468" s="350">
        <f t="shared" si="218"/>
        <v>14285547.312060524</v>
      </c>
      <c r="W468" s="365"/>
      <c r="X468" s="377">
        <f t="shared" si="196"/>
        <v>0</v>
      </c>
      <c r="Y468" s="377">
        <f t="shared" si="197"/>
        <v>0</v>
      </c>
      <c r="Z468" s="377">
        <f t="shared" si="198"/>
        <v>0</v>
      </c>
      <c r="AA468" s="377">
        <f t="shared" si="199"/>
        <v>0</v>
      </c>
      <c r="AB468" s="377">
        <f t="shared" si="200"/>
        <v>0</v>
      </c>
      <c r="AC468" s="377">
        <f t="shared" si="201"/>
        <v>0</v>
      </c>
      <c r="AD468" s="376"/>
      <c r="AE468" s="332">
        <v>453</v>
      </c>
      <c r="AF468" s="350">
        <v>6795835.8793982109</v>
      </c>
      <c r="AG468" s="350">
        <v>41977.693356685893</v>
      </c>
      <c r="AH468" s="350">
        <v>40192.168410554288</v>
      </c>
      <c r="AI468" s="350">
        <v>38358.597814666035</v>
      </c>
      <c r="AJ468" s="350">
        <v>36477.07522526128</v>
      </c>
      <c r="AK468" s="348">
        <v>6952841.4142053789</v>
      </c>
      <c r="AL468" s="369"/>
      <c r="AM468" s="350">
        <v>9084544.8785227276</v>
      </c>
      <c r="AN468" s="350">
        <v>2358961.2789347051</v>
      </c>
      <c r="AO468" s="350">
        <v>2383646.3473417922</v>
      </c>
      <c r="AP468" s="350">
        <v>2406414.6535341027</v>
      </c>
      <c r="AQ468" s="350">
        <v>2427201.725411396</v>
      </c>
      <c r="AR468" s="348">
        <v>18660768.883744724</v>
      </c>
      <c r="AS468" s="369"/>
      <c r="AT468" s="350">
        <f t="shared" si="219"/>
        <v>2288708.9991245167</v>
      </c>
      <c r="AU468" s="350">
        <f t="shared" si="202"/>
        <v>2316983.5855780193</v>
      </c>
      <c r="AV468" s="350">
        <f t="shared" si="203"/>
        <v>2343454.1789312381</v>
      </c>
      <c r="AW468" s="350">
        <f t="shared" si="204"/>
        <v>2368056.0557194366</v>
      </c>
      <c r="AX468" s="350">
        <f t="shared" si="205"/>
        <v>2390724.6501861345</v>
      </c>
      <c r="AY468" s="350">
        <f t="shared" si="206"/>
        <v>11707927.469539344</v>
      </c>
      <c r="AZ468" s="365"/>
      <c r="BA468" s="377">
        <f t="shared" si="207"/>
        <v>0</v>
      </c>
      <c r="BB468" s="377">
        <f t="shared" si="208"/>
        <v>0</v>
      </c>
      <c r="BC468" s="377">
        <f t="shared" si="209"/>
        <v>0</v>
      </c>
      <c r="BD468" s="377">
        <f t="shared" si="210"/>
        <v>0</v>
      </c>
      <c r="BE468" s="377">
        <f t="shared" si="211"/>
        <v>0</v>
      </c>
      <c r="BF468" s="377">
        <f t="shared" si="212"/>
        <v>0</v>
      </c>
      <c r="BG468" s="328"/>
    </row>
    <row r="469" spans="2:59">
      <c r="B469" s="332">
        <v>454</v>
      </c>
      <c r="C469" s="350">
        <v>4855262.9963475922</v>
      </c>
      <c r="D469" s="350">
        <v>29990.82744841036</v>
      </c>
      <c r="E469" s="350">
        <v>28715.164917138762</v>
      </c>
      <c r="F469" s="350">
        <v>27405.176326569181</v>
      </c>
      <c r="G469" s="350">
        <v>26060.928589093579</v>
      </c>
      <c r="H469" s="348">
        <v>4967435.0936288033</v>
      </c>
      <c r="I469" s="369"/>
      <c r="J469" s="350">
        <v>6502440.5693867989</v>
      </c>
      <c r="K469" s="350">
        <v>1697517.5426070341</v>
      </c>
      <c r="L469" s="350">
        <v>1715292.6933216287</v>
      </c>
      <c r="M469" s="350">
        <v>1731688.6078037964</v>
      </c>
      <c r="N469" s="350">
        <v>1746658.8851685261</v>
      </c>
      <c r="O469" s="348">
        <v>13393598.298287783</v>
      </c>
      <c r="P469" s="369"/>
      <c r="Q469" s="350">
        <f t="shared" si="213"/>
        <v>1647177.5730392067</v>
      </c>
      <c r="R469" s="350">
        <f t="shared" si="214"/>
        <v>1667526.7151586236</v>
      </c>
      <c r="S469" s="350">
        <f t="shared" si="215"/>
        <v>1686577.5284044899</v>
      </c>
      <c r="T469" s="350">
        <f t="shared" si="216"/>
        <v>1704283.4314772272</v>
      </c>
      <c r="U469" s="350">
        <f t="shared" si="217"/>
        <v>1720597.9565794326</v>
      </c>
      <c r="V469" s="350">
        <f t="shared" si="218"/>
        <v>8426163.2046589796</v>
      </c>
      <c r="W469" s="365"/>
      <c r="X469" s="377">
        <f t="shared" si="196"/>
        <v>0</v>
      </c>
      <c r="Y469" s="377">
        <f t="shared" si="197"/>
        <v>0</v>
      </c>
      <c r="Z469" s="377">
        <f t="shared" si="198"/>
        <v>0</v>
      </c>
      <c r="AA469" s="377">
        <f t="shared" si="199"/>
        <v>0</v>
      </c>
      <c r="AB469" s="377">
        <f t="shared" si="200"/>
        <v>0</v>
      </c>
      <c r="AC469" s="377">
        <f t="shared" si="201"/>
        <v>0</v>
      </c>
      <c r="AD469" s="376"/>
      <c r="AE469" s="332">
        <v>454</v>
      </c>
      <c r="AF469" s="350">
        <v>5227431.1802370409</v>
      </c>
      <c r="AG469" s="350">
        <v>32289.70019602606</v>
      </c>
      <c r="AH469" s="350">
        <v>30916.254906567257</v>
      </c>
      <c r="AI469" s="350">
        <v>29505.852378577638</v>
      </c>
      <c r="AJ469" s="350">
        <v>28058.564653457164</v>
      </c>
      <c r="AK469" s="348">
        <v>5348201.5523716686</v>
      </c>
      <c r="AL469" s="369"/>
      <c r="AM469" s="350">
        <v>8090562.8180197049</v>
      </c>
      <c r="AN469" s="350">
        <v>2930792.3104575928</v>
      </c>
      <c r="AO469" s="350">
        <v>2962533.0764241144</v>
      </c>
      <c r="AP469" s="350">
        <v>2991899.1560998806</v>
      </c>
      <c r="AQ469" s="350">
        <v>3018809.8509870013</v>
      </c>
      <c r="AR469" s="348">
        <v>19994597.211988296</v>
      </c>
      <c r="AS469" s="369"/>
      <c r="AT469" s="350">
        <f t="shared" si="219"/>
        <v>2863131.637782664</v>
      </c>
      <c r="AU469" s="350">
        <f t="shared" si="202"/>
        <v>2898502.6102615669</v>
      </c>
      <c r="AV469" s="350">
        <f t="shared" si="203"/>
        <v>2931616.8215175471</v>
      </c>
      <c r="AW469" s="350">
        <f t="shared" si="204"/>
        <v>2962393.3037213031</v>
      </c>
      <c r="AX469" s="350">
        <f t="shared" si="205"/>
        <v>2990751.2863335442</v>
      </c>
      <c r="AY469" s="350">
        <f t="shared" si="206"/>
        <v>14646395.659616627</v>
      </c>
      <c r="AZ469" s="365"/>
      <c r="BA469" s="377">
        <f t="shared" si="207"/>
        <v>0</v>
      </c>
      <c r="BB469" s="377">
        <f t="shared" si="208"/>
        <v>0</v>
      </c>
      <c r="BC469" s="377">
        <f t="shared" si="209"/>
        <v>0</v>
      </c>
      <c r="BD469" s="377">
        <f t="shared" si="210"/>
        <v>0</v>
      </c>
      <c r="BE469" s="377">
        <f t="shared" si="211"/>
        <v>0</v>
      </c>
      <c r="BF469" s="377">
        <f t="shared" si="212"/>
        <v>0</v>
      </c>
      <c r="BG469" s="328"/>
    </row>
    <row r="470" spans="2:59">
      <c r="B470" s="332">
        <v>455</v>
      </c>
      <c r="C470" s="350">
        <v>5645940.1572844442</v>
      </c>
      <c r="D470" s="350">
        <v>34874.818762350478</v>
      </c>
      <c r="E470" s="350">
        <v>33391.415223166026</v>
      </c>
      <c r="F470" s="350">
        <v>31868.095643024182</v>
      </c>
      <c r="G470" s="350">
        <v>30304.937830961757</v>
      </c>
      <c r="H470" s="348">
        <v>5776379.4247439466</v>
      </c>
      <c r="I470" s="369"/>
      <c r="J470" s="350">
        <v>8008252.1887210179</v>
      </c>
      <c r="K470" s="350">
        <v>2426370.7245090972</v>
      </c>
      <c r="L470" s="350">
        <v>2452209.187219176</v>
      </c>
      <c r="M470" s="350">
        <v>2476078.92090833</v>
      </c>
      <c r="N470" s="350">
        <v>2497913.3612465425</v>
      </c>
      <c r="O470" s="348">
        <v>17860824.382604163</v>
      </c>
      <c r="P470" s="369"/>
      <c r="Q470" s="350">
        <f t="shared" si="213"/>
        <v>2362312.0314365737</v>
      </c>
      <c r="R470" s="350">
        <f t="shared" si="214"/>
        <v>2391495.9057467468</v>
      </c>
      <c r="S470" s="350">
        <f t="shared" si="215"/>
        <v>2418817.7719960101</v>
      </c>
      <c r="T470" s="350">
        <f t="shared" si="216"/>
        <v>2444210.825265306</v>
      </c>
      <c r="U470" s="350">
        <f t="shared" si="217"/>
        <v>2467608.4234155808</v>
      </c>
      <c r="V470" s="350">
        <f t="shared" si="218"/>
        <v>12084444.957860216</v>
      </c>
      <c r="W470" s="365"/>
      <c r="X470" s="377">
        <f t="shared" si="196"/>
        <v>0</v>
      </c>
      <c r="Y470" s="377">
        <f t="shared" si="197"/>
        <v>0</v>
      </c>
      <c r="Z470" s="377">
        <f t="shared" si="198"/>
        <v>0</v>
      </c>
      <c r="AA470" s="377">
        <f t="shared" si="199"/>
        <v>0</v>
      </c>
      <c r="AB470" s="377">
        <f t="shared" si="200"/>
        <v>0</v>
      </c>
      <c r="AC470" s="377">
        <f t="shared" si="201"/>
        <v>0</v>
      </c>
      <c r="AD470" s="376"/>
      <c r="AE470" s="332">
        <v>455</v>
      </c>
      <c r="AF470" s="350">
        <v>6288812.608728081</v>
      </c>
      <c r="AG470" s="350">
        <v>38845.824406552034</v>
      </c>
      <c r="AH470" s="350">
        <v>37193.513786678792</v>
      </c>
      <c r="AI470" s="350">
        <v>35496.742103691868</v>
      </c>
      <c r="AJ470" s="350">
        <v>33755.596026320913</v>
      </c>
      <c r="AK470" s="348">
        <v>6434104.2850513253</v>
      </c>
      <c r="AL470" s="369"/>
      <c r="AM470" s="350">
        <v>8306083.3005986121</v>
      </c>
      <c r="AN470" s="350">
        <v>2081037.7686509027</v>
      </c>
      <c r="AO470" s="350">
        <v>2102716.6688526282</v>
      </c>
      <c r="AP470" s="350">
        <v>2122704.0191042493</v>
      </c>
      <c r="AQ470" s="350">
        <v>2140942.9977439367</v>
      </c>
      <c r="AR470" s="348">
        <v>16753484.754950328</v>
      </c>
      <c r="AS470" s="369"/>
      <c r="AT470" s="350">
        <f t="shared" si="219"/>
        <v>2017270.6918705311</v>
      </c>
      <c r="AU470" s="350">
        <f t="shared" si="202"/>
        <v>2042191.9442443505</v>
      </c>
      <c r="AV470" s="350">
        <f t="shared" si="203"/>
        <v>2065523.1550659493</v>
      </c>
      <c r="AW470" s="350">
        <f t="shared" si="204"/>
        <v>2087207.2770005574</v>
      </c>
      <c r="AX470" s="350">
        <f t="shared" si="205"/>
        <v>2107187.4017176158</v>
      </c>
      <c r="AY470" s="350">
        <f t="shared" si="206"/>
        <v>10319380.469899002</v>
      </c>
      <c r="AZ470" s="365"/>
      <c r="BA470" s="377">
        <f t="shared" si="207"/>
        <v>0</v>
      </c>
      <c r="BB470" s="377">
        <f t="shared" si="208"/>
        <v>0</v>
      </c>
      <c r="BC470" s="377">
        <f t="shared" si="209"/>
        <v>0</v>
      </c>
      <c r="BD470" s="377">
        <f t="shared" si="210"/>
        <v>0</v>
      </c>
      <c r="BE470" s="377">
        <f t="shared" si="211"/>
        <v>0</v>
      </c>
      <c r="BF470" s="377">
        <f t="shared" si="212"/>
        <v>0</v>
      </c>
      <c r="BG470" s="328"/>
    </row>
    <row r="471" spans="2:59">
      <c r="B471" s="332">
        <v>456</v>
      </c>
      <c r="C471" s="350">
        <v>5768716.9997648606</v>
      </c>
      <c r="D471" s="350">
        <v>35633.207978393817</v>
      </c>
      <c r="E471" s="350">
        <v>34117.546285991848</v>
      </c>
      <c r="F471" s="350">
        <v>32561.100536789498</v>
      </c>
      <c r="G471" s="350">
        <v>30963.950231874762</v>
      </c>
      <c r="H471" s="348">
        <v>5901992.8047979102</v>
      </c>
      <c r="I471" s="369"/>
      <c r="J471" s="350">
        <v>7632813.6977908071</v>
      </c>
      <c r="K471" s="350">
        <v>1922758.8551919342</v>
      </c>
      <c r="L471" s="350">
        <v>1942802.8350631357</v>
      </c>
      <c r="M471" s="350">
        <v>1961284.0075972825</v>
      </c>
      <c r="N471" s="350">
        <v>1978149.8650886531</v>
      </c>
      <c r="O471" s="348">
        <v>15437809.260731813</v>
      </c>
      <c r="P471" s="369"/>
      <c r="Q471" s="350">
        <f t="shared" si="213"/>
        <v>1864096.6980259465</v>
      </c>
      <c r="R471" s="350">
        <f t="shared" si="214"/>
        <v>1887125.6472135403</v>
      </c>
      <c r="S471" s="350">
        <f t="shared" si="215"/>
        <v>1908685.2887771439</v>
      </c>
      <c r="T471" s="350">
        <f t="shared" si="216"/>
        <v>1928722.907060493</v>
      </c>
      <c r="U471" s="350">
        <f t="shared" si="217"/>
        <v>1947185.9148567782</v>
      </c>
      <c r="V471" s="350">
        <f t="shared" si="218"/>
        <v>9535816.4559339024</v>
      </c>
      <c r="W471" s="365"/>
      <c r="X471" s="377">
        <f t="shared" si="196"/>
        <v>0</v>
      </c>
      <c r="Y471" s="377">
        <f t="shared" si="197"/>
        <v>0</v>
      </c>
      <c r="Z471" s="377">
        <f t="shared" si="198"/>
        <v>0</v>
      </c>
      <c r="AA471" s="377">
        <f t="shared" si="199"/>
        <v>0</v>
      </c>
      <c r="AB471" s="377">
        <f t="shared" si="200"/>
        <v>0</v>
      </c>
      <c r="AC471" s="377">
        <f t="shared" si="201"/>
        <v>0</v>
      </c>
      <c r="AD471" s="376"/>
      <c r="AE471" s="332">
        <v>456</v>
      </c>
      <c r="AF471" s="350">
        <v>4707134.1931889504</v>
      </c>
      <c r="AG471" s="350">
        <v>29075.839860917189</v>
      </c>
      <c r="AH471" s="350">
        <v>27839.096408620127</v>
      </c>
      <c r="AI471" s="350">
        <v>26569.074147828072</v>
      </c>
      <c r="AJ471" s="350">
        <v>25265.837949512159</v>
      </c>
      <c r="AK471" s="348">
        <v>4815884.0415558284</v>
      </c>
      <c r="AL471" s="369"/>
      <c r="AM471" s="350">
        <v>5914104.6118351594</v>
      </c>
      <c r="AN471" s="350">
        <v>1250957.1053915005</v>
      </c>
      <c r="AO471" s="350">
        <v>1263679.8575122831</v>
      </c>
      <c r="AP471" s="350">
        <v>1275383.8470362546</v>
      </c>
      <c r="AQ471" s="350">
        <v>1286035.0895261671</v>
      </c>
      <c r="AR471" s="348">
        <v>10990160.511301363</v>
      </c>
      <c r="AS471" s="369"/>
      <c r="AT471" s="350">
        <f t="shared" si="219"/>
        <v>1206970.4186462089</v>
      </c>
      <c r="AU471" s="350">
        <f t="shared" si="202"/>
        <v>1221881.2655305832</v>
      </c>
      <c r="AV471" s="350">
        <f t="shared" si="203"/>
        <v>1235840.7611036631</v>
      </c>
      <c r="AW471" s="350">
        <f t="shared" si="204"/>
        <v>1248814.7728884264</v>
      </c>
      <c r="AX471" s="350">
        <f t="shared" si="205"/>
        <v>1260769.2515766551</v>
      </c>
      <c r="AY471" s="350">
        <f t="shared" si="206"/>
        <v>6174276.4697455345</v>
      </c>
      <c r="AZ471" s="365"/>
      <c r="BA471" s="377">
        <f t="shared" si="207"/>
        <v>0</v>
      </c>
      <c r="BB471" s="377">
        <f t="shared" si="208"/>
        <v>0</v>
      </c>
      <c r="BC471" s="377">
        <f t="shared" si="209"/>
        <v>0</v>
      </c>
      <c r="BD471" s="377">
        <f t="shared" si="210"/>
        <v>0</v>
      </c>
      <c r="BE471" s="377">
        <f t="shared" si="211"/>
        <v>0</v>
      </c>
      <c r="BF471" s="377">
        <f t="shared" si="212"/>
        <v>0</v>
      </c>
      <c r="BG471" s="328"/>
    </row>
    <row r="472" spans="2:59">
      <c r="B472" s="332">
        <v>457</v>
      </c>
      <c r="C472" s="350">
        <v>6888578.1012382498</v>
      </c>
      <c r="D472" s="350">
        <v>42550.559538082111</v>
      </c>
      <c r="E472" s="350">
        <v>40740.66767762087</v>
      </c>
      <c r="F472" s="350">
        <v>38882.074492317188</v>
      </c>
      <c r="G472" s="350">
        <v>36974.87491652037</v>
      </c>
      <c r="H472" s="348">
        <v>7047726.27786279</v>
      </c>
      <c r="I472" s="369"/>
      <c r="J472" s="350">
        <v>9693392.4966034889</v>
      </c>
      <c r="K472" s="350">
        <v>2882015.4793422623</v>
      </c>
      <c r="L472" s="350">
        <v>2912645.3171806657</v>
      </c>
      <c r="M472" s="350">
        <v>2940936.340305232</v>
      </c>
      <c r="N472" s="350">
        <v>2966809.5182729317</v>
      </c>
      <c r="O472" s="348">
        <v>21395799.151704583</v>
      </c>
      <c r="P472" s="369"/>
      <c r="Q472" s="350">
        <f t="shared" si="213"/>
        <v>2804814.3953652391</v>
      </c>
      <c r="R472" s="350">
        <f t="shared" si="214"/>
        <v>2839464.91980418</v>
      </c>
      <c r="S472" s="350">
        <f t="shared" si="215"/>
        <v>2871904.6495030448</v>
      </c>
      <c r="T472" s="350">
        <f t="shared" si="216"/>
        <v>2902054.2658129148</v>
      </c>
      <c r="U472" s="350">
        <f t="shared" si="217"/>
        <v>2929834.6433564113</v>
      </c>
      <c r="V472" s="350">
        <f t="shared" si="218"/>
        <v>14348072.873841792</v>
      </c>
      <c r="W472" s="365"/>
      <c r="X472" s="377">
        <f t="shared" si="196"/>
        <v>0</v>
      </c>
      <c r="Y472" s="377">
        <f t="shared" si="197"/>
        <v>0</v>
      </c>
      <c r="Z472" s="377">
        <f t="shared" si="198"/>
        <v>0</v>
      </c>
      <c r="AA472" s="377">
        <f t="shared" si="199"/>
        <v>0</v>
      </c>
      <c r="AB472" s="377">
        <f t="shared" si="200"/>
        <v>0</v>
      </c>
      <c r="AC472" s="377">
        <f t="shared" si="201"/>
        <v>0</v>
      </c>
      <c r="AD472" s="376"/>
      <c r="AE472" s="332">
        <v>457</v>
      </c>
      <c r="AF472" s="350">
        <v>5270207.9268323537</v>
      </c>
      <c r="AG472" s="350">
        <v>32553.930996069219</v>
      </c>
      <c r="AH472" s="350">
        <v>31169.246625867683</v>
      </c>
      <c r="AI472" s="350">
        <v>29747.302591264583</v>
      </c>
      <c r="AJ472" s="350">
        <v>28288.171523185723</v>
      </c>
      <c r="AK472" s="348">
        <v>5391966.5785687407</v>
      </c>
      <c r="AL472" s="369"/>
      <c r="AM472" s="350">
        <v>7665224.0004770961</v>
      </c>
      <c r="AN472" s="350">
        <v>2457157.9029090931</v>
      </c>
      <c r="AO472" s="350">
        <v>2483473.3309534099</v>
      </c>
      <c r="AP472" s="350">
        <v>2507795.9837076981</v>
      </c>
      <c r="AQ472" s="350">
        <v>2530058.3690645732</v>
      </c>
      <c r="AR472" s="348">
        <v>17643709.587111868</v>
      </c>
      <c r="AS472" s="369"/>
      <c r="AT472" s="350">
        <f t="shared" si="219"/>
        <v>2395016.0736447424</v>
      </c>
      <c r="AU472" s="350">
        <f t="shared" si="202"/>
        <v>2424603.9719130239</v>
      </c>
      <c r="AV472" s="350">
        <f t="shared" si="203"/>
        <v>2452304.0843275422</v>
      </c>
      <c r="AW472" s="350">
        <f t="shared" si="204"/>
        <v>2478048.6811164333</v>
      </c>
      <c r="AX472" s="350">
        <f t="shared" si="205"/>
        <v>2501770.1975413873</v>
      </c>
      <c r="AY472" s="350">
        <f t="shared" si="206"/>
        <v>12251743.008543126</v>
      </c>
      <c r="AZ472" s="365"/>
      <c r="BA472" s="377">
        <f t="shared" si="207"/>
        <v>0</v>
      </c>
      <c r="BB472" s="377">
        <f t="shared" si="208"/>
        <v>0</v>
      </c>
      <c r="BC472" s="377">
        <f t="shared" si="209"/>
        <v>0</v>
      </c>
      <c r="BD472" s="377">
        <f t="shared" si="210"/>
        <v>0</v>
      </c>
      <c r="BE472" s="377">
        <f t="shared" si="211"/>
        <v>0</v>
      </c>
      <c r="BF472" s="377">
        <f t="shared" si="212"/>
        <v>0</v>
      </c>
      <c r="BG472" s="328"/>
    </row>
    <row r="473" spans="2:59">
      <c r="B473" s="332">
        <v>458</v>
      </c>
      <c r="C473" s="350">
        <v>5481557.2599142222</v>
      </c>
      <c r="D473" s="350">
        <v>33859.430077080026</v>
      </c>
      <c r="E473" s="350">
        <v>32419.216186556336</v>
      </c>
      <c r="F473" s="350">
        <v>30940.24842014561</v>
      </c>
      <c r="G473" s="350">
        <v>29422.602321464277</v>
      </c>
      <c r="H473" s="348">
        <v>5608198.7569194678</v>
      </c>
      <c r="I473" s="369"/>
      <c r="J473" s="350">
        <v>7433000.9734743703</v>
      </c>
      <c r="K473" s="350">
        <v>2009411.1731024457</v>
      </c>
      <c r="L473" s="350">
        <v>2030540.8328887862</v>
      </c>
      <c r="M473" s="350">
        <v>2050038.3972278016</v>
      </c>
      <c r="N473" s="350">
        <v>2067848.8903483064</v>
      </c>
      <c r="O473" s="348">
        <v>15590840.267041709</v>
      </c>
      <c r="P473" s="369"/>
      <c r="Q473" s="350">
        <f t="shared" si="213"/>
        <v>1951443.7135601481</v>
      </c>
      <c r="R473" s="350">
        <f t="shared" si="214"/>
        <v>1975551.7430253658</v>
      </c>
      <c r="S473" s="350">
        <f t="shared" si="215"/>
        <v>1998121.6167022299</v>
      </c>
      <c r="T473" s="350">
        <f t="shared" si="216"/>
        <v>2019098.148807656</v>
      </c>
      <c r="U473" s="350">
        <f t="shared" si="217"/>
        <v>2038426.2880268421</v>
      </c>
      <c r="V473" s="350">
        <f t="shared" si="218"/>
        <v>9982641.5101222415</v>
      </c>
      <c r="W473" s="365"/>
      <c r="X473" s="377">
        <f t="shared" si="196"/>
        <v>0</v>
      </c>
      <c r="Y473" s="377">
        <f t="shared" si="197"/>
        <v>0</v>
      </c>
      <c r="Z473" s="377">
        <f t="shared" si="198"/>
        <v>0</v>
      </c>
      <c r="AA473" s="377">
        <f t="shared" si="199"/>
        <v>0</v>
      </c>
      <c r="AB473" s="377">
        <f t="shared" si="200"/>
        <v>0</v>
      </c>
      <c r="AC473" s="377">
        <f t="shared" si="201"/>
        <v>0</v>
      </c>
      <c r="AD473" s="376"/>
      <c r="AE473" s="332">
        <v>458</v>
      </c>
      <c r="AF473" s="350">
        <v>4733279.2905437266</v>
      </c>
      <c r="AG473" s="350">
        <v>29237.337416039136</v>
      </c>
      <c r="AH473" s="350">
        <v>27993.724650773707</v>
      </c>
      <c r="AI473" s="350">
        <v>26716.64823467367</v>
      </c>
      <c r="AJ473" s="350">
        <v>25406.173399030118</v>
      </c>
      <c r="AK473" s="348">
        <v>4842633.1742442437</v>
      </c>
      <c r="AL473" s="369"/>
      <c r="AM473" s="350">
        <v>6410399.6899909824</v>
      </c>
      <c r="AN473" s="350">
        <v>1727076.7910310552</v>
      </c>
      <c r="AO473" s="350">
        <v>1745230.3021968519</v>
      </c>
      <c r="AP473" s="350">
        <v>1761980.9914084312</v>
      </c>
      <c r="AQ473" s="350">
        <v>1777281.6113958689</v>
      </c>
      <c r="AR473" s="348">
        <v>13421969.386023192</v>
      </c>
      <c r="AS473" s="369"/>
      <c r="AT473" s="350">
        <f t="shared" si="219"/>
        <v>1677120.3994472558</v>
      </c>
      <c r="AU473" s="350">
        <f t="shared" si="202"/>
        <v>1697839.4536150161</v>
      </c>
      <c r="AV473" s="350">
        <f t="shared" si="203"/>
        <v>1717236.5775460782</v>
      </c>
      <c r="AW473" s="350">
        <f t="shared" si="204"/>
        <v>1735264.3431737574</v>
      </c>
      <c r="AX473" s="350">
        <f t="shared" si="205"/>
        <v>1751875.4379968387</v>
      </c>
      <c r="AY473" s="350">
        <f t="shared" si="206"/>
        <v>8579336.2117789481</v>
      </c>
      <c r="AZ473" s="365"/>
      <c r="BA473" s="377">
        <f t="shared" si="207"/>
        <v>0</v>
      </c>
      <c r="BB473" s="377">
        <f t="shared" si="208"/>
        <v>0</v>
      </c>
      <c r="BC473" s="377">
        <f t="shared" si="209"/>
        <v>0</v>
      </c>
      <c r="BD473" s="377">
        <f t="shared" si="210"/>
        <v>0</v>
      </c>
      <c r="BE473" s="377">
        <f t="shared" si="211"/>
        <v>0</v>
      </c>
      <c r="BF473" s="377">
        <f t="shared" si="212"/>
        <v>0</v>
      </c>
      <c r="BG473" s="328"/>
    </row>
    <row r="474" spans="2:59">
      <c r="B474" s="332">
        <v>459</v>
      </c>
      <c r="C474" s="350">
        <v>4749140.7706459779</v>
      </c>
      <c r="D474" s="350">
        <v>29335.313347143499</v>
      </c>
      <c r="E474" s="350">
        <v>28087.533166875284</v>
      </c>
      <c r="F474" s="350">
        <v>26806.177197229863</v>
      </c>
      <c r="G474" s="350">
        <v>25491.310888095293</v>
      </c>
      <c r="H474" s="348">
        <v>4858861.105245322</v>
      </c>
      <c r="I474" s="369"/>
      <c r="J474" s="350">
        <v>6561159.5826955289</v>
      </c>
      <c r="K474" s="350">
        <v>1863739.7072143338</v>
      </c>
      <c r="L474" s="350">
        <v>1883449.2497607609</v>
      </c>
      <c r="M474" s="350">
        <v>1901645.7145053234</v>
      </c>
      <c r="N474" s="350">
        <v>1918278.0488372887</v>
      </c>
      <c r="O474" s="348">
        <v>14128272.303013237</v>
      </c>
      <c r="P474" s="369"/>
      <c r="Q474" s="350">
        <f t="shared" si="213"/>
        <v>1812018.8120495509</v>
      </c>
      <c r="R474" s="350">
        <f t="shared" si="214"/>
        <v>1834404.3938671902</v>
      </c>
      <c r="S474" s="350">
        <f t="shared" si="215"/>
        <v>1855361.7165938856</v>
      </c>
      <c r="T474" s="350">
        <f t="shared" si="216"/>
        <v>1874839.5373080936</v>
      </c>
      <c r="U474" s="350">
        <f t="shared" si="217"/>
        <v>1892786.7379491935</v>
      </c>
      <c r="V474" s="350">
        <f t="shared" si="218"/>
        <v>9269411.1977679152</v>
      </c>
      <c r="W474" s="365"/>
      <c r="X474" s="377">
        <f t="shared" si="196"/>
        <v>0</v>
      </c>
      <c r="Y474" s="377">
        <f t="shared" si="197"/>
        <v>0</v>
      </c>
      <c r="Z474" s="377">
        <f t="shared" si="198"/>
        <v>0</v>
      </c>
      <c r="AA474" s="377">
        <f t="shared" si="199"/>
        <v>0</v>
      </c>
      <c r="AB474" s="377">
        <f t="shared" si="200"/>
        <v>0</v>
      </c>
      <c r="AC474" s="377">
        <f t="shared" si="201"/>
        <v>0</v>
      </c>
      <c r="AD474" s="376"/>
      <c r="AE474" s="332">
        <v>459</v>
      </c>
      <c r="AF474" s="350">
        <v>4785504.9929293692</v>
      </c>
      <c r="AG474" s="350">
        <v>29559.934158954457</v>
      </c>
      <c r="AH474" s="350">
        <v>28302.599712340281</v>
      </c>
      <c r="AI474" s="350">
        <v>27011.432386167038</v>
      </c>
      <c r="AJ474" s="350">
        <v>25686.49813147257</v>
      </c>
      <c r="AK474" s="348">
        <v>4896065.4573183041</v>
      </c>
      <c r="AL474" s="369"/>
      <c r="AM474" s="350">
        <v>6605311.0937083811</v>
      </c>
      <c r="AN474" s="350">
        <v>1871847.8204968865</v>
      </c>
      <c r="AO474" s="350">
        <v>1891637.8744661226</v>
      </c>
      <c r="AP474" s="350">
        <v>1909908.235270831</v>
      </c>
      <c r="AQ474" s="350">
        <v>1926607.6311176782</v>
      </c>
      <c r="AR474" s="348">
        <v>14205312.6550599</v>
      </c>
      <c r="AS474" s="369"/>
      <c r="AT474" s="350">
        <f t="shared" si="219"/>
        <v>1819806.1007790118</v>
      </c>
      <c r="AU474" s="350">
        <f t="shared" si="202"/>
        <v>1842287.886337932</v>
      </c>
      <c r="AV474" s="350">
        <f t="shared" si="203"/>
        <v>1863335.2747537822</v>
      </c>
      <c r="AW474" s="350">
        <f t="shared" si="204"/>
        <v>1882896.8028846639</v>
      </c>
      <c r="AX474" s="350">
        <f t="shared" si="205"/>
        <v>1900921.1329862056</v>
      </c>
      <c r="AY474" s="350">
        <f t="shared" si="206"/>
        <v>9309247.197741596</v>
      </c>
      <c r="AZ474" s="365"/>
      <c r="BA474" s="377">
        <f t="shared" si="207"/>
        <v>0</v>
      </c>
      <c r="BB474" s="377">
        <f t="shared" si="208"/>
        <v>0</v>
      </c>
      <c r="BC474" s="377">
        <f t="shared" si="209"/>
        <v>0</v>
      </c>
      <c r="BD474" s="377">
        <f t="shared" si="210"/>
        <v>0</v>
      </c>
      <c r="BE474" s="377">
        <f t="shared" si="211"/>
        <v>0</v>
      </c>
      <c r="BF474" s="377">
        <f t="shared" si="212"/>
        <v>0</v>
      </c>
      <c r="BG474" s="328"/>
    </row>
    <row r="475" spans="2:59">
      <c r="B475" s="332">
        <v>460</v>
      </c>
      <c r="C475" s="350">
        <v>4788334.6545676403</v>
      </c>
      <c r="D475" s="350">
        <v>29577.412901918222</v>
      </c>
      <c r="E475" s="350">
        <v>28319.334995405759</v>
      </c>
      <c r="F475" s="350">
        <v>27027.404204007362</v>
      </c>
      <c r="G475" s="350">
        <v>25701.686517752845</v>
      </c>
      <c r="H475" s="348">
        <v>4898960.4931867244</v>
      </c>
      <c r="I475" s="369"/>
      <c r="J475" s="350">
        <v>6669662.5680177826</v>
      </c>
      <c r="K475" s="350">
        <v>1934147.149037505</v>
      </c>
      <c r="L475" s="350">
        <v>1954648.0043025084</v>
      </c>
      <c r="M475" s="350">
        <v>1973578.9142228854</v>
      </c>
      <c r="N475" s="350">
        <v>1990886.8714796621</v>
      </c>
      <c r="O475" s="348">
        <v>14522923.507060343</v>
      </c>
      <c r="P475" s="369"/>
      <c r="Q475" s="350">
        <f t="shared" si="213"/>
        <v>1881327.9134501424</v>
      </c>
      <c r="R475" s="350">
        <f t="shared" si="214"/>
        <v>1904569.7361355869</v>
      </c>
      <c r="S475" s="350">
        <f t="shared" si="215"/>
        <v>1926328.6693071027</v>
      </c>
      <c r="T475" s="350">
        <f t="shared" si="216"/>
        <v>1946551.5100188779</v>
      </c>
      <c r="U475" s="350">
        <f t="shared" si="217"/>
        <v>1965185.1849619092</v>
      </c>
      <c r="V475" s="350">
        <f t="shared" si="218"/>
        <v>9623963.0138736181</v>
      </c>
      <c r="W475" s="365"/>
      <c r="X475" s="377">
        <f t="shared" si="196"/>
        <v>0</v>
      </c>
      <c r="Y475" s="377">
        <f t="shared" si="197"/>
        <v>0</v>
      </c>
      <c r="Z475" s="377">
        <f t="shared" si="198"/>
        <v>0</v>
      </c>
      <c r="AA475" s="377">
        <f t="shared" si="199"/>
        <v>0</v>
      </c>
      <c r="AB475" s="377">
        <f t="shared" si="200"/>
        <v>0</v>
      </c>
      <c r="AC475" s="377">
        <f t="shared" si="201"/>
        <v>0</v>
      </c>
      <c r="AD475" s="376"/>
      <c r="AE475" s="332">
        <v>460</v>
      </c>
      <c r="AF475" s="350">
        <v>5761593.6750799082</v>
      </c>
      <c r="AG475" s="350">
        <v>35589.207395593556</v>
      </c>
      <c r="AH475" s="350">
        <v>34075.417271922612</v>
      </c>
      <c r="AI475" s="350">
        <v>32520.893452401666</v>
      </c>
      <c r="AJ475" s="350">
        <v>30925.715339948616</v>
      </c>
      <c r="AK475" s="348">
        <v>5894704.9085397739</v>
      </c>
      <c r="AL475" s="369"/>
      <c r="AM475" s="350">
        <v>7703401.3880954273</v>
      </c>
      <c r="AN475" s="350">
        <v>2001385.9072498679</v>
      </c>
      <c r="AO475" s="350">
        <v>2022330.543409765</v>
      </c>
      <c r="AP475" s="350">
        <v>2041648.972036473</v>
      </c>
      <c r="AQ475" s="350">
        <v>2059286.4930550533</v>
      </c>
      <c r="AR475" s="348">
        <v>15828053.303846586</v>
      </c>
      <c r="AS475" s="369"/>
      <c r="AT475" s="350">
        <f t="shared" si="219"/>
        <v>1941807.7130155191</v>
      </c>
      <c r="AU475" s="350">
        <f t="shared" si="202"/>
        <v>1965796.6998542743</v>
      </c>
      <c r="AV475" s="350">
        <f t="shared" si="203"/>
        <v>1988255.1261378424</v>
      </c>
      <c r="AW475" s="350">
        <f t="shared" si="204"/>
        <v>2009128.0785840712</v>
      </c>
      <c r="AX475" s="350">
        <f t="shared" si="205"/>
        <v>2028360.7777151046</v>
      </c>
      <c r="AY475" s="350">
        <f t="shared" si="206"/>
        <v>9933348.3953068126</v>
      </c>
      <c r="AZ475" s="365"/>
      <c r="BA475" s="377">
        <f t="shared" si="207"/>
        <v>0</v>
      </c>
      <c r="BB475" s="377">
        <f t="shared" si="208"/>
        <v>0</v>
      </c>
      <c r="BC475" s="377">
        <f t="shared" si="209"/>
        <v>0</v>
      </c>
      <c r="BD475" s="377">
        <f t="shared" si="210"/>
        <v>0</v>
      </c>
      <c r="BE475" s="377">
        <f t="shared" si="211"/>
        <v>0</v>
      </c>
      <c r="BF475" s="377">
        <f t="shared" si="212"/>
        <v>0</v>
      </c>
      <c r="BG475" s="328"/>
    </row>
    <row r="476" spans="2:59">
      <c r="B476" s="332">
        <v>461</v>
      </c>
      <c r="C476" s="350">
        <v>5686027.5855559586</v>
      </c>
      <c r="D476" s="350">
        <v>35122.437716263936</v>
      </c>
      <c r="E476" s="350">
        <v>33628.501682704555</v>
      </c>
      <c r="F476" s="350">
        <v>32094.366195429338</v>
      </c>
      <c r="G476" s="350">
        <v>30520.109615949572</v>
      </c>
      <c r="H476" s="348">
        <v>5817393.0007663062</v>
      </c>
      <c r="I476" s="369"/>
      <c r="J476" s="350">
        <v>7776615.0569408536</v>
      </c>
      <c r="K476" s="350">
        <v>2151536.912980156</v>
      </c>
      <c r="L476" s="350">
        <v>2174222.1499412972</v>
      </c>
      <c r="M476" s="350">
        <v>2195160.2358703939</v>
      </c>
      <c r="N476" s="350">
        <v>2214292.2724911878</v>
      </c>
      <c r="O476" s="348">
        <v>16511826.628223889</v>
      </c>
      <c r="P476" s="369"/>
      <c r="Q476" s="350">
        <f t="shared" si="213"/>
        <v>2090587.471384895</v>
      </c>
      <c r="R476" s="350">
        <f t="shared" si="214"/>
        <v>2116414.4752638922</v>
      </c>
      <c r="S476" s="350">
        <f t="shared" si="215"/>
        <v>2140593.6482585925</v>
      </c>
      <c r="T476" s="350">
        <f t="shared" si="216"/>
        <v>2163065.8696749648</v>
      </c>
      <c r="U476" s="350">
        <f t="shared" si="217"/>
        <v>2183772.1628752383</v>
      </c>
      <c r="V476" s="350">
        <f t="shared" si="218"/>
        <v>10694433.627457581</v>
      </c>
      <c r="W476" s="365"/>
      <c r="X476" s="377">
        <f t="shared" si="196"/>
        <v>0</v>
      </c>
      <c r="Y476" s="377">
        <f t="shared" si="197"/>
        <v>0</v>
      </c>
      <c r="Z476" s="377">
        <f t="shared" si="198"/>
        <v>0</v>
      </c>
      <c r="AA476" s="377">
        <f t="shared" si="199"/>
        <v>0</v>
      </c>
      <c r="AB476" s="377">
        <f t="shared" si="200"/>
        <v>0</v>
      </c>
      <c r="AC476" s="377">
        <f t="shared" si="201"/>
        <v>0</v>
      </c>
      <c r="AD476" s="376"/>
      <c r="AE476" s="332">
        <v>461</v>
      </c>
      <c r="AF476" s="350">
        <v>6255619.337538179</v>
      </c>
      <c r="AG476" s="350">
        <v>38640.790473383837</v>
      </c>
      <c r="AH476" s="350">
        <v>36997.200990220743</v>
      </c>
      <c r="AI476" s="350">
        <v>35309.385115923113</v>
      </c>
      <c r="AJ476" s="350">
        <v>33577.429061778952</v>
      </c>
      <c r="AK476" s="348">
        <v>6400144.1431794856</v>
      </c>
      <c r="AL476" s="369"/>
      <c r="AM476" s="350">
        <v>8156805.1922150748</v>
      </c>
      <c r="AN476" s="350">
        <v>1963313.7917612323</v>
      </c>
      <c r="AO476" s="350">
        <v>1983658.8070623765</v>
      </c>
      <c r="AP476" s="350">
        <v>2002407.2896279951</v>
      </c>
      <c r="AQ476" s="350">
        <v>2019505.6921567798</v>
      </c>
      <c r="AR476" s="348">
        <v>16125690.772823459</v>
      </c>
      <c r="AS476" s="369"/>
      <c r="AT476" s="350">
        <f t="shared" si="219"/>
        <v>1901185.8546768958</v>
      </c>
      <c r="AU476" s="350">
        <f t="shared" si="202"/>
        <v>1924673.0012878485</v>
      </c>
      <c r="AV476" s="350">
        <f t="shared" si="203"/>
        <v>1946661.6060721558</v>
      </c>
      <c r="AW476" s="350">
        <f t="shared" si="204"/>
        <v>1967097.904512072</v>
      </c>
      <c r="AX476" s="350">
        <f t="shared" si="205"/>
        <v>1985928.2630950008</v>
      </c>
      <c r="AY476" s="350">
        <f t="shared" si="206"/>
        <v>9725546.629643973</v>
      </c>
      <c r="AZ476" s="365"/>
      <c r="BA476" s="377">
        <f t="shared" si="207"/>
        <v>0</v>
      </c>
      <c r="BB476" s="377">
        <f t="shared" si="208"/>
        <v>0</v>
      </c>
      <c r="BC476" s="377">
        <f t="shared" si="209"/>
        <v>0</v>
      </c>
      <c r="BD476" s="377">
        <f t="shared" si="210"/>
        <v>0</v>
      </c>
      <c r="BE476" s="377">
        <f t="shared" si="211"/>
        <v>0</v>
      </c>
      <c r="BF476" s="377">
        <f t="shared" si="212"/>
        <v>0</v>
      </c>
      <c r="BG476" s="328"/>
    </row>
    <row r="477" spans="2:59">
      <c r="B477" s="332">
        <v>462</v>
      </c>
      <c r="C477" s="350">
        <v>7155425.9667460863</v>
      </c>
      <c r="D477" s="350">
        <v>44198.871544133319</v>
      </c>
      <c r="E477" s="350">
        <v>42318.868584885611</v>
      </c>
      <c r="F477" s="350">
        <v>40388.277722112689</v>
      </c>
      <c r="G477" s="350">
        <v>38407.197567711708</v>
      </c>
      <c r="H477" s="348">
        <v>7320739.1821649289</v>
      </c>
      <c r="I477" s="369"/>
      <c r="J477" s="350">
        <v>8630989.3627764769</v>
      </c>
      <c r="K477" s="350">
        <v>1537991.2974881758</v>
      </c>
      <c r="L477" s="350">
        <v>1553177.2643128342</v>
      </c>
      <c r="M477" s="350">
        <v>1567107.8549616488</v>
      </c>
      <c r="N477" s="350">
        <v>1579741.5415807045</v>
      </c>
      <c r="O477" s="348">
        <v>14869007.321119839</v>
      </c>
      <c r="P477" s="369"/>
      <c r="Q477" s="350">
        <f t="shared" si="213"/>
        <v>1475563.3960303906</v>
      </c>
      <c r="R477" s="350">
        <f t="shared" si="214"/>
        <v>1493792.4259440424</v>
      </c>
      <c r="S477" s="350">
        <f t="shared" si="215"/>
        <v>1510858.3957279488</v>
      </c>
      <c r="T477" s="350">
        <f t="shared" si="216"/>
        <v>1526719.5772395362</v>
      </c>
      <c r="U477" s="350">
        <f t="shared" si="217"/>
        <v>1541334.3440129927</v>
      </c>
      <c r="V477" s="350">
        <f t="shared" si="218"/>
        <v>7548268.1389549104</v>
      </c>
      <c r="W477" s="365"/>
      <c r="X477" s="377">
        <f t="shared" si="196"/>
        <v>0</v>
      </c>
      <c r="Y477" s="377">
        <f t="shared" si="197"/>
        <v>0</v>
      </c>
      <c r="Z477" s="377">
        <f t="shared" si="198"/>
        <v>0</v>
      </c>
      <c r="AA477" s="377">
        <f t="shared" si="199"/>
        <v>0</v>
      </c>
      <c r="AB477" s="377">
        <f t="shared" si="200"/>
        <v>0</v>
      </c>
      <c r="AC477" s="377">
        <f t="shared" si="201"/>
        <v>0</v>
      </c>
      <c r="AD477" s="376"/>
      <c r="AE477" s="332">
        <v>462</v>
      </c>
      <c r="AF477" s="350">
        <v>5829572.5070724385</v>
      </c>
      <c r="AG477" s="350">
        <v>36009.110791551509</v>
      </c>
      <c r="AH477" s="350">
        <v>34477.460039329679</v>
      </c>
      <c r="AI477" s="350">
        <v>32904.594990016762</v>
      </c>
      <c r="AJ477" s="350">
        <v>31290.595983379844</v>
      </c>
      <c r="AK477" s="348">
        <v>5964254.2688767165</v>
      </c>
      <c r="AL477" s="369"/>
      <c r="AM477" s="350">
        <v>7626543.5075072749</v>
      </c>
      <c r="AN477" s="350">
        <v>1855179.7931980453</v>
      </c>
      <c r="AO477" s="350">
        <v>1874431.4262264306</v>
      </c>
      <c r="AP477" s="350">
        <v>1892174.6293891852</v>
      </c>
      <c r="AQ477" s="350">
        <v>1908358.7894726121</v>
      </c>
      <c r="AR477" s="348">
        <v>15156688.145793548</v>
      </c>
      <c r="AS477" s="369"/>
      <c r="AT477" s="350">
        <f t="shared" si="219"/>
        <v>1796971.0004348364</v>
      </c>
      <c r="AU477" s="350">
        <f t="shared" si="202"/>
        <v>1819170.6824064939</v>
      </c>
      <c r="AV477" s="350">
        <f t="shared" si="203"/>
        <v>1839953.9661871009</v>
      </c>
      <c r="AW477" s="350">
        <f t="shared" si="204"/>
        <v>1859270.0343991686</v>
      </c>
      <c r="AX477" s="350">
        <f t="shared" si="205"/>
        <v>1877068.1934892323</v>
      </c>
      <c r="AY477" s="350">
        <f t="shared" si="206"/>
        <v>9192433.8769168314</v>
      </c>
      <c r="AZ477" s="365"/>
      <c r="BA477" s="377">
        <f t="shared" si="207"/>
        <v>0</v>
      </c>
      <c r="BB477" s="377">
        <f t="shared" si="208"/>
        <v>0</v>
      </c>
      <c r="BC477" s="377">
        <f t="shared" si="209"/>
        <v>0</v>
      </c>
      <c r="BD477" s="377">
        <f t="shared" si="210"/>
        <v>0</v>
      </c>
      <c r="BE477" s="377">
        <f t="shared" si="211"/>
        <v>0</v>
      </c>
      <c r="BF477" s="377">
        <f t="shared" si="212"/>
        <v>0</v>
      </c>
      <c r="BG477" s="328"/>
    </row>
    <row r="478" spans="2:59">
      <c r="B478" s="332">
        <v>463</v>
      </c>
      <c r="C478" s="350">
        <v>6406077.016029533</v>
      </c>
      <c r="D478" s="350">
        <v>39570.163460453427</v>
      </c>
      <c r="E478" s="350">
        <v>37887.043014058654</v>
      </c>
      <c r="F478" s="350">
        <v>36158.632460884597</v>
      </c>
      <c r="G478" s="350">
        <v>34385.02008574397</v>
      </c>
      <c r="H478" s="348">
        <v>6554077.8750506733</v>
      </c>
      <c r="I478" s="369"/>
      <c r="J478" s="350">
        <v>8184721.6822274346</v>
      </c>
      <c r="K478" s="350">
        <v>1840188.1090939308</v>
      </c>
      <c r="L478" s="350">
        <v>1859076.3149702803</v>
      </c>
      <c r="M478" s="350">
        <v>1876466.9785084515</v>
      </c>
      <c r="N478" s="350">
        <v>1892310.0114358875</v>
      </c>
      <c r="O478" s="348">
        <v>15652763.096235985</v>
      </c>
      <c r="P478" s="369"/>
      <c r="Q478" s="350">
        <f t="shared" si="213"/>
        <v>1778644.6661979016</v>
      </c>
      <c r="R478" s="350">
        <f t="shared" si="214"/>
        <v>1800617.9456334773</v>
      </c>
      <c r="S478" s="350">
        <f t="shared" si="215"/>
        <v>1821189.2719562217</v>
      </c>
      <c r="T478" s="350">
        <f t="shared" si="216"/>
        <v>1840308.346047567</v>
      </c>
      <c r="U478" s="350">
        <f t="shared" si="217"/>
        <v>1857924.9913501437</v>
      </c>
      <c r="V478" s="350">
        <f t="shared" si="218"/>
        <v>9098685.2211853117</v>
      </c>
      <c r="W478" s="365"/>
      <c r="X478" s="377">
        <f t="shared" si="196"/>
        <v>0</v>
      </c>
      <c r="Y478" s="377">
        <f t="shared" si="197"/>
        <v>0</v>
      </c>
      <c r="Z478" s="377">
        <f t="shared" si="198"/>
        <v>0</v>
      </c>
      <c r="AA478" s="377">
        <f t="shared" si="199"/>
        <v>0</v>
      </c>
      <c r="AB478" s="377">
        <f t="shared" si="200"/>
        <v>0</v>
      </c>
      <c r="AC478" s="377">
        <f t="shared" si="201"/>
        <v>0</v>
      </c>
      <c r="AD478" s="376"/>
      <c r="AE478" s="332">
        <v>463</v>
      </c>
      <c r="AF478" s="350">
        <v>4645738.4122584537</v>
      </c>
      <c r="AG478" s="350">
        <v>28696.599792288274</v>
      </c>
      <c r="AH478" s="350">
        <v>27475.987350271142</v>
      </c>
      <c r="AI478" s="350">
        <v>26222.53015971155</v>
      </c>
      <c r="AJ478" s="350">
        <v>24936.292245458317</v>
      </c>
      <c r="AK478" s="348">
        <v>4753069.8218061831</v>
      </c>
      <c r="AL478" s="369"/>
      <c r="AM478" s="350">
        <v>6069704.1595139727</v>
      </c>
      <c r="AN478" s="350">
        <v>1470253.9424157664</v>
      </c>
      <c r="AO478" s="350">
        <v>1485502.5352151864</v>
      </c>
      <c r="AP478" s="350">
        <v>1499555.6241508489</v>
      </c>
      <c r="AQ478" s="350">
        <v>1512373.1023802171</v>
      </c>
      <c r="AR478" s="348">
        <v>12037389.363675989</v>
      </c>
      <c r="AS478" s="369"/>
      <c r="AT478" s="350">
        <f t="shared" si="219"/>
        <v>1423965.747255519</v>
      </c>
      <c r="AU478" s="350">
        <f t="shared" si="202"/>
        <v>1441557.342623478</v>
      </c>
      <c r="AV478" s="350">
        <f t="shared" si="203"/>
        <v>1458026.5478649153</v>
      </c>
      <c r="AW478" s="350">
        <f t="shared" si="204"/>
        <v>1473333.0939911373</v>
      </c>
      <c r="AX478" s="350">
        <f t="shared" si="205"/>
        <v>1487436.8101347587</v>
      </c>
      <c r="AY478" s="350">
        <f t="shared" si="206"/>
        <v>7284319.5418698061</v>
      </c>
      <c r="AZ478" s="365"/>
      <c r="BA478" s="377">
        <f t="shared" si="207"/>
        <v>0</v>
      </c>
      <c r="BB478" s="377">
        <f t="shared" si="208"/>
        <v>0</v>
      </c>
      <c r="BC478" s="377">
        <f t="shared" si="209"/>
        <v>0</v>
      </c>
      <c r="BD478" s="377">
        <f t="shared" si="210"/>
        <v>0</v>
      </c>
      <c r="BE478" s="377">
        <f t="shared" si="211"/>
        <v>0</v>
      </c>
      <c r="BF478" s="377">
        <f t="shared" si="212"/>
        <v>0</v>
      </c>
      <c r="BG478" s="328"/>
    </row>
    <row r="479" spans="2:59">
      <c r="B479" s="332">
        <v>464</v>
      </c>
      <c r="C479" s="350">
        <v>4332411.0209256923</v>
      </c>
      <c r="D479" s="350">
        <v>26761.185019619777</v>
      </c>
      <c r="E479" s="350">
        <v>25622.895618280985</v>
      </c>
      <c r="F479" s="350">
        <v>24453.976651100103</v>
      </c>
      <c r="G479" s="350">
        <v>23254.487824837754</v>
      </c>
      <c r="H479" s="348">
        <v>4432503.5660395315</v>
      </c>
      <c r="I479" s="369"/>
      <c r="J479" s="350">
        <v>5842535.875399014</v>
      </c>
      <c r="K479" s="350">
        <v>1555542.0397838142</v>
      </c>
      <c r="L479" s="350">
        <v>1571869.4487087557</v>
      </c>
      <c r="M479" s="350">
        <v>1586933.2205811511</v>
      </c>
      <c r="N479" s="350">
        <v>1600690.8136439528</v>
      </c>
      <c r="O479" s="348">
        <v>12157571.398116687</v>
      </c>
      <c r="P479" s="369"/>
      <c r="Q479" s="350">
        <f t="shared" si="213"/>
        <v>1510124.8544733217</v>
      </c>
      <c r="R479" s="350">
        <f t="shared" si="214"/>
        <v>1528780.8547641945</v>
      </c>
      <c r="S479" s="350">
        <f t="shared" si="215"/>
        <v>1546246.5530904746</v>
      </c>
      <c r="T479" s="350">
        <f t="shared" si="216"/>
        <v>1562479.2439300509</v>
      </c>
      <c r="U479" s="350">
        <f t="shared" si="217"/>
        <v>1577436.3258191152</v>
      </c>
      <c r="V479" s="350">
        <f t="shared" si="218"/>
        <v>7725067.8320771558</v>
      </c>
      <c r="W479" s="365"/>
      <c r="X479" s="377">
        <f t="shared" si="196"/>
        <v>0</v>
      </c>
      <c r="Y479" s="377">
        <f t="shared" si="197"/>
        <v>0</v>
      </c>
      <c r="Z479" s="377">
        <f t="shared" si="198"/>
        <v>0</v>
      </c>
      <c r="AA479" s="377">
        <f t="shared" si="199"/>
        <v>0</v>
      </c>
      <c r="AB479" s="377">
        <f t="shared" si="200"/>
        <v>0</v>
      </c>
      <c r="AC479" s="377">
        <f t="shared" si="201"/>
        <v>0</v>
      </c>
      <c r="AD479" s="376"/>
      <c r="AE479" s="332">
        <v>464</v>
      </c>
      <c r="AF479" s="350">
        <v>5313147.8267882392</v>
      </c>
      <c r="AG479" s="350">
        <v>32819.16958998287</v>
      </c>
      <c r="AH479" s="350">
        <v>31423.203272434501</v>
      </c>
      <c r="AI479" s="350">
        <v>29989.673711145264</v>
      </c>
      <c r="AJ479" s="350">
        <v>28518.65412880588</v>
      </c>
      <c r="AK479" s="348">
        <v>5435898.5274906084</v>
      </c>
      <c r="AL479" s="369"/>
      <c r="AM479" s="350">
        <v>7445684.8405791037</v>
      </c>
      <c r="AN479" s="350">
        <v>2191701.429624381</v>
      </c>
      <c r="AO479" s="350">
        <v>2214969.8134379908</v>
      </c>
      <c r="AP479" s="350">
        <v>2236459.4308908619</v>
      </c>
      <c r="AQ479" s="350">
        <v>2256110.1951479409</v>
      </c>
      <c r="AR479" s="348">
        <v>16344925.709680278</v>
      </c>
      <c r="AS479" s="369"/>
      <c r="AT479" s="350">
        <f t="shared" si="219"/>
        <v>2132537.0137908645</v>
      </c>
      <c r="AU479" s="350">
        <f t="shared" si="202"/>
        <v>2158882.2600343982</v>
      </c>
      <c r="AV479" s="350">
        <f t="shared" si="203"/>
        <v>2183546.6101655564</v>
      </c>
      <c r="AW479" s="350">
        <f t="shared" si="204"/>
        <v>2206469.7571797166</v>
      </c>
      <c r="AX479" s="350">
        <f t="shared" si="205"/>
        <v>2227591.5410191352</v>
      </c>
      <c r="AY479" s="350">
        <f t="shared" si="206"/>
        <v>10909027.182189669</v>
      </c>
      <c r="AZ479" s="365"/>
      <c r="BA479" s="377">
        <f t="shared" si="207"/>
        <v>0</v>
      </c>
      <c r="BB479" s="377">
        <f t="shared" si="208"/>
        <v>0</v>
      </c>
      <c r="BC479" s="377">
        <f t="shared" si="209"/>
        <v>0</v>
      </c>
      <c r="BD479" s="377">
        <f t="shared" si="210"/>
        <v>0</v>
      </c>
      <c r="BE479" s="377">
        <f t="shared" si="211"/>
        <v>0</v>
      </c>
      <c r="BF479" s="377">
        <f t="shared" si="212"/>
        <v>0</v>
      </c>
      <c r="BG479" s="328"/>
    </row>
    <row r="480" spans="2:59">
      <c r="B480" s="332">
        <v>465</v>
      </c>
      <c r="C480" s="350">
        <v>5234196.8499154374</v>
      </c>
      <c r="D480" s="350">
        <v>32331.491553579683</v>
      </c>
      <c r="E480" s="350">
        <v>30956.268664985109</v>
      </c>
      <c r="F480" s="350">
        <v>29544.040705478455</v>
      </c>
      <c r="G480" s="350">
        <v>28094.879809708629</v>
      </c>
      <c r="H480" s="348">
        <v>5355123.5306491889</v>
      </c>
      <c r="I480" s="369"/>
      <c r="J480" s="350">
        <v>6798991.6017589383</v>
      </c>
      <c r="K480" s="350">
        <v>1616457.6326256427</v>
      </c>
      <c r="L480" s="350">
        <v>1633180.4054075938</v>
      </c>
      <c r="M480" s="350">
        <v>1648588.5280030945</v>
      </c>
      <c r="N480" s="350">
        <v>1662637.9288147031</v>
      </c>
      <c r="O480" s="348">
        <v>13359856.096609974</v>
      </c>
      <c r="P480" s="369"/>
      <c r="Q480" s="350">
        <f t="shared" si="213"/>
        <v>1564794.7518435009</v>
      </c>
      <c r="R480" s="350">
        <f t="shared" si="214"/>
        <v>1584126.141072063</v>
      </c>
      <c r="S480" s="350">
        <f t="shared" si="215"/>
        <v>1602224.1367426086</v>
      </c>
      <c r="T480" s="350">
        <f t="shared" si="216"/>
        <v>1619044.487297616</v>
      </c>
      <c r="U480" s="350">
        <f t="shared" si="217"/>
        <v>1634543.0490049946</v>
      </c>
      <c r="V480" s="350">
        <f t="shared" si="218"/>
        <v>8004732.5659607854</v>
      </c>
      <c r="W480" s="365"/>
      <c r="X480" s="377">
        <f t="shared" si="196"/>
        <v>0</v>
      </c>
      <c r="Y480" s="377">
        <f t="shared" si="197"/>
        <v>0</v>
      </c>
      <c r="Z480" s="377">
        <f t="shared" si="198"/>
        <v>0</v>
      </c>
      <c r="AA480" s="377">
        <f t="shared" si="199"/>
        <v>0</v>
      </c>
      <c r="AB480" s="377">
        <f t="shared" si="200"/>
        <v>0</v>
      </c>
      <c r="AC480" s="377">
        <f t="shared" si="201"/>
        <v>0</v>
      </c>
      <c r="AD480" s="376"/>
      <c r="AE480" s="332">
        <v>465</v>
      </c>
      <c r="AF480" s="350">
        <v>5268680.4713972202</v>
      </c>
      <c r="AG480" s="350">
        <v>32544.495945398601</v>
      </c>
      <c r="AH480" s="350">
        <v>31160.212895922214</v>
      </c>
      <c r="AI480" s="350">
        <v>29738.68098094943</v>
      </c>
      <c r="AJ480" s="350">
        <v>28279.972810356514</v>
      </c>
      <c r="AK480" s="348">
        <v>5390403.8340298478</v>
      </c>
      <c r="AL480" s="369"/>
      <c r="AM480" s="350">
        <v>7250070.3664690889</v>
      </c>
      <c r="AN480" s="350">
        <v>2038412.3739796011</v>
      </c>
      <c r="AO480" s="350">
        <v>2059944.314096408</v>
      </c>
      <c r="AP480" s="350">
        <v>2079821.2129066142</v>
      </c>
      <c r="AQ480" s="350">
        <v>2097987.2469068156</v>
      </c>
      <c r="AR480" s="348">
        <v>15526235.514358528</v>
      </c>
      <c r="AS480" s="369"/>
      <c r="AT480" s="350">
        <f t="shared" si="219"/>
        <v>1981389.8950718688</v>
      </c>
      <c r="AU480" s="350">
        <f t="shared" si="202"/>
        <v>2005867.8780342024</v>
      </c>
      <c r="AV480" s="350">
        <f t="shared" si="203"/>
        <v>2028784.1012004858</v>
      </c>
      <c r="AW480" s="350">
        <f t="shared" si="204"/>
        <v>2050082.5319256647</v>
      </c>
      <c r="AX480" s="350">
        <f t="shared" si="205"/>
        <v>2069707.2740964592</v>
      </c>
      <c r="AY480" s="350">
        <f t="shared" si="206"/>
        <v>10135831.68032868</v>
      </c>
      <c r="AZ480" s="365"/>
      <c r="BA480" s="377">
        <f t="shared" si="207"/>
        <v>0</v>
      </c>
      <c r="BB480" s="377">
        <f t="shared" si="208"/>
        <v>0</v>
      </c>
      <c r="BC480" s="377">
        <f t="shared" si="209"/>
        <v>0</v>
      </c>
      <c r="BD480" s="377">
        <f t="shared" si="210"/>
        <v>0</v>
      </c>
      <c r="BE480" s="377">
        <f t="shared" si="211"/>
        <v>0</v>
      </c>
      <c r="BF480" s="377">
        <f t="shared" si="212"/>
        <v>0</v>
      </c>
      <c r="BG480" s="328"/>
    </row>
    <row r="481" spans="2:59">
      <c r="B481" s="332">
        <v>466</v>
      </c>
      <c r="C481" s="350">
        <v>5082626.8922601733</v>
      </c>
      <c r="D481" s="350">
        <v>31395.248048372476</v>
      </c>
      <c r="E481" s="350">
        <v>30059.848361114717</v>
      </c>
      <c r="F481" s="350">
        <v>28688.515182253188</v>
      </c>
      <c r="G481" s="350">
        <v>27281.318557583279</v>
      </c>
      <c r="H481" s="348">
        <v>5200051.8224094976</v>
      </c>
      <c r="I481" s="369"/>
      <c r="J481" s="350">
        <v>7646516.8888227716</v>
      </c>
      <c r="K481" s="350">
        <v>2626959.402135063</v>
      </c>
      <c r="L481" s="350">
        <v>2655277.2652817229</v>
      </c>
      <c r="M481" s="350">
        <v>2681465.7948106425</v>
      </c>
      <c r="N481" s="350">
        <v>2705452.7320018173</v>
      </c>
      <c r="O481" s="348">
        <v>18315672.083052017</v>
      </c>
      <c r="P481" s="369"/>
      <c r="Q481" s="350">
        <f t="shared" si="213"/>
        <v>2563889.9965625983</v>
      </c>
      <c r="R481" s="350">
        <f t="shared" si="214"/>
        <v>2595564.1540866904</v>
      </c>
      <c r="S481" s="350">
        <f t="shared" si="215"/>
        <v>2625217.4169206084</v>
      </c>
      <c r="T481" s="350">
        <f t="shared" si="216"/>
        <v>2652777.2796283895</v>
      </c>
      <c r="U481" s="350">
        <f t="shared" si="217"/>
        <v>2678171.4134442341</v>
      </c>
      <c r="V481" s="350">
        <f t="shared" si="218"/>
        <v>13115620.260642519</v>
      </c>
      <c r="W481" s="365"/>
      <c r="X481" s="377">
        <f t="shared" si="196"/>
        <v>0</v>
      </c>
      <c r="Y481" s="377">
        <f t="shared" si="197"/>
        <v>0</v>
      </c>
      <c r="Z481" s="377">
        <f t="shared" si="198"/>
        <v>0</v>
      </c>
      <c r="AA481" s="377">
        <f t="shared" si="199"/>
        <v>0</v>
      </c>
      <c r="AB481" s="377">
        <f t="shared" si="200"/>
        <v>0</v>
      </c>
      <c r="AC481" s="377">
        <f t="shared" si="201"/>
        <v>0</v>
      </c>
      <c r="AD481" s="376"/>
      <c r="AE481" s="332">
        <v>466</v>
      </c>
      <c r="AF481" s="350">
        <v>4887669.6996857822</v>
      </c>
      <c r="AG481" s="350">
        <v>30191.002773354496</v>
      </c>
      <c r="AH481" s="350">
        <v>28906.825766711489</v>
      </c>
      <c r="AI481" s="350">
        <v>27588.093589714801</v>
      </c>
      <c r="AJ481" s="350">
        <v>26234.873601370411</v>
      </c>
      <c r="AK481" s="348">
        <v>5000590.4954169337</v>
      </c>
      <c r="AL481" s="369"/>
      <c r="AM481" s="350">
        <v>6062118.9347368255</v>
      </c>
      <c r="AN481" s="350">
        <v>1219149.3197760144</v>
      </c>
      <c r="AO481" s="350">
        <v>1231448.5070707863</v>
      </c>
      <c r="AP481" s="350">
        <v>1242754.2087496337</v>
      </c>
      <c r="AQ481" s="350">
        <v>1253033.3603040581</v>
      </c>
      <c r="AR481" s="348">
        <v>11008504.330637317</v>
      </c>
      <c r="AS481" s="369"/>
      <c r="AT481" s="350">
        <f t="shared" si="219"/>
        <v>1174449.2350510433</v>
      </c>
      <c r="AU481" s="350">
        <f t="shared" si="202"/>
        <v>1188958.3170026599</v>
      </c>
      <c r="AV481" s="350">
        <f t="shared" si="203"/>
        <v>1202541.6813040748</v>
      </c>
      <c r="AW481" s="350">
        <f t="shared" si="204"/>
        <v>1215166.115159919</v>
      </c>
      <c r="AX481" s="350">
        <f t="shared" si="205"/>
        <v>1226798.4867026876</v>
      </c>
      <c r="AY481" s="350">
        <f t="shared" si="206"/>
        <v>6007913.8352203835</v>
      </c>
      <c r="AZ481" s="365"/>
      <c r="BA481" s="377">
        <f t="shared" si="207"/>
        <v>0</v>
      </c>
      <c r="BB481" s="377">
        <f t="shared" si="208"/>
        <v>0</v>
      </c>
      <c r="BC481" s="377">
        <f t="shared" si="209"/>
        <v>0</v>
      </c>
      <c r="BD481" s="377">
        <f t="shared" si="210"/>
        <v>0</v>
      </c>
      <c r="BE481" s="377">
        <f t="shared" si="211"/>
        <v>0</v>
      </c>
      <c r="BF481" s="377">
        <f t="shared" si="212"/>
        <v>0</v>
      </c>
      <c r="BG481" s="328"/>
    </row>
    <row r="482" spans="2:59">
      <c r="B482" s="332">
        <v>467</v>
      </c>
      <c r="C482" s="350">
        <v>6070139.3169705486</v>
      </c>
      <c r="D482" s="350">
        <v>37495.085432038999</v>
      </c>
      <c r="E482" s="350">
        <v>35900.228615411055</v>
      </c>
      <c r="F482" s="350">
        <v>34262.456726558405</v>
      </c>
      <c r="G482" s="350">
        <v>32581.853420591062</v>
      </c>
      <c r="H482" s="348">
        <v>6210378.9411651473</v>
      </c>
      <c r="I482" s="369"/>
      <c r="J482" s="350">
        <v>7864705.0301020071</v>
      </c>
      <c r="K482" s="350">
        <v>1854230.7657466738</v>
      </c>
      <c r="L482" s="350">
        <v>1873391.3738039548</v>
      </c>
      <c r="M482" s="350">
        <v>1891043.8151224952</v>
      </c>
      <c r="N482" s="350">
        <v>1907137.5476584255</v>
      </c>
      <c r="O482" s="348">
        <v>15390508.532433555</v>
      </c>
      <c r="P482" s="369"/>
      <c r="Q482" s="350">
        <f t="shared" si="213"/>
        <v>1794565.7131314585</v>
      </c>
      <c r="R482" s="350">
        <f t="shared" si="214"/>
        <v>1816735.6803146347</v>
      </c>
      <c r="S482" s="350">
        <f t="shared" si="215"/>
        <v>1837491.1451885437</v>
      </c>
      <c r="T482" s="350">
        <f t="shared" si="216"/>
        <v>1856781.3583959367</v>
      </c>
      <c r="U482" s="350">
        <f t="shared" si="217"/>
        <v>1874555.6942378345</v>
      </c>
      <c r="V482" s="350">
        <f t="shared" si="218"/>
        <v>9180129.5912684072</v>
      </c>
      <c r="W482" s="365"/>
      <c r="X482" s="377">
        <f t="shared" si="196"/>
        <v>0</v>
      </c>
      <c r="Y482" s="377">
        <f t="shared" si="197"/>
        <v>0</v>
      </c>
      <c r="Z482" s="377">
        <f t="shared" si="198"/>
        <v>0</v>
      </c>
      <c r="AA482" s="377">
        <f t="shared" si="199"/>
        <v>0</v>
      </c>
      <c r="AB482" s="377">
        <f t="shared" si="200"/>
        <v>0</v>
      </c>
      <c r="AC482" s="377">
        <f t="shared" si="201"/>
        <v>0</v>
      </c>
      <c r="AD482" s="376"/>
      <c r="AE482" s="332">
        <v>467</v>
      </c>
      <c r="AF482" s="350">
        <v>6061480.9164331947</v>
      </c>
      <c r="AG482" s="350">
        <v>37441.602727458994</v>
      </c>
      <c r="AH482" s="350">
        <v>35849.020802458297</v>
      </c>
      <c r="AI482" s="350">
        <v>34213.585018966842</v>
      </c>
      <c r="AJ482" s="350">
        <v>32535.378912771357</v>
      </c>
      <c r="AK482" s="348">
        <v>6201520.5038948506</v>
      </c>
      <c r="AL482" s="369"/>
      <c r="AM482" s="350">
        <v>7200153.2231594641</v>
      </c>
      <c r="AN482" s="350">
        <v>1190181.0051793361</v>
      </c>
      <c r="AO482" s="350">
        <v>1201758.001215294</v>
      </c>
      <c r="AP482" s="350">
        <v>1212362.4245851203</v>
      </c>
      <c r="AQ482" s="350">
        <v>1221962.236244187</v>
      </c>
      <c r="AR482" s="348">
        <v>12026416.890383402</v>
      </c>
      <c r="AS482" s="369"/>
      <c r="AT482" s="350">
        <f t="shared" si="219"/>
        <v>1138672.3067262694</v>
      </c>
      <c r="AU482" s="350">
        <f t="shared" si="202"/>
        <v>1152739.402451877</v>
      </c>
      <c r="AV482" s="350">
        <f t="shared" si="203"/>
        <v>1165908.9804128357</v>
      </c>
      <c r="AW482" s="350">
        <f t="shared" si="204"/>
        <v>1178148.8395661535</v>
      </c>
      <c r="AX482" s="350">
        <f t="shared" si="205"/>
        <v>1189426.8573314156</v>
      </c>
      <c r="AY482" s="350">
        <f t="shared" si="206"/>
        <v>5824896.3864885513</v>
      </c>
      <c r="AZ482" s="365"/>
      <c r="BA482" s="377">
        <f t="shared" si="207"/>
        <v>0</v>
      </c>
      <c r="BB482" s="377">
        <f t="shared" si="208"/>
        <v>0</v>
      </c>
      <c r="BC482" s="377">
        <f t="shared" si="209"/>
        <v>0</v>
      </c>
      <c r="BD482" s="377">
        <f t="shared" si="210"/>
        <v>0</v>
      </c>
      <c r="BE482" s="377">
        <f t="shared" si="211"/>
        <v>0</v>
      </c>
      <c r="BF482" s="377">
        <f t="shared" si="212"/>
        <v>0</v>
      </c>
      <c r="BG482" s="328"/>
    </row>
    <row r="483" spans="2:59">
      <c r="B483" s="332">
        <v>468</v>
      </c>
      <c r="C483" s="350">
        <v>4655472.1086561885</v>
      </c>
      <c r="D483" s="350">
        <v>28756.724570146842</v>
      </c>
      <c r="E483" s="350">
        <v>27533.55471531938</v>
      </c>
      <c r="F483" s="350">
        <v>26277.471296018764</v>
      </c>
      <c r="G483" s="350">
        <v>24988.538471237429</v>
      </c>
      <c r="H483" s="348">
        <v>4763028.3977089114</v>
      </c>
      <c r="I483" s="369"/>
      <c r="J483" s="350">
        <v>6913499.0879879789</v>
      </c>
      <c r="K483" s="350">
        <v>2314679.2463522395</v>
      </c>
      <c r="L483" s="350">
        <v>2339571.8098533531</v>
      </c>
      <c r="M483" s="350">
        <v>2362587.7949019987</v>
      </c>
      <c r="N483" s="350">
        <v>2383663.5654575564</v>
      </c>
      <c r="O483" s="348">
        <v>16314001.504553126</v>
      </c>
      <c r="P483" s="369"/>
      <c r="Q483" s="350">
        <f t="shared" si="213"/>
        <v>2258026.9793317905</v>
      </c>
      <c r="R483" s="350">
        <f t="shared" si="214"/>
        <v>2285922.5217820928</v>
      </c>
      <c r="S483" s="350">
        <f t="shared" si="215"/>
        <v>2312038.2551380335</v>
      </c>
      <c r="T483" s="350">
        <f t="shared" si="216"/>
        <v>2336310.3236059798</v>
      </c>
      <c r="U483" s="350">
        <f t="shared" si="217"/>
        <v>2358675.0269863191</v>
      </c>
      <c r="V483" s="350">
        <f t="shared" si="218"/>
        <v>11550973.106844215</v>
      </c>
      <c r="W483" s="365"/>
      <c r="X483" s="377">
        <f t="shared" si="196"/>
        <v>0</v>
      </c>
      <c r="Y483" s="377">
        <f t="shared" si="197"/>
        <v>0</v>
      </c>
      <c r="Z483" s="377">
        <f t="shared" si="198"/>
        <v>0</v>
      </c>
      <c r="AA483" s="377">
        <f t="shared" si="199"/>
        <v>0</v>
      </c>
      <c r="AB483" s="377">
        <f t="shared" si="200"/>
        <v>0</v>
      </c>
      <c r="AC483" s="377">
        <f t="shared" si="201"/>
        <v>0</v>
      </c>
      <c r="AD483" s="376"/>
      <c r="AE483" s="332">
        <v>468</v>
      </c>
      <c r="AF483" s="350">
        <v>4676624.5276410487</v>
      </c>
      <c r="AG483" s="350">
        <v>28887.382486796756</v>
      </c>
      <c r="AH483" s="350">
        <v>27658.655085784718</v>
      </c>
      <c r="AI483" s="350">
        <v>26396.864575528201</v>
      </c>
      <c r="AJ483" s="350">
        <v>25102.07540653157</v>
      </c>
      <c r="AK483" s="348">
        <v>4784669.5051956903</v>
      </c>
      <c r="AL483" s="369"/>
      <c r="AM483" s="350">
        <v>6657776.9983173329</v>
      </c>
      <c r="AN483" s="350">
        <v>2034514.9029973485</v>
      </c>
      <c r="AO483" s="350">
        <v>2056199.6527758539</v>
      </c>
      <c r="AP483" s="350">
        <v>2076233.7408595374</v>
      </c>
      <c r="AQ483" s="350">
        <v>2094561.3422835059</v>
      </c>
      <c r="AR483" s="348">
        <v>14919286.637233578</v>
      </c>
      <c r="AS483" s="369"/>
      <c r="AT483" s="350">
        <f t="shared" si="219"/>
        <v>1981152.4706762843</v>
      </c>
      <c r="AU483" s="350">
        <f t="shared" si="202"/>
        <v>2005627.5205105518</v>
      </c>
      <c r="AV483" s="350">
        <f t="shared" si="203"/>
        <v>2028540.9976900693</v>
      </c>
      <c r="AW483" s="350">
        <f t="shared" si="204"/>
        <v>2049836.8762840091</v>
      </c>
      <c r="AX483" s="350">
        <f t="shared" si="205"/>
        <v>2069459.2668769744</v>
      </c>
      <c r="AY483" s="350">
        <f t="shared" si="206"/>
        <v>10134617.132037887</v>
      </c>
      <c r="AZ483" s="365"/>
      <c r="BA483" s="377">
        <f t="shared" si="207"/>
        <v>0</v>
      </c>
      <c r="BB483" s="377">
        <f t="shared" si="208"/>
        <v>0</v>
      </c>
      <c r="BC483" s="377">
        <f t="shared" si="209"/>
        <v>0</v>
      </c>
      <c r="BD483" s="377">
        <f t="shared" si="210"/>
        <v>0</v>
      </c>
      <c r="BE483" s="377">
        <f t="shared" si="211"/>
        <v>0</v>
      </c>
      <c r="BF483" s="377">
        <f t="shared" si="212"/>
        <v>0</v>
      </c>
      <c r="BG483" s="328"/>
    </row>
    <row r="484" spans="2:59">
      <c r="B484" s="332">
        <v>469</v>
      </c>
      <c r="C484" s="350">
        <v>6444503.1840665936</v>
      </c>
      <c r="D484" s="350">
        <v>39807.520855092844</v>
      </c>
      <c r="E484" s="350">
        <v>38114.304390660953</v>
      </c>
      <c r="F484" s="350">
        <v>36375.526151588048</v>
      </c>
      <c r="G484" s="350">
        <v>34591.274952250737</v>
      </c>
      <c r="H484" s="348">
        <v>6593391.8104161853</v>
      </c>
      <c r="I484" s="369"/>
      <c r="J484" s="350">
        <v>7915013.4629888209</v>
      </c>
      <c r="K484" s="350">
        <v>1528484.4037571428</v>
      </c>
      <c r="L484" s="350">
        <v>1543798.7140818161</v>
      </c>
      <c r="M484" s="350">
        <v>1557866.8001980043</v>
      </c>
      <c r="N484" s="350">
        <v>1570647.2670055204</v>
      </c>
      <c r="O484" s="348">
        <v>14115810.648031304</v>
      </c>
      <c r="P484" s="369"/>
      <c r="Q484" s="350">
        <f t="shared" si="213"/>
        <v>1470510.2789222272</v>
      </c>
      <c r="R484" s="350">
        <f t="shared" si="214"/>
        <v>1488676.8829020499</v>
      </c>
      <c r="S484" s="350">
        <f t="shared" si="215"/>
        <v>1505684.4096911552</v>
      </c>
      <c r="T484" s="350">
        <f t="shared" si="216"/>
        <v>1521491.2740464164</v>
      </c>
      <c r="U484" s="350">
        <f t="shared" si="217"/>
        <v>1536055.9920532696</v>
      </c>
      <c r="V484" s="350">
        <f t="shared" si="218"/>
        <v>7522418.8376151184</v>
      </c>
      <c r="W484" s="365"/>
      <c r="X484" s="377">
        <f t="shared" si="196"/>
        <v>0</v>
      </c>
      <c r="Y484" s="377">
        <f t="shared" si="197"/>
        <v>0</v>
      </c>
      <c r="Z484" s="377">
        <f t="shared" si="198"/>
        <v>0</v>
      </c>
      <c r="AA484" s="377">
        <f t="shared" si="199"/>
        <v>0</v>
      </c>
      <c r="AB484" s="377">
        <f t="shared" si="200"/>
        <v>0</v>
      </c>
      <c r="AC484" s="377">
        <f t="shared" si="201"/>
        <v>0</v>
      </c>
      <c r="AD484" s="376"/>
      <c r="AE484" s="332">
        <v>469</v>
      </c>
      <c r="AF484" s="350">
        <v>4634555.7300326284</v>
      </c>
      <c r="AG484" s="350">
        <v>28627.524668386577</v>
      </c>
      <c r="AH484" s="350">
        <v>27409.850342951722</v>
      </c>
      <c r="AI484" s="350">
        <v>26159.410329039143</v>
      </c>
      <c r="AJ484" s="350">
        <v>24876.268497383666</v>
      </c>
      <c r="AK484" s="348">
        <v>4741628.7838703888</v>
      </c>
      <c r="AL484" s="369"/>
      <c r="AM484" s="350">
        <v>6419754.4075976796</v>
      </c>
      <c r="AN484" s="350">
        <v>1835880.4495688577</v>
      </c>
      <c r="AO484" s="350">
        <v>1855309.9035007055</v>
      </c>
      <c r="AP484" s="350">
        <v>1873248.9882034431</v>
      </c>
      <c r="AQ484" s="350">
        <v>1889647.4060981139</v>
      </c>
      <c r="AR484" s="348">
        <v>13873841.1549688</v>
      </c>
      <c r="AS484" s="369"/>
      <c r="AT484" s="350">
        <f t="shared" si="219"/>
        <v>1785198.6775650512</v>
      </c>
      <c r="AU484" s="350">
        <f t="shared" si="202"/>
        <v>1807252.924900471</v>
      </c>
      <c r="AV484" s="350">
        <f t="shared" si="203"/>
        <v>1827900.0531577538</v>
      </c>
      <c r="AW484" s="350">
        <f t="shared" si="204"/>
        <v>1847089.5778744039</v>
      </c>
      <c r="AX484" s="350">
        <f t="shared" si="205"/>
        <v>1864771.1376007302</v>
      </c>
      <c r="AY484" s="350">
        <f t="shared" si="206"/>
        <v>9132212.3710984103</v>
      </c>
      <c r="AZ484" s="365"/>
      <c r="BA484" s="377">
        <f t="shared" si="207"/>
        <v>0</v>
      </c>
      <c r="BB484" s="377">
        <f t="shared" si="208"/>
        <v>0</v>
      </c>
      <c r="BC484" s="377">
        <f t="shared" si="209"/>
        <v>0</v>
      </c>
      <c r="BD484" s="377">
        <f t="shared" si="210"/>
        <v>0</v>
      </c>
      <c r="BE484" s="377">
        <f t="shared" si="211"/>
        <v>0</v>
      </c>
      <c r="BF484" s="377">
        <f t="shared" si="212"/>
        <v>0</v>
      </c>
      <c r="BG484" s="328"/>
    </row>
    <row r="485" spans="2:59">
      <c r="B485" s="332">
        <v>470</v>
      </c>
      <c r="C485" s="350">
        <v>4592204.023696227</v>
      </c>
      <c r="D485" s="350">
        <v>28365.919330459234</v>
      </c>
      <c r="E485" s="350">
        <v>27159.37241150215</v>
      </c>
      <c r="F485" s="350">
        <v>25920.359224957476</v>
      </c>
      <c r="G485" s="350">
        <v>24648.943057900175</v>
      </c>
      <c r="H485" s="348">
        <v>4698298.6177210463</v>
      </c>
      <c r="I485" s="369"/>
      <c r="J485" s="350">
        <v>6721447.9222973259</v>
      </c>
      <c r="K485" s="350">
        <v>2183914.3812092049</v>
      </c>
      <c r="L485" s="350">
        <v>2207334.0971359168</v>
      </c>
      <c r="M485" s="350">
        <v>2228982.8324859715</v>
      </c>
      <c r="N485" s="350">
        <v>2248800.5833893195</v>
      </c>
      <c r="O485" s="348">
        <v>15590479.816517739</v>
      </c>
      <c r="P485" s="369"/>
      <c r="Q485" s="350">
        <f t="shared" si="213"/>
        <v>2129243.8986010989</v>
      </c>
      <c r="R485" s="350">
        <f t="shared" si="214"/>
        <v>2155548.4618787458</v>
      </c>
      <c r="S485" s="350">
        <f t="shared" si="215"/>
        <v>2180174.7247244148</v>
      </c>
      <c r="T485" s="350">
        <f t="shared" si="216"/>
        <v>2203062.4732610141</v>
      </c>
      <c r="U485" s="350">
        <f t="shared" si="217"/>
        <v>2224151.6403314192</v>
      </c>
      <c r="V485" s="350">
        <f t="shared" si="218"/>
        <v>10892181.198796693</v>
      </c>
      <c r="W485" s="365"/>
      <c r="X485" s="377">
        <f t="shared" si="196"/>
        <v>0</v>
      </c>
      <c r="Y485" s="377">
        <f t="shared" si="197"/>
        <v>0</v>
      </c>
      <c r="Z485" s="377">
        <f t="shared" si="198"/>
        <v>0</v>
      </c>
      <c r="AA485" s="377">
        <f t="shared" si="199"/>
        <v>0</v>
      </c>
      <c r="AB485" s="377">
        <f t="shared" si="200"/>
        <v>0</v>
      </c>
      <c r="AC485" s="377">
        <f t="shared" si="201"/>
        <v>0</v>
      </c>
      <c r="AD485" s="376"/>
      <c r="AE485" s="332">
        <v>470</v>
      </c>
      <c r="AF485" s="350">
        <v>5286358.0421706988</v>
      </c>
      <c r="AG485" s="350">
        <v>32653.689819175772</v>
      </c>
      <c r="AH485" s="350">
        <v>31264.762198498414</v>
      </c>
      <c r="AI485" s="350">
        <v>29838.460734268563</v>
      </c>
      <c r="AJ485" s="350">
        <v>28374.858279979919</v>
      </c>
      <c r="AK485" s="348">
        <v>5408489.8132026214</v>
      </c>
      <c r="AL485" s="369"/>
      <c r="AM485" s="350">
        <v>6731435.3643628508</v>
      </c>
      <c r="AN485" s="350">
        <v>1495583.4186274377</v>
      </c>
      <c r="AO485" s="350">
        <v>1510907.8670516543</v>
      </c>
      <c r="AP485" s="350">
        <v>1525015.0450483761</v>
      </c>
      <c r="AQ485" s="350">
        <v>1537864.2590344152</v>
      </c>
      <c r="AR485" s="348">
        <v>12800805.954124734</v>
      </c>
      <c r="AS485" s="369"/>
      <c r="AT485" s="350">
        <f t="shared" si="219"/>
        <v>1445077.322192152</v>
      </c>
      <c r="AU485" s="350">
        <f t="shared" si="202"/>
        <v>1462929.7288082619</v>
      </c>
      <c r="AV485" s="350">
        <f t="shared" si="203"/>
        <v>1479643.1048531558</v>
      </c>
      <c r="AW485" s="350">
        <f t="shared" si="204"/>
        <v>1495176.5843141074</v>
      </c>
      <c r="AX485" s="350">
        <f t="shared" si="205"/>
        <v>1509489.4007544352</v>
      </c>
      <c r="AY485" s="350">
        <f t="shared" si="206"/>
        <v>7392316.1409221124</v>
      </c>
      <c r="AZ485" s="365"/>
      <c r="BA485" s="377">
        <f t="shared" si="207"/>
        <v>0</v>
      </c>
      <c r="BB485" s="377">
        <f t="shared" si="208"/>
        <v>0</v>
      </c>
      <c r="BC485" s="377">
        <f t="shared" si="209"/>
        <v>0</v>
      </c>
      <c r="BD485" s="377">
        <f t="shared" si="210"/>
        <v>0</v>
      </c>
      <c r="BE485" s="377">
        <f t="shared" si="211"/>
        <v>0</v>
      </c>
      <c r="BF485" s="377">
        <f t="shared" si="212"/>
        <v>0</v>
      </c>
      <c r="BG485" s="328"/>
    </row>
    <row r="486" spans="2:59">
      <c r="B486" s="332">
        <v>471</v>
      </c>
      <c r="C486" s="350">
        <v>6925696.8841569191</v>
      </c>
      <c r="D486" s="350">
        <v>42779.841250409117</v>
      </c>
      <c r="E486" s="350">
        <v>40960.196871784756</v>
      </c>
      <c r="F486" s="350">
        <v>39091.588743486507</v>
      </c>
      <c r="G486" s="350">
        <v>37174.112311423363</v>
      </c>
      <c r="H486" s="348">
        <v>7085702.6233340232</v>
      </c>
      <c r="I486" s="369"/>
      <c r="J486" s="350">
        <v>8021773.096521006</v>
      </c>
      <c r="K486" s="350">
        <v>1152396.9195078756</v>
      </c>
      <c r="L486" s="350">
        <v>1163254.1981075427</v>
      </c>
      <c r="M486" s="350">
        <v>1173167.5735941881</v>
      </c>
      <c r="N486" s="350">
        <v>1182106.2204928666</v>
      </c>
      <c r="O486" s="348">
        <v>12692698.008223478</v>
      </c>
      <c r="P486" s="369"/>
      <c r="Q486" s="350">
        <f t="shared" si="213"/>
        <v>1096076.2123640869</v>
      </c>
      <c r="R486" s="350">
        <f t="shared" si="214"/>
        <v>1109617.0782574664</v>
      </c>
      <c r="S486" s="350">
        <f t="shared" si="215"/>
        <v>1122294.001235758</v>
      </c>
      <c r="T486" s="350">
        <f t="shared" si="216"/>
        <v>1134075.9848507016</v>
      </c>
      <c r="U486" s="350">
        <f t="shared" si="217"/>
        <v>1144932.1081814433</v>
      </c>
      <c r="V486" s="350">
        <f t="shared" si="218"/>
        <v>5606995.3848894546</v>
      </c>
      <c r="W486" s="365"/>
      <c r="X486" s="377">
        <f t="shared" si="196"/>
        <v>0</v>
      </c>
      <c r="Y486" s="377">
        <f t="shared" si="197"/>
        <v>0</v>
      </c>
      <c r="Z486" s="377">
        <f t="shared" si="198"/>
        <v>0</v>
      </c>
      <c r="AA486" s="377">
        <f t="shared" si="199"/>
        <v>0</v>
      </c>
      <c r="AB486" s="377">
        <f t="shared" si="200"/>
        <v>0</v>
      </c>
      <c r="AC486" s="377">
        <f t="shared" si="201"/>
        <v>0</v>
      </c>
      <c r="AD486" s="376"/>
      <c r="AE486" s="332">
        <v>471</v>
      </c>
      <c r="AF486" s="350">
        <v>5428981.277122397</v>
      </c>
      <c r="AG486" s="350">
        <v>33534.669661624386</v>
      </c>
      <c r="AH486" s="350">
        <v>32108.2694844547</v>
      </c>
      <c r="AI486" s="350">
        <v>30643.487136557873</v>
      </c>
      <c r="AJ486" s="350">
        <v>29140.39743697668</v>
      </c>
      <c r="AK486" s="348">
        <v>5554408.1008420102</v>
      </c>
      <c r="AL486" s="369"/>
      <c r="AM486" s="350">
        <v>7378272.9849253865</v>
      </c>
      <c r="AN486" s="350">
        <v>2006907.8211677924</v>
      </c>
      <c r="AO486" s="350">
        <v>2028026.4051470994</v>
      </c>
      <c r="AP486" s="350">
        <v>2047515.0224834678</v>
      </c>
      <c r="AQ486" s="350">
        <v>2065318.7573904158</v>
      </c>
      <c r="AR486" s="348">
        <v>15526040.991114162</v>
      </c>
      <c r="AS486" s="369"/>
      <c r="AT486" s="350">
        <f t="shared" si="219"/>
        <v>1949291.7078029895</v>
      </c>
      <c r="AU486" s="350">
        <f t="shared" si="202"/>
        <v>1973373.1515061681</v>
      </c>
      <c r="AV486" s="350">
        <f t="shared" si="203"/>
        <v>1995918.1356626446</v>
      </c>
      <c r="AW486" s="350">
        <f t="shared" si="204"/>
        <v>2016871.5353469099</v>
      </c>
      <c r="AX486" s="350">
        <f t="shared" si="205"/>
        <v>2036178.3599534391</v>
      </c>
      <c r="AY486" s="350">
        <f t="shared" si="206"/>
        <v>9971632.8902721517</v>
      </c>
      <c r="AZ486" s="365"/>
      <c r="BA486" s="377">
        <f t="shared" si="207"/>
        <v>0</v>
      </c>
      <c r="BB486" s="377">
        <f t="shared" si="208"/>
        <v>0</v>
      </c>
      <c r="BC486" s="377">
        <f t="shared" si="209"/>
        <v>0</v>
      </c>
      <c r="BD486" s="377">
        <f t="shared" si="210"/>
        <v>0</v>
      </c>
      <c r="BE486" s="377">
        <f t="shared" si="211"/>
        <v>0</v>
      </c>
      <c r="BF486" s="377">
        <f t="shared" si="212"/>
        <v>0</v>
      </c>
      <c r="BG486" s="328"/>
    </row>
    <row r="487" spans="2:59">
      <c r="B487" s="332">
        <v>472</v>
      </c>
      <c r="C487" s="350">
        <v>5717653.1711386191</v>
      </c>
      <c r="D487" s="350">
        <v>35317.788098084042</v>
      </c>
      <c r="E487" s="350">
        <v>33815.542818537557</v>
      </c>
      <c r="F487" s="350">
        <v>32272.874496621229</v>
      </c>
      <c r="G487" s="350">
        <v>30689.861929692361</v>
      </c>
      <c r="H487" s="348">
        <v>5849749.2384815542</v>
      </c>
      <c r="I487" s="369"/>
      <c r="J487" s="350">
        <v>8092388.1425667983</v>
      </c>
      <c r="K487" s="350">
        <v>2439390.1061611976</v>
      </c>
      <c r="L487" s="350">
        <v>2465353.4075170616</v>
      </c>
      <c r="M487" s="350">
        <v>2489337.3295978783</v>
      </c>
      <c r="N487" s="350">
        <v>2511274.9586038995</v>
      </c>
      <c r="O487" s="348">
        <v>17997743.944446836</v>
      </c>
      <c r="P487" s="369"/>
      <c r="Q487" s="350">
        <f t="shared" si="213"/>
        <v>2374734.9714281792</v>
      </c>
      <c r="R487" s="350">
        <f t="shared" si="214"/>
        <v>2404072.3180631138</v>
      </c>
      <c r="S487" s="350">
        <f t="shared" si="215"/>
        <v>2431537.8646985241</v>
      </c>
      <c r="T487" s="350">
        <f t="shared" si="216"/>
        <v>2457064.4551012572</v>
      </c>
      <c r="U487" s="350">
        <f t="shared" si="217"/>
        <v>2480585.0966742071</v>
      </c>
      <c r="V487" s="350">
        <f t="shared" si="218"/>
        <v>12147994.705965281</v>
      </c>
      <c r="W487" s="365"/>
      <c r="X487" s="377">
        <f t="shared" si="196"/>
        <v>0</v>
      </c>
      <c r="Y487" s="377">
        <f t="shared" si="197"/>
        <v>0</v>
      </c>
      <c r="Z487" s="377">
        <f t="shared" si="198"/>
        <v>0</v>
      </c>
      <c r="AA487" s="377">
        <f t="shared" si="199"/>
        <v>0</v>
      </c>
      <c r="AB487" s="377">
        <f t="shared" si="200"/>
        <v>0</v>
      </c>
      <c r="AC487" s="377">
        <f t="shared" si="201"/>
        <v>0</v>
      </c>
      <c r="AD487" s="376"/>
      <c r="AE487" s="332">
        <v>472</v>
      </c>
      <c r="AF487" s="350">
        <v>5647669.3932673195</v>
      </c>
      <c r="AG487" s="350">
        <v>34885.50020597368</v>
      </c>
      <c r="AH487" s="350">
        <v>33401.642330631563</v>
      </c>
      <c r="AI487" s="350">
        <v>31877.856188858605</v>
      </c>
      <c r="AJ487" s="350">
        <v>30314.219613535231</v>
      </c>
      <c r="AK487" s="348">
        <v>5778148.6116063194</v>
      </c>
      <c r="AL487" s="369"/>
      <c r="AM487" s="350">
        <v>7514261.0365739018</v>
      </c>
      <c r="AN487" s="350">
        <v>1924536.915118404</v>
      </c>
      <c r="AO487" s="350">
        <v>1944641.5546734405</v>
      </c>
      <c r="AP487" s="350">
        <v>1963182.2055745926</v>
      </c>
      <c r="AQ487" s="350">
        <v>1980106.2880641352</v>
      </c>
      <c r="AR487" s="348">
        <v>15326728.000004474</v>
      </c>
      <c r="AS487" s="369"/>
      <c r="AT487" s="350">
        <f t="shared" si="219"/>
        <v>1866591.6433065822</v>
      </c>
      <c r="AU487" s="350">
        <f t="shared" si="202"/>
        <v>1889651.4149124303</v>
      </c>
      <c r="AV487" s="350">
        <f t="shared" si="203"/>
        <v>1911239.9123428089</v>
      </c>
      <c r="AW487" s="350">
        <f t="shared" si="204"/>
        <v>1931304.3493857339</v>
      </c>
      <c r="AX487" s="350">
        <f t="shared" si="205"/>
        <v>1949792.0684505999</v>
      </c>
      <c r="AY487" s="350">
        <f t="shared" si="206"/>
        <v>9548579.3883981556</v>
      </c>
      <c r="AZ487" s="365"/>
      <c r="BA487" s="377">
        <f t="shared" si="207"/>
        <v>0</v>
      </c>
      <c r="BB487" s="377">
        <f t="shared" si="208"/>
        <v>0</v>
      </c>
      <c r="BC487" s="377">
        <f t="shared" si="209"/>
        <v>0</v>
      </c>
      <c r="BD487" s="377">
        <f t="shared" si="210"/>
        <v>0</v>
      </c>
      <c r="BE487" s="377">
        <f t="shared" si="211"/>
        <v>0</v>
      </c>
      <c r="BF487" s="377">
        <f t="shared" si="212"/>
        <v>0</v>
      </c>
      <c r="BG487" s="328"/>
    </row>
    <row r="488" spans="2:59">
      <c r="B488" s="332">
        <v>473</v>
      </c>
      <c r="C488" s="350">
        <v>5815171.4933006149</v>
      </c>
      <c r="D488" s="350">
        <v>35920.156121240609</v>
      </c>
      <c r="E488" s="350">
        <v>34392.289063886325</v>
      </c>
      <c r="F488" s="350">
        <v>32823.309522680895</v>
      </c>
      <c r="G488" s="350">
        <v>31213.297638921573</v>
      </c>
      <c r="H488" s="348">
        <v>5949520.5456473455</v>
      </c>
      <c r="I488" s="369"/>
      <c r="J488" s="350">
        <v>7268339.7878772859</v>
      </c>
      <c r="K488" s="350">
        <v>1507040.812746654</v>
      </c>
      <c r="L488" s="350">
        <v>1522319.8997469111</v>
      </c>
      <c r="M488" s="350">
        <v>1536371.3714510873</v>
      </c>
      <c r="N488" s="350">
        <v>1549154.3133129636</v>
      </c>
      <c r="O488" s="348">
        <v>13383226.185134903</v>
      </c>
      <c r="P488" s="369"/>
      <c r="Q488" s="350">
        <f t="shared" si="213"/>
        <v>1453168.294576671</v>
      </c>
      <c r="R488" s="350">
        <f t="shared" si="214"/>
        <v>1471120.6566254133</v>
      </c>
      <c r="S488" s="350">
        <f t="shared" si="215"/>
        <v>1487927.6106830249</v>
      </c>
      <c r="T488" s="350">
        <f t="shared" si="216"/>
        <v>1503548.0619284064</v>
      </c>
      <c r="U488" s="350">
        <f t="shared" si="217"/>
        <v>1517941.015674042</v>
      </c>
      <c r="V488" s="350">
        <f t="shared" si="218"/>
        <v>7433705.6394875571</v>
      </c>
      <c r="W488" s="365"/>
      <c r="X488" s="377">
        <f t="shared" si="196"/>
        <v>0</v>
      </c>
      <c r="Y488" s="377">
        <f t="shared" si="197"/>
        <v>0</v>
      </c>
      <c r="Z488" s="377">
        <f t="shared" si="198"/>
        <v>0</v>
      </c>
      <c r="AA488" s="377">
        <f t="shared" si="199"/>
        <v>0</v>
      </c>
      <c r="AB488" s="377">
        <f t="shared" si="200"/>
        <v>0</v>
      </c>
      <c r="AC488" s="377">
        <f t="shared" si="201"/>
        <v>0</v>
      </c>
      <c r="AD488" s="376"/>
      <c r="AE488" s="332">
        <v>473</v>
      </c>
      <c r="AF488" s="350">
        <v>6254489.5345443161</v>
      </c>
      <c r="AG488" s="350">
        <v>38633.811711026276</v>
      </c>
      <c r="AH488" s="350">
        <v>36990.519070143739</v>
      </c>
      <c r="AI488" s="350">
        <v>35303.008025685762</v>
      </c>
      <c r="AJ488" s="350">
        <v>33571.364773362577</v>
      </c>
      <c r="AK488" s="348">
        <v>6398988.2381245345</v>
      </c>
      <c r="AL488" s="369"/>
      <c r="AM488" s="350">
        <v>8405226.7189898565</v>
      </c>
      <c r="AN488" s="350">
        <v>2215941.086318153</v>
      </c>
      <c r="AO488" s="350">
        <v>2239172.6420921953</v>
      </c>
      <c r="AP488" s="350">
        <v>2260603.916020303</v>
      </c>
      <c r="AQ488" s="350">
        <v>2280174.3208034788</v>
      </c>
      <c r="AR488" s="348">
        <v>17401118.684223987</v>
      </c>
      <c r="AS488" s="369"/>
      <c r="AT488" s="350">
        <f t="shared" si="219"/>
        <v>2150737.1844455404</v>
      </c>
      <c r="AU488" s="350">
        <f t="shared" si="202"/>
        <v>2177307.2746071266</v>
      </c>
      <c r="AV488" s="350">
        <f t="shared" si="203"/>
        <v>2202182.1230220515</v>
      </c>
      <c r="AW488" s="350">
        <f t="shared" si="204"/>
        <v>2225300.9079946172</v>
      </c>
      <c r="AX488" s="350">
        <f t="shared" si="205"/>
        <v>2246602.9560301164</v>
      </c>
      <c r="AY488" s="350">
        <f t="shared" si="206"/>
        <v>11002130.446099453</v>
      </c>
      <c r="AZ488" s="365"/>
      <c r="BA488" s="377">
        <f t="shared" si="207"/>
        <v>0</v>
      </c>
      <c r="BB488" s="377">
        <f t="shared" si="208"/>
        <v>0</v>
      </c>
      <c r="BC488" s="377">
        <f t="shared" si="209"/>
        <v>0</v>
      </c>
      <c r="BD488" s="377">
        <f t="shared" si="210"/>
        <v>0</v>
      </c>
      <c r="BE488" s="377">
        <f t="shared" si="211"/>
        <v>0</v>
      </c>
      <c r="BF488" s="377">
        <f t="shared" si="212"/>
        <v>0</v>
      </c>
      <c r="BG488" s="328"/>
    </row>
    <row r="489" spans="2:59">
      <c r="B489" s="332">
        <v>474</v>
      </c>
      <c r="C489" s="350">
        <v>6046402.6129802642</v>
      </c>
      <c r="D489" s="350">
        <v>37348.464457212525</v>
      </c>
      <c r="E489" s="350">
        <v>35759.844176877763</v>
      </c>
      <c r="F489" s="350">
        <v>34128.476639637913</v>
      </c>
      <c r="G489" s="350">
        <v>32454.44517348181</v>
      </c>
      <c r="H489" s="348">
        <v>6186093.8434274746</v>
      </c>
      <c r="I489" s="369"/>
      <c r="J489" s="350">
        <v>8507170.5453058966</v>
      </c>
      <c r="K489" s="350">
        <v>2528516.5899359137</v>
      </c>
      <c r="L489" s="350">
        <v>2555388.5504013803</v>
      </c>
      <c r="M489" s="350">
        <v>2580208.5620034644</v>
      </c>
      <c r="N489" s="350">
        <v>2602907.2884352738</v>
      </c>
      <c r="O489" s="348">
        <v>18774191.536081929</v>
      </c>
      <c r="P489" s="369"/>
      <c r="Q489" s="350">
        <f t="shared" si="213"/>
        <v>2460767.9323256323</v>
      </c>
      <c r="R489" s="350">
        <f t="shared" si="214"/>
        <v>2491168.1254787012</v>
      </c>
      <c r="S489" s="350">
        <f t="shared" si="215"/>
        <v>2519628.7062245025</v>
      </c>
      <c r="T489" s="350">
        <f t="shared" si="216"/>
        <v>2546080.0853638267</v>
      </c>
      <c r="U489" s="350">
        <f t="shared" si="217"/>
        <v>2570452.8432617919</v>
      </c>
      <c r="V489" s="350">
        <f t="shared" si="218"/>
        <v>12588097.692654453</v>
      </c>
      <c r="W489" s="365"/>
      <c r="X489" s="377">
        <f t="shared" si="196"/>
        <v>0</v>
      </c>
      <c r="Y489" s="377">
        <f t="shared" si="197"/>
        <v>0</v>
      </c>
      <c r="Z489" s="377">
        <f t="shared" si="198"/>
        <v>0</v>
      </c>
      <c r="AA489" s="377">
        <f t="shared" si="199"/>
        <v>0</v>
      </c>
      <c r="AB489" s="377">
        <f t="shared" si="200"/>
        <v>0</v>
      </c>
      <c r="AC489" s="377">
        <f t="shared" si="201"/>
        <v>0</v>
      </c>
      <c r="AD489" s="376"/>
      <c r="AE489" s="332">
        <v>474</v>
      </c>
      <c r="AF489" s="350">
        <v>6348543.9798163027</v>
      </c>
      <c r="AG489" s="350">
        <v>39214.783460862913</v>
      </c>
      <c r="AH489" s="350">
        <v>37546.779134573269</v>
      </c>
      <c r="AI489" s="350">
        <v>35833.891452373762</v>
      </c>
      <c r="AJ489" s="350">
        <v>34076.207906177886</v>
      </c>
      <c r="AK489" s="348">
        <v>6495215.6417702911</v>
      </c>
      <c r="AL489" s="369"/>
      <c r="AM489" s="350">
        <v>9160365.8979218081</v>
      </c>
      <c r="AN489" s="350">
        <v>2885773.7965599839</v>
      </c>
      <c r="AO489" s="350">
        <v>2916626.569057791</v>
      </c>
      <c r="AP489" s="350">
        <v>2945138.6232122597</v>
      </c>
      <c r="AQ489" s="350">
        <v>2971230.7234518058</v>
      </c>
      <c r="AR489" s="348">
        <v>20879135.610203646</v>
      </c>
      <c r="AS489" s="369"/>
      <c r="AT489" s="350">
        <f t="shared" si="219"/>
        <v>2811821.9181055054</v>
      </c>
      <c r="AU489" s="350">
        <f t="shared" si="202"/>
        <v>2846559.0130991209</v>
      </c>
      <c r="AV489" s="350">
        <f t="shared" si="203"/>
        <v>2879079.7899232176</v>
      </c>
      <c r="AW489" s="350">
        <f t="shared" si="204"/>
        <v>2909304.7317598858</v>
      </c>
      <c r="AX489" s="350">
        <f t="shared" si="205"/>
        <v>2937154.515545628</v>
      </c>
      <c r="AY489" s="350">
        <f t="shared" si="206"/>
        <v>14383919.968433354</v>
      </c>
      <c r="AZ489" s="365"/>
      <c r="BA489" s="377">
        <f t="shared" si="207"/>
        <v>0</v>
      </c>
      <c r="BB489" s="377">
        <f t="shared" si="208"/>
        <v>0</v>
      </c>
      <c r="BC489" s="377">
        <f t="shared" si="209"/>
        <v>0</v>
      </c>
      <c r="BD489" s="377">
        <f t="shared" si="210"/>
        <v>0</v>
      </c>
      <c r="BE489" s="377">
        <f t="shared" si="211"/>
        <v>0</v>
      </c>
      <c r="BF489" s="377">
        <f t="shared" si="212"/>
        <v>0</v>
      </c>
      <c r="BG489" s="328"/>
    </row>
    <row r="490" spans="2:59">
      <c r="B490" s="332">
        <v>475</v>
      </c>
      <c r="C490" s="350">
        <v>6134080.1090037916</v>
      </c>
      <c r="D490" s="350">
        <v>37890.045965016478</v>
      </c>
      <c r="E490" s="350">
        <v>36278.389466748296</v>
      </c>
      <c r="F490" s="350">
        <v>34623.365843416963</v>
      </c>
      <c r="G490" s="350">
        <v>32925.059631329503</v>
      </c>
      <c r="H490" s="348">
        <v>6275796.9699103041</v>
      </c>
      <c r="I490" s="369"/>
      <c r="J490" s="350">
        <v>9332696.260074839</v>
      </c>
      <c r="K490" s="350">
        <v>3276021.7269394407</v>
      </c>
      <c r="L490" s="350">
        <v>3311404.4054398192</v>
      </c>
      <c r="M490" s="350">
        <v>3344132.0667587426</v>
      </c>
      <c r="N490" s="350">
        <v>3374114.5606881268</v>
      </c>
      <c r="O490" s="348">
        <v>22638369.019900966</v>
      </c>
      <c r="P490" s="369"/>
      <c r="Q490" s="350">
        <f t="shared" si="213"/>
        <v>3198616.1510710474</v>
      </c>
      <c r="R490" s="350">
        <f t="shared" si="214"/>
        <v>3238131.6809744244</v>
      </c>
      <c r="S490" s="350">
        <f t="shared" si="215"/>
        <v>3275126.0159730711</v>
      </c>
      <c r="T490" s="350">
        <f t="shared" si="216"/>
        <v>3309508.7009153254</v>
      </c>
      <c r="U490" s="350">
        <f t="shared" si="217"/>
        <v>3341189.5010567973</v>
      </c>
      <c r="V490" s="350">
        <f t="shared" si="218"/>
        <v>16362572.049990661</v>
      </c>
      <c r="W490" s="365"/>
      <c r="X490" s="377">
        <f t="shared" si="196"/>
        <v>0</v>
      </c>
      <c r="Y490" s="377">
        <f t="shared" si="197"/>
        <v>0</v>
      </c>
      <c r="Z490" s="377">
        <f t="shared" si="198"/>
        <v>0</v>
      </c>
      <c r="AA490" s="377">
        <f t="shared" si="199"/>
        <v>0</v>
      </c>
      <c r="AB490" s="377">
        <f t="shared" si="200"/>
        <v>0</v>
      </c>
      <c r="AC490" s="377">
        <f t="shared" si="201"/>
        <v>0</v>
      </c>
      <c r="AD490" s="376"/>
      <c r="AE490" s="332">
        <v>475</v>
      </c>
      <c r="AF490" s="350">
        <v>6664097.9940171307</v>
      </c>
      <c r="AG490" s="350">
        <v>41163.952022415608</v>
      </c>
      <c r="AH490" s="350">
        <v>39413.039636809583</v>
      </c>
      <c r="AI490" s="350">
        <v>37615.012970659052</v>
      </c>
      <c r="AJ490" s="350">
        <v>35769.963864666577</v>
      </c>
      <c r="AK490" s="348">
        <v>6818059.962511681</v>
      </c>
      <c r="AL490" s="369"/>
      <c r="AM490" s="350">
        <v>8842118.0311199166</v>
      </c>
      <c r="AN490" s="350">
        <v>2246091.1301641394</v>
      </c>
      <c r="AO490" s="350">
        <v>2269530.6123369318</v>
      </c>
      <c r="AP490" s="350">
        <v>2291144.640508478</v>
      </c>
      <c r="AQ490" s="350">
        <v>2310871.8633603044</v>
      </c>
      <c r="AR490" s="348">
        <v>17959756.27748977</v>
      </c>
      <c r="AS490" s="369"/>
      <c r="AT490" s="350">
        <f t="shared" si="219"/>
        <v>2178020.0371027859</v>
      </c>
      <c r="AU490" s="350">
        <f t="shared" si="202"/>
        <v>2204927.1781417239</v>
      </c>
      <c r="AV490" s="350">
        <f t="shared" si="203"/>
        <v>2230117.5727001224</v>
      </c>
      <c r="AW490" s="350">
        <f t="shared" si="204"/>
        <v>2253529.6275378191</v>
      </c>
      <c r="AX490" s="350">
        <f t="shared" si="205"/>
        <v>2275101.899495638</v>
      </c>
      <c r="AY490" s="350">
        <f t="shared" si="206"/>
        <v>11141696.314978089</v>
      </c>
      <c r="AZ490" s="365"/>
      <c r="BA490" s="377">
        <f t="shared" si="207"/>
        <v>0</v>
      </c>
      <c r="BB490" s="377">
        <f t="shared" si="208"/>
        <v>0</v>
      </c>
      <c r="BC490" s="377">
        <f t="shared" si="209"/>
        <v>0</v>
      </c>
      <c r="BD490" s="377">
        <f t="shared" si="210"/>
        <v>0</v>
      </c>
      <c r="BE490" s="377">
        <f t="shared" si="211"/>
        <v>0</v>
      </c>
      <c r="BF490" s="377">
        <f t="shared" si="212"/>
        <v>0</v>
      </c>
      <c r="BG490" s="328"/>
    </row>
    <row r="491" spans="2:59">
      <c r="B491" s="332">
        <v>476</v>
      </c>
      <c r="C491" s="350">
        <v>8915681.0447318777</v>
      </c>
      <c r="D491" s="350">
        <v>55071.919275795881</v>
      </c>
      <c r="E491" s="350">
        <v>52729.430257573506</v>
      </c>
      <c r="F491" s="350">
        <v>50323.908568109728</v>
      </c>
      <c r="G491" s="350">
        <v>47855.477078107651</v>
      </c>
      <c r="H491" s="348">
        <v>9121661.7799114659</v>
      </c>
      <c r="I491" s="369"/>
      <c r="J491" s="350">
        <v>11572774.437973727</v>
      </c>
      <c r="K491" s="350">
        <v>2744990.8997334037</v>
      </c>
      <c r="L491" s="350">
        <v>2773379.6389931869</v>
      </c>
      <c r="M491" s="350">
        <v>2799535.8454658799</v>
      </c>
      <c r="N491" s="350">
        <v>2823384.6839366192</v>
      </c>
      <c r="O491" s="348">
        <v>22714065.506102815</v>
      </c>
      <c r="P491" s="369"/>
      <c r="Q491" s="350">
        <f t="shared" si="213"/>
        <v>2657093.3932418488</v>
      </c>
      <c r="R491" s="350">
        <f t="shared" si="214"/>
        <v>2689918.9804576077</v>
      </c>
      <c r="S491" s="350">
        <f t="shared" si="215"/>
        <v>2720650.2087356132</v>
      </c>
      <c r="T491" s="350">
        <f t="shared" si="216"/>
        <v>2749211.93689777</v>
      </c>
      <c r="U491" s="350">
        <f t="shared" si="217"/>
        <v>2775529.2068585115</v>
      </c>
      <c r="V491" s="350">
        <f t="shared" si="218"/>
        <v>13592403.726191349</v>
      </c>
      <c r="W491" s="365"/>
      <c r="X491" s="377">
        <f t="shared" si="196"/>
        <v>0</v>
      </c>
      <c r="Y491" s="377">
        <f t="shared" si="197"/>
        <v>0</v>
      </c>
      <c r="Z491" s="377">
        <f t="shared" si="198"/>
        <v>0</v>
      </c>
      <c r="AA491" s="377">
        <f t="shared" si="199"/>
        <v>0</v>
      </c>
      <c r="AB491" s="377">
        <f t="shared" si="200"/>
        <v>0</v>
      </c>
      <c r="AC491" s="377">
        <f t="shared" si="201"/>
        <v>0</v>
      </c>
      <c r="AD491" s="376"/>
      <c r="AE491" s="332">
        <v>476</v>
      </c>
      <c r="AF491" s="350">
        <v>5227276.0019664997</v>
      </c>
      <c r="AG491" s="350">
        <v>32288.741664069479</v>
      </c>
      <c r="AH491" s="350">
        <v>30915.337145853759</v>
      </c>
      <c r="AI491" s="350">
        <v>29504.976486195766</v>
      </c>
      <c r="AJ491" s="350">
        <v>28057.731724360634</v>
      </c>
      <c r="AK491" s="348">
        <v>5348042.78898698</v>
      </c>
      <c r="AL491" s="369"/>
      <c r="AM491" s="350">
        <v>7527312.605508538</v>
      </c>
      <c r="AN491" s="350">
        <v>2360739.8722682842</v>
      </c>
      <c r="AO491" s="350">
        <v>2385968.0731324768</v>
      </c>
      <c r="AP491" s="350">
        <v>2409281.3523721388</v>
      </c>
      <c r="AQ491" s="350">
        <v>2430614.896712021</v>
      </c>
      <c r="AR491" s="348">
        <v>17113916.799993459</v>
      </c>
      <c r="AS491" s="369"/>
      <c r="AT491" s="350">
        <f t="shared" si="219"/>
        <v>2300036.6035420382</v>
      </c>
      <c r="AU491" s="350">
        <f t="shared" si="202"/>
        <v>2328451.1306042145</v>
      </c>
      <c r="AV491" s="350">
        <f t="shared" si="203"/>
        <v>2355052.735986623</v>
      </c>
      <c r="AW491" s="350">
        <f t="shared" si="204"/>
        <v>2379776.375885943</v>
      </c>
      <c r="AX491" s="350">
        <f t="shared" si="205"/>
        <v>2402557.1649876605</v>
      </c>
      <c r="AY491" s="350">
        <f t="shared" si="206"/>
        <v>11765874.011006478</v>
      </c>
      <c r="AZ491" s="365"/>
      <c r="BA491" s="377">
        <f t="shared" si="207"/>
        <v>0</v>
      </c>
      <c r="BB491" s="377">
        <f t="shared" si="208"/>
        <v>0</v>
      </c>
      <c r="BC491" s="377">
        <f t="shared" si="209"/>
        <v>0</v>
      </c>
      <c r="BD491" s="377">
        <f t="shared" si="210"/>
        <v>0</v>
      </c>
      <c r="BE491" s="377">
        <f t="shared" si="211"/>
        <v>0</v>
      </c>
      <c r="BF491" s="377">
        <f t="shared" si="212"/>
        <v>0</v>
      </c>
      <c r="BG491" s="328"/>
    </row>
    <row r="492" spans="2:59">
      <c r="B492" s="332">
        <v>477</v>
      </c>
      <c r="C492" s="350">
        <v>7182463.1605506456</v>
      </c>
      <c r="D492" s="350">
        <v>44365.879554757979</v>
      </c>
      <c r="E492" s="350">
        <v>42478.772894823858</v>
      </c>
      <c r="F492" s="350">
        <v>40540.887182023245</v>
      </c>
      <c r="G492" s="350">
        <v>38552.321400862078</v>
      </c>
      <c r="H492" s="348">
        <v>7348401.0215831129</v>
      </c>
      <c r="I492" s="369"/>
      <c r="J492" s="350">
        <v>9293812.5763646122</v>
      </c>
      <c r="K492" s="350">
        <v>2181798.7911796025</v>
      </c>
      <c r="L492" s="350">
        <v>2204330.9845853131</v>
      </c>
      <c r="M492" s="350">
        <v>2225088.4953622231</v>
      </c>
      <c r="N492" s="350">
        <v>2244011.8601510394</v>
      </c>
      <c r="O492" s="348">
        <v>18149042.707642794</v>
      </c>
      <c r="P492" s="369"/>
      <c r="Q492" s="350">
        <f t="shared" si="213"/>
        <v>2111349.4158139667</v>
      </c>
      <c r="R492" s="350">
        <f t="shared" si="214"/>
        <v>2137432.9116248447</v>
      </c>
      <c r="S492" s="350">
        <f t="shared" si="215"/>
        <v>2161852.2116904892</v>
      </c>
      <c r="T492" s="350">
        <f t="shared" si="216"/>
        <v>2184547.6081801997</v>
      </c>
      <c r="U492" s="350">
        <f t="shared" si="217"/>
        <v>2205459.5387501772</v>
      </c>
      <c r="V492" s="350">
        <f t="shared" si="218"/>
        <v>10800641.68605968</v>
      </c>
      <c r="W492" s="365"/>
      <c r="X492" s="377">
        <f t="shared" si="196"/>
        <v>0</v>
      </c>
      <c r="Y492" s="377">
        <f t="shared" si="197"/>
        <v>0</v>
      </c>
      <c r="Z492" s="377">
        <f t="shared" si="198"/>
        <v>0</v>
      </c>
      <c r="AA492" s="377">
        <f t="shared" si="199"/>
        <v>0</v>
      </c>
      <c r="AB492" s="377">
        <f t="shared" si="200"/>
        <v>0</v>
      </c>
      <c r="AC492" s="377">
        <f t="shared" si="201"/>
        <v>0</v>
      </c>
      <c r="AD492" s="376"/>
      <c r="AE492" s="332">
        <v>477</v>
      </c>
      <c r="AF492" s="350">
        <v>4282519.0730218282</v>
      </c>
      <c r="AG492" s="350">
        <v>26453.003814651493</v>
      </c>
      <c r="AH492" s="350">
        <v>25327.82292846471</v>
      </c>
      <c r="AI492" s="350">
        <v>24172.365205827224</v>
      </c>
      <c r="AJ492" s="350">
        <v>22986.68966591857</v>
      </c>
      <c r="AK492" s="348">
        <v>4381458.9546366902</v>
      </c>
      <c r="AL492" s="369"/>
      <c r="AM492" s="350">
        <v>6712210.4508512579</v>
      </c>
      <c r="AN492" s="350">
        <v>2486160.6567336824</v>
      </c>
      <c r="AO492" s="350">
        <v>2513136.6335136499</v>
      </c>
      <c r="AP492" s="350">
        <v>2538098.5056628166</v>
      </c>
      <c r="AQ492" s="350">
        <v>2560977.7892524111</v>
      </c>
      <c r="AR492" s="348">
        <v>16810584.036013819</v>
      </c>
      <c r="AS492" s="369"/>
      <c r="AT492" s="350">
        <f t="shared" si="219"/>
        <v>2429691.3778294297</v>
      </c>
      <c r="AU492" s="350">
        <f t="shared" si="202"/>
        <v>2459707.6529190307</v>
      </c>
      <c r="AV492" s="350">
        <f t="shared" si="203"/>
        <v>2487808.8105851854</v>
      </c>
      <c r="AW492" s="350">
        <f t="shared" si="204"/>
        <v>2513926.1404569894</v>
      </c>
      <c r="AX492" s="350">
        <f t="shared" si="205"/>
        <v>2537991.0995864924</v>
      </c>
      <c r="AY492" s="350">
        <f t="shared" si="206"/>
        <v>12429125.08137713</v>
      </c>
      <c r="AZ492" s="365"/>
      <c r="BA492" s="377">
        <f t="shared" si="207"/>
        <v>0</v>
      </c>
      <c r="BB492" s="377">
        <f t="shared" si="208"/>
        <v>0</v>
      </c>
      <c r="BC492" s="377">
        <f t="shared" si="209"/>
        <v>0</v>
      </c>
      <c r="BD492" s="377">
        <f t="shared" si="210"/>
        <v>0</v>
      </c>
      <c r="BE492" s="377">
        <f t="shared" si="211"/>
        <v>0</v>
      </c>
      <c r="BF492" s="377">
        <f t="shared" si="212"/>
        <v>0</v>
      </c>
      <c r="BG492" s="328"/>
    </row>
    <row r="493" spans="2:59">
      <c r="B493" s="332">
        <v>478</v>
      </c>
      <c r="C493" s="350">
        <v>5205113.5146270618</v>
      </c>
      <c r="D493" s="350">
        <v>32151.844582671809</v>
      </c>
      <c r="E493" s="350">
        <v>30784.262994071407</v>
      </c>
      <c r="F493" s="350">
        <v>29379.881949848615</v>
      </c>
      <c r="G493" s="350">
        <v>27938.773183835401</v>
      </c>
      <c r="H493" s="348">
        <v>5325368.2773374896</v>
      </c>
      <c r="I493" s="369"/>
      <c r="J493" s="350">
        <v>7147366.6495273951</v>
      </c>
      <c r="K493" s="350">
        <v>1998399.4690394907</v>
      </c>
      <c r="L493" s="350">
        <v>2019495.465364302</v>
      </c>
      <c r="M493" s="350">
        <v>2038968.8247119724</v>
      </c>
      <c r="N493" s="350">
        <v>2056764.8267728784</v>
      </c>
      <c r="O493" s="348">
        <v>15260995.235416038</v>
      </c>
      <c r="P493" s="369"/>
      <c r="Q493" s="350">
        <f t="shared" si="213"/>
        <v>1942253.1349003334</v>
      </c>
      <c r="R493" s="350">
        <f t="shared" si="214"/>
        <v>1966247.6244568189</v>
      </c>
      <c r="S493" s="350">
        <f t="shared" si="215"/>
        <v>1988711.2023702306</v>
      </c>
      <c r="T493" s="350">
        <f t="shared" si="216"/>
        <v>2009588.9427621237</v>
      </c>
      <c r="U493" s="350">
        <f t="shared" si="217"/>
        <v>2028826.053589043</v>
      </c>
      <c r="V493" s="350">
        <f t="shared" si="218"/>
        <v>9935626.9580785483</v>
      </c>
      <c r="W493" s="365"/>
      <c r="X493" s="377">
        <f t="shared" si="196"/>
        <v>0</v>
      </c>
      <c r="Y493" s="377">
        <f t="shared" si="197"/>
        <v>0</v>
      </c>
      <c r="Z493" s="377">
        <f t="shared" si="198"/>
        <v>0</v>
      </c>
      <c r="AA493" s="377">
        <f t="shared" si="199"/>
        <v>0</v>
      </c>
      <c r="AB493" s="377">
        <f t="shared" si="200"/>
        <v>0</v>
      </c>
      <c r="AC493" s="377">
        <f t="shared" si="201"/>
        <v>0</v>
      </c>
      <c r="AD493" s="376"/>
      <c r="AE493" s="332">
        <v>478</v>
      </c>
      <c r="AF493" s="350">
        <v>7019685.1791246478</v>
      </c>
      <c r="AG493" s="350">
        <v>43360.40439161619</v>
      </c>
      <c r="AH493" s="350">
        <v>41516.065707789428</v>
      </c>
      <c r="AI493" s="350">
        <v>39622.098789628428</v>
      </c>
      <c r="AJ493" s="350">
        <v>37678.600378334355</v>
      </c>
      <c r="AK493" s="348">
        <v>7181862.3483920172</v>
      </c>
      <c r="AL493" s="369"/>
      <c r="AM493" s="350">
        <v>9409127.4541641437</v>
      </c>
      <c r="AN493" s="350">
        <v>2462321.7192946794</v>
      </c>
      <c r="AO493" s="350">
        <v>2488113.0279682716</v>
      </c>
      <c r="AP493" s="350">
        <v>2511903.7437535571</v>
      </c>
      <c r="AQ493" s="350">
        <v>2533626.5558933979</v>
      </c>
      <c r="AR493" s="348">
        <v>19405092.50107405</v>
      </c>
      <c r="AS493" s="369"/>
      <c r="AT493" s="350">
        <f t="shared" si="219"/>
        <v>2389442.2750394959</v>
      </c>
      <c r="AU493" s="350">
        <f t="shared" si="202"/>
        <v>2418961.3149030632</v>
      </c>
      <c r="AV493" s="350">
        <f t="shared" si="203"/>
        <v>2446596.9622604824</v>
      </c>
      <c r="AW493" s="350">
        <f t="shared" si="204"/>
        <v>2472281.6449639285</v>
      </c>
      <c r="AX493" s="350">
        <f t="shared" si="205"/>
        <v>2495947.9555150634</v>
      </c>
      <c r="AY493" s="350">
        <f t="shared" si="206"/>
        <v>12223230.152682032</v>
      </c>
      <c r="AZ493" s="365"/>
      <c r="BA493" s="377">
        <f t="shared" si="207"/>
        <v>0</v>
      </c>
      <c r="BB493" s="377">
        <f t="shared" si="208"/>
        <v>0</v>
      </c>
      <c r="BC493" s="377">
        <f t="shared" si="209"/>
        <v>0</v>
      </c>
      <c r="BD493" s="377">
        <f t="shared" si="210"/>
        <v>0</v>
      </c>
      <c r="BE493" s="377">
        <f t="shared" si="211"/>
        <v>0</v>
      </c>
      <c r="BF493" s="377">
        <f t="shared" si="212"/>
        <v>0</v>
      </c>
      <c r="BG493" s="328"/>
    </row>
    <row r="494" spans="2:59">
      <c r="B494" s="332">
        <v>479</v>
      </c>
      <c r="C494" s="350">
        <v>5849919.237692764</v>
      </c>
      <c r="D494" s="350">
        <v>36134.791993091341</v>
      </c>
      <c r="E494" s="350">
        <v>34597.795379707124</v>
      </c>
      <c r="F494" s="350">
        <v>33019.440620571171</v>
      </c>
      <c r="G494" s="350">
        <v>31399.808335853493</v>
      </c>
      <c r="H494" s="348">
        <v>5985071.0740219876</v>
      </c>
      <c r="I494" s="369"/>
      <c r="J494" s="350">
        <v>7713704.2156181335</v>
      </c>
      <c r="K494" s="350">
        <v>1922944.8681328893</v>
      </c>
      <c r="L494" s="350">
        <v>1942963.9078121812</v>
      </c>
      <c r="M494" s="350">
        <v>1961419.8205829724</v>
      </c>
      <c r="N494" s="350">
        <v>1978260.1086524257</v>
      </c>
      <c r="O494" s="348">
        <v>15519292.920798603</v>
      </c>
      <c r="P494" s="369"/>
      <c r="Q494" s="350">
        <f t="shared" si="213"/>
        <v>1863784.9779253695</v>
      </c>
      <c r="R494" s="350">
        <f t="shared" si="214"/>
        <v>1886810.0761397979</v>
      </c>
      <c r="S494" s="350">
        <f t="shared" si="215"/>
        <v>1908366.112432474</v>
      </c>
      <c r="T494" s="350">
        <f t="shared" si="216"/>
        <v>1928400.3799624012</v>
      </c>
      <c r="U494" s="350">
        <f t="shared" si="217"/>
        <v>1946860.3003165722</v>
      </c>
      <c r="V494" s="350">
        <f t="shared" si="218"/>
        <v>9534221.8467766158</v>
      </c>
      <c r="W494" s="365"/>
      <c r="X494" s="377">
        <f t="shared" si="196"/>
        <v>0</v>
      </c>
      <c r="Y494" s="377">
        <f t="shared" si="197"/>
        <v>0</v>
      </c>
      <c r="Z494" s="377">
        <f t="shared" si="198"/>
        <v>0</v>
      </c>
      <c r="AA494" s="377">
        <f t="shared" si="199"/>
        <v>0</v>
      </c>
      <c r="AB494" s="377">
        <f t="shared" si="200"/>
        <v>0</v>
      </c>
      <c r="AC494" s="377">
        <f t="shared" si="201"/>
        <v>0</v>
      </c>
      <c r="AD494" s="376"/>
      <c r="AE494" s="332">
        <v>479</v>
      </c>
      <c r="AF494" s="350">
        <v>6360660.9761468591</v>
      </c>
      <c r="AG494" s="350">
        <v>39289.629817571236</v>
      </c>
      <c r="AH494" s="350">
        <v>37618.441894799689</v>
      </c>
      <c r="AI494" s="350">
        <v>35902.284950570647</v>
      </c>
      <c r="AJ494" s="350">
        <v>34141.246643796323</v>
      </c>
      <c r="AK494" s="348">
        <v>6507612.5794535968</v>
      </c>
      <c r="AL494" s="369"/>
      <c r="AM494" s="350">
        <v>9074454.8100882191</v>
      </c>
      <c r="AN494" s="350">
        <v>2786609.5251341914</v>
      </c>
      <c r="AO494" s="350">
        <v>2816325.3475522767</v>
      </c>
      <c r="AP494" s="350">
        <v>2843780.4052783023</v>
      </c>
      <c r="AQ494" s="350">
        <v>2868898.2283345768</v>
      </c>
      <c r="AR494" s="348">
        <v>20390068.316387564</v>
      </c>
      <c r="AS494" s="369"/>
      <c r="AT494" s="350">
        <f t="shared" si="219"/>
        <v>2713793.83394136</v>
      </c>
      <c r="AU494" s="350">
        <f t="shared" si="202"/>
        <v>2747319.8953166204</v>
      </c>
      <c r="AV494" s="350">
        <f t="shared" si="203"/>
        <v>2778706.9056574772</v>
      </c>
      <c r="AW494" s="350">
        <f t="shared" si="204"/>
        <v>2807878.1203277316</v>
      </c>
      <c r="AX494" s="350">
        <f t="shared" si="205"/>
        <v>2834756.9816907807</v>
      </c>
      <c r="AY494" s="350">
        <f t="shared" si="206"/>
        <v>13882455.736933967</v>
      </c>
      <c r="AZ494" s="365"/>
      <c r="BA494" s="377">
        <f t="shared" si="207"/>
        <v>0</v>
      </c>
      <c r="BB494" s="377">
        <f t="shared" si="208"/>
        <v>0</v>
      </c>
      <c r="BC494" s="377">
        <f t="shared" si="209"/>
        <v>0</v>
      </c>
      <c r="BD494" s="377">
        <f t="shared" si="210"/>
        <v>0</v>
      </c>
      <c r="BE494" s="377">
        <f t="shared" si="211"/>
        <v>0</v>
      </c>
      <c r="BF494" s="377">
        <f t="shared" si="212"/>
        <v>0</v>
      </c>
      <c r="BG494" s="328"/>
    </row>
    <row r="495" spans="2:59">
      <c r="B495" s="332">
        <v>480</v>
      </c>
      <c r="C495" s="350">
        <v>6119436.1778566632</v>
      </c>
      <c r="D495" s="350">
        <v>37799.590800686208</v>
      </c>
      <c r="E495" s="350">
        <v>36191.781820934018</v>
      </c>
      <c r="F495" s="350">
        <v>34540.709246749218</v>
      </c>
      <c r="G495" s="350">
        <v>32846.457412629556</v>
      </c>
      <c r="H495" s="348">
        <v>6260814.7171376618</v>
      </c>
      <c r="I495" s="369"/>
      <c r="J495" s="350">
        <v>8230939.4500010144</v>
      </c>
      <c r="K495" s="350">
        <v>2175388.2594886506</v>
      </c>
      <c r="L495" s="350">
        <v>2198201.5300355242</v>
      </c>
      <c r="M495" s="350">
        <v>2219247.5077892933</v>
      </c>
      <c r="N495" s="350">
        <v>2238466.7104003048</v>
      </c>
      <c r="O495" s="348">
        <v>17062243.457714789</v>
      </c>
      <c r="P495" s="369"/>
      <c r="Q495" s="350">
        <f t="shared" si="213"/>
        <v>2111503.2721443512</v>
      </c>
      <c r="R495" s="350">
        <f t="shared" si="214"/>
        <v>2137588.6686879643</v>
      </c>
      <c r="S495" s="350">
        <f t="shared" si="215"/>
        <v>2162009.7482145904</v>
      </c>
      <c r="T495" s="350">
        <f t="shared" si="216"/>
        <v>2184706.7985425442</v>
      </c>
      <c r="U495" s="350">
        <f t="shared" si="217"/>
        <v>2205620.2529876754</v>
      </c>
      <c r="V495" s="350">
        <f t="shared" si="218"/>
        <v>10801428.740577128</v>
      </c>
      <c r="W495" s="365"/>
      <c r="X495" s="377">
        <f t="shared" si="196"/>
        <v>0</v>
      </c>
      <c r="Y495" s="377">
        <f t="shared" si="197"/>
        <v>0</v>
      </c>
      <c r="Z495" s="377">
        <f t="shared" si="198"/>
        <v>0</v>
      </c>
      <c r="AA495" s="377">
        <f t="shared" si="199"/>
        <v>0</v>
      </c>
      <c r="AB495" s="377">
        <f t="shared" si="200"/>
        <v>0</v>
      </c>
      <c r="AC495" s="377">
        <f t="shared" si="201"/>
        <v>0</v>
      </c>
      <c r="AD495" s="376"/>
      <c r="AE495" s="332">
        <v>480</v>
      </c>
      <c r="AF495" s="350">
        <v>6290178.9423792195</v>
      </c>
      <c r="AG495" s="350">
        <v>38854.264212345457</v>
      </c>
      <c r="AH495" s="350">
        <v>37201.594604579572</v>
      </c>
      <c r="AI495" s="350">
        <v>35504.454273897842</v>
      </c>
      <c r="AJ495" s="350">
        <v>33762.929907871847</v>
      </c>
      <c r="AK495" s="348">
        <v>6435502.1853779145</v>
      </c>
      <c r="AL495" s="369"/>
      <c r="AM495" s="350">
        <v>8484050.3302163333</v>
      </c>
      <c r="AN495" s="350">
        <v>2259828.619812943</v>
      </c>
      <c r="AO495" s="350">
        <v>2283549.6772272279</v>
      </c>
      <c r="AP495" s="350">
        <v>2305434.9816692849</v>
      </c>
      <c r="AQ495" s="350">
        <v>2325422.7294920767</v>
      </c>
      <c r="AR495" s="348">
        <v>17658286.338417865</v>
      </c>
      <c r="AS495" s="369"/>
      <c r="AT495" s="350">
        <f t="shared" si="219"/>
        <v>2193871.3878371138</v>
      </c>
      <c r="AU495" s="350">
        <f t="shared" si="202"/>
        <v>2220974.3556005978</v>
      </c>
      <c r="AV495" s="350">
        <f t="shared" si="203"/>
        <v>2246348.0826226482</v>
      </c>
      <c r="AW495" s="350">
        <f t="shared" si="204"/>
        <v>2269930.5273953872</v>
      </c>
      <c r="AX495" s="350">
        <f t="shared" si="205"/>
        <v>2291659.7995842048</v>
      </c>
      <c r="AY495" s="350">
        <f t="shared" si="206"/>
        <v>11222784.153039951</v>
      </c>
      <c r="AZ495" s="365"/>
      <c r="BA495" s="377">
        <f t="shared" si="207"/>
        <v>0</v>
      </c>
      <c r="BB495" s="377">
        <f t="shared" si="208"/>
        <v>0</v>
      </c>
      <c r="BC495" s="377">
        <f t="shared" si="209"/>
        <v>0</v>
      </c>
      <c r="BD495" s="377">
        <f t="shared" si="210"/>
        <v>0</v>
      </c>
      <c r="BE495" s="377">
        <f t="shared" si="211"/>
        <v>0</v>
      </c>
      <c r="BF495" s="377">
        <f t="shared" si="212"/>
        <v>0</v>
      </c>
      <c r="BG495" s="328"/>
    </row>
    <row r="496" spans="2:59">
      <c r="B496" s="332">
        <v>481</v>
      </c>
      <c r="C496" s="350">
        <v>5788588.078191773</v>
      </c>
      <c r="D496" s="350">
        <v>35755.951089274844</v>
      </c>
      <c r="E496" s="350">
        <v>34235.06850765906</v>
      </c>
      <c r="F496" s="350">
        <v>32673.26138338069</v>
      </c>
      <c r="G496" s="350">
        <v>31070.609491375079</v>
      </c>
      <c r="H496" s="348">
        <v>5922322.9686634634</v>
      </c>
      <c r="I496" s="369"/>
      <c r="J496" s="350">
        <v>8119393.512661919</v>
      </c>
      <c r="K496" s="350">
        <v>2395356.0290848478</v>
      </c>
      <c r="L496" s="350">
        <v>2420792.6159171779</v>
      </c>
      <c r="M496" s="350">
        <v>2444285.1901659975</v>
      </c>
      <c r="N496" s="350">
        <v>2465768.078285845</v>
      </c>
      <c r="O496" s="348">
        <v>17845595.426115789</v>
      </c>
      <c r="P496" s="369"/>
      <c r="Q496" s="350">
        <f t="shared" si="213"/>
        <v>2330805.434470146</v>
      </c>
      <c r="R496" s="350">
        <f t="shared" si="214"/>
        <v>2359600.0779955727</v>
      </c>
      <c r="S496" s="350">
        <f t="shared" si="215"/>
        <v>2386557.5474095186</v>
      </c>
      <c r="T496" s="350">
        <f t="shared" si="216"/>
        <v>2411611.9287826167</v>
      </c>
      <c r="U496" s="350">
        <f t="shared" si="217"/>
        <v>2434697.4687944697</v>
      </c>
      <c r="V496" s="350">
        <f t="shared" si="218"/>
        <v>11923272.457452325</v>
      </c>
      <c r="W496" s="365"/>
      <c r="X496" s="377">
        <f t="shared" si="196"/>
        <v>0</v>
      </c>
      <c r="Y496" s="377">
        <f t="shared" si="197"/>
        <v>0</v>
      </c>
      <c r="Z496" s="377">
        <f t="shared" si="198"/>
        <v>0</v>
      </c>
      <c r="AA496" s="377">
        <f t="shared" si="199"/>
        <v>0</v>
      </c>
      <c r="AB496" s="377">
        <f t="shared" si="200"/>
        <v>0</v>
      </c>
      <c r="AC496" s="377">
        <f t="shared" si="201"/>
        <v>0</v>
      </c>
      <c r="AD496" s="376"/>
      <c r="AE496" s="332">
        <v>481</v>
      </c>
      <c r="AF496" s="350">
        <v>5493699.8523806054</v>
      </c>
      <c r="AG496" s="350">
        <v>33934.434540423943</v>
      </c>
      <c r="AH496" s="350">
        <v>32491.030328335804</v>
      </c>
      <c r="AI496" s="350">
        <v>31008.786393854985</v>
      </c>
      <c r="AJ496" s="350">
        <v>29487.778447946705</v>
      </c>
      <c r="AK496" s="348">
        <v>5620621.8820911665</v>
      </c>
      <c r="AL496" s="369"/>
      <c r="AM496" s="350">
        <v>6963756.5424387455</v>
      </c>
      <c r="AN496" s="350">
        <v>1522152.1249662384</v>
      </c>
      <c r="AO496" s="350">
        <v>1537711.0014563242</v>
      </c>
      <c r="AP496" s="350">
        <v>1552030.7461426386</v>
      </c>
      <c r="AQ496" s="350">
        <v>1565069.9636175826</v>
      </c>
      <c r="AR496" s="348">
        <v>13140720.378621528</v>
      </c>
      <c r="AS496" s="369"/>
      <c r="AT496" s="350">
        <f t="shared" si="219"/>
        <v>1470056.6900581401</v>
      </c>
      <c r="AU496" s="350">
        <f t="shared" si="202"/>
        <v>1488217.6904258144</v>
      </c>
      <c r="AV496" s="350">
        <f t="shared" si="203"/>
        <v>1505219.9711279885</v>
      </c>
      <c r="AW496" s="350">
        <f t="shared" si="204"/>
        <v>1521021.9597487836</v>
      </c>
      <c r="AX496" s="350">
        <f t="shared" si="205"/>
        <v>1535582.1851696358</v>
      </c>
      <c r="AY496" s="350">
        <f t="shared" si="206"/>
        <v>7520098.4965303615</v>
      </c>
      <c r="AZ496" s="365"/>
      <c r="BA496" s="377">
        <f t="shared" si="207"/>
        <v>0</v>
      </c>
      <c r="BB496" s="377">
        <f t="shared" si="208"/>
        <v>0</v>
      </c>
      <c r="BC496" s="377">
        <f t="shared" si="209"/>
        <v>0</v>
      </c>
      <c r="BD496" s="377">
        <f t="shared" si="210"/>
        <v>0</v>
      </c>
      <c r="BE496" s="377">
        <f t="shared" si="211"/>
        <v>0</v>
      </c>
      <c r="BF496" s="377">
        <f t="shared" si="212"/>
        <v>0</v>
      </c>
      <c r="BG496" s="328"/>
    </row>
    <row r="497" spans="2:59">
      <c r="B497" s="332">
        <v>482</v>
      </c>
      <c r="C497" s="350">
        <v>4419341.7668961631</v>
      </c>
      <c r="D497" s="350">
        <v>27298.153872661343</v>
      </c>
      <c r="E497" s="350">
        <v>26137.024453069971</v>
      </c>
      <c r="F497" s="350">
        <v>24944.650878905843</v>
      </c>
      <c r="G497" s="350">
        <v>23721.09405495063</v>
      </c>
      <c r="H497" s="348">
        <v>4521442.6901557511</v>
      </c>
      <c r="I497" s="369"/>
      <c r="J497" s="350">
        <v>6685524.310215964</v>
      </c>
      <c r="K497" s="350">
        <v>2321476.9930365505</v>
      </c>
      <c r="L497" s="350">
        <v>2346525.9220347498</v>
      </c>
      <c r="M497" s="350">
        <v>2369693.2830234547</v>
      </c>
      <c r="N497" s="350">
        <v>2390915.2066348363</v>
      </c>
      <c r="O497" s="348">
        <v>16114135.714945555</v>
      </c>
      <c r="P497" s="369"/>
      <c r="Q497" s="350">
        <f t="shared" si="213"/>
        <v>2266182.5433198009</v>
      </c>
      <c r="R497" s="350">
        <f t="shared" si="214"/>
        <v>2294178.8391638892</v>
      </c>
      <c r="S497" s="350">
        <f t="shared" si="215"/>
        <v>2320388.8975816797</v>
      </c>
      <c r="T497" s="350">
        <f t="shared" si="216"/>
        <v>2344748.6321445489</v>
      </c>
      <c r="U497" s="350">
        <f t="shared" si="217"/>
        <v>2367194.1125798859</v>
      </c>
      <c r="V497" s="350">
        <f t="shared" si="218"/>
        <v>11592693.024789803</v>
      </c>
      <c r="W497" s="365"/>
      <c r="X497" s="377">
        <f t="shared" si="196"/>
        <v>0</v>
      </c>
      <c r="Y497" s="377">
        <f t="shared" si="197"/>
        <v>0</v>
      </c>
      <c r="Z497" s="377">
        <f t="shared" si="198"/>
        <v>0</v>
      </c>
      <c r="AA497" s="377">
        <f t="shared" si="199"/>
        <v>0</v>
      </c>
      <c r="AB497" s="377">
        <f t="shared" si="200"/>
        <v>0</v>
      </c>
      <c r="AC497" s="377">
        <f t="shared" si="201"/>
        <v>0</v>
      </c>
      <c r="AD497" s="376"/>
      <c r="AE497" s="332">
        <v>482</v>
      </c>
      <c r="AF497" s="350">
        <v>4430590.3886723416</v>
      </c>
      <c r="AG497" s="350">
        <v>27367.636303370939</v>
      </c>
      <c r="AH497" s="350">
        <v>26203.551442367381</v>
      </c>
      <c r="AI497" s="350">
        <v>25008.142900540824</v>
      </c>
      <c r="AJ497" s="350">
        <v>23781.471737694632</v>
      </c>
      <c r="AK497" s="348">
        <v>4532951.1910563149</v>
      </c>
      <c r="AL497" s="369"/>
      <c r="AM497" s="350">
        <v>5992187.3301019324</v>
      </c>
      <c r="AN497" s="350">
        <v>1608256.4613856531</v>
      </c>
      <c r="AO497" s="350">
        <v>1625153.3871791367</v>
      </c>
      <c r="AP497" s="350">
        <v>1640743.9551684391</v>
      </c>
      <c r="AQ497" s="350">
        <v>1654984.1728932741</v>
      </c>
      <c r="AR497" s="348">
        <v>12521325.306728436</v>
      </c>
      <c r="AS497" s="369"/>
      <c r="AT497" s="350">
        <f t="shared" si="219"/>
        <v>1561596.9414295908</v>
      </c>
      <c r="AU497" s="350">
        <f t="shared" si="202"/>
        <v>1580888.8250822821</v>
      </c>
      <c r="AV497" s="350">
        <f t="shared" si="203"/>
        <v>1598949.8357367693</v>
      </c>
      <c r="AW497" s="350">
        <f t="shared" si="204"/>
        <v>1615735.8122678983</v>
      </c>
      <c r="AX497" s="350">
        <f t="shared" si="205"/>
        <v>1631202.7011555794</v>
      </c>
      <c r="AY497" s="350">
        <f t="shared" si="206"/>
        <v>7988374.1156721208</v>
      </c>
      <c r="AZ497" s="365"/>
      <c r="BA497" s="377">
        <f t="shared" si="207"/>
        <v>0</v>
      </c>
      <c r="BB497" s="377">
        <f t="shared" si="208"/>
        <v>0</v>
      </c>
      <c r="BC497" s="377">
        <f t="shared" si="209"/>
        <v>0</v>
      </c>
      <c r="BD497" s="377">
        <f t="shared" si="210"/>
        <v>0</v>
      </c>
      <c r="BE497" s="377">
        <f t="shared" si="211"/>
        <v>0</v>
      </c>
      <c r="BF497" s="377">
        <f t="shared" si="212"/>
        <v>0</v>
      </c>
      <c r="BG497" s="328"/>
    </row>
    <row r="498" spans="2:59">
      <c r="B498" s="332">
        <v>483</v>
      </c>
      <c r="C498" s="350">
        <v>5610800.1579336645</v>
      </c>
      <c r="D498" s="350">
        <v>34657.759942290191</v>
      </c>
      <c r="E498" s="350">
        <v>33183.589019456194</v>
      </c>
      <c r="F498" s="350">
        <v>31669.750490752929</v>
      </c>
      <c r="G498" s="350">
        <v>30116.321680943809</v>
      </c>
      <c r="H498" s="348">
        <v>5740427.5790671073</v>
      </c>
      <c r="I498" s="369"/>
      <c r="J498" s="350">
        <v>7319323.6504849736</v>
      </c>
      <c r="K498" s="350">
        <v>1764288.2587650227</v>
      </c>
      <c r="L498" s="350">
        <v>1782574.4115107027</v>
      </c>
      <c r="M498" s="350">
        <v>1799425.8979182735</v>
      </c>
      <c r="N498" s="350">
        <v>1814794.5969125158</v>
      </c>
      <c r="O498" s="348">
        <v>14480406.815591488</v>
      </c>
      <c r="P498" s="369"/>
      <c r="Q498" s="350">
        <f t="shared" si="213"/>
        <v>1708523.4925513091</v>
      </c>
      <c r="R498" s="350">
        <f t="shared" si="214"/>
        <v>1729630.4988227326</v>
      </c>
      <c r="S498" s="350">
        <f t="shared" si="215"/>
        <v>1749390.8224912465</v>
      </c>
      <c r="T498" s="350">
        <f t="shared" si="216"/>
        <v>1767756.1474275205</v>
      </c>
      <c r="U498" s="350">
        <f t="shared" si="217"/>
        <v>1784678.2752315721</v>
      </c>
      <c r="V498" s="350">
        <f t="shared" si="218"/>
        <v>8739979.2365243807</v>
      </c>
      <c r="W498" s="365"/>
      <c r="X498" s="377">
        <f t="shared" si="196"/>
        <v>0</v>
      </c>
      <c r="Y498" s="377">
        <f t="shared" si="197"/>
        <v>0</v>
      </c>
      <c r="Z498" s="377">
        <f t="shared" si="198"/>
        <v>0</v>
      </c>
      <c r="AA498" s="377">
        <f t="shared" si="199"/>
        <v>0</v>
      </c>
      <c r="AB498" s="377">
        <f t="shared" si="200"/>
        <v>0</v>
      </c>
      <c r="AC498" s="377">
        <f t="shared" si="201"/>
        <v>0</v>
      </c>
      <c r="AD498" s="376"/>
      <c r="AE498" s="332">
        <v>483</v>
      </c>
      <c r="AF498" s="350">
        <v>6185473.4938302059</v>
      </c>
      <c r="AG498" s="350">
        <v>38207.501505010652</v>
      </c>
      <c r="AH498" s="350">
        <v>36582.3420069192</v>
      </c>
      <c r="AI498" s="350">
        <v>34913.452039416334</v>
      </c>
      <c r="AJ498" s="350">
        <v>33200.916847080909</v>
      </c>
      <c r="AK498" s="348">
        <v>6328377.7062286325</v>
      </c>
      <c r="AL498" s="369"/>
      <c r="AM498" s="350">
        <v>8125373.8209330067</v>
      </c>
      <c r="AN498" s="350">
        <v>2002073.2517047741</v>
      </c>
      <c r="AO498" s="350">
        <v>2022884.4581772601</v>
      </c>
      <c r="AP498" s="350">
        <v>2042068.0177116496</v>
      </c>
      <c r="AQ498" s="350">
        <v>2059569.2898830851</v>
      </c>
      <c r="AR498" s="348">
        <v>16251968.838409778</v>
      </c>
      <c r="AS498" s="369"/>
      <c r="AT498" s="350">
        <f t="shared" si="219"/>
        <v>1939900.3271028008</v>
      </c>
      <c r="AU498" s="350">
        <f t="shared" si="202"/>
        <v>1963865.7501997633</v>
      </c>
      <c r="AV498" s="350">
        <f t="shared" si="203"/>
        <v>1986302.1161703409</v>
      </c>
      <c r="AW498" s="350">
        <f t="shared" si="204"/>
        <v>2007154.5656722332</v>
      </c>
      <c r="AX498" s="350">
        <f t="shared" si="205"/>
        <v>2026368.3730360041</v>
      </c>
      <c r="AY498" s="350">
        <f t="shared" si="206"/>
        <v>9923591.1321811453</v>
      </c>
      <c r="AZ498" s="365"/>
      <c r="BA498" s="377">
        <f t="shared" si="207"/>
        <v>0</v>
      </c>
      <c r="BB498" s="377">
        <f t="shared" si="208"/>
        <v>0</v>
      </c>
      <c r="BC498" s="377">
        <f t="shared" si="209"/>
        <v>0</v>
      </c>
      <c r="BD498" s="377">
        <f t="shared" si="210"/>
        <v>0</v>
      </c>
      <c r="BE498" s="377">
        <f t="shared" si="211"/>
        <v>0</v>
      </c>
      <c r="BF498" s="377">
        <f t="shared" si="212"/>
        <v>0</v>
      </c>
      <c r="BG498" s="328"/>
    </row>
    <row r="499" spans="2:59">
      <c r="B499" s="332">
        <v>484</v>
      </c>
      <c r="C499" s="350">
        <v>8318045.8107430339</v>
      </c>
      <c r="D499" s="350">
        <v>51380.342693200604</v>
      </c>
      <c r="E499" s="350">
        <v>49194.875215511893</v>
      </c>
      <c r="F499" s="350">
        <v>46950.600267662288</v>
      </c>
      <c r="G499" s="350">
        <v>44647.632484102942</v>
      </c>
      <c r="H499" s="348">
        <v>8510219.2614035103</v>
      </c>
      <c r="I499" s="369"/>
      <c r="J499" s="350">
        <v>11318050.058544561</v>
      </c>
      <c r="K499" s="350">
        <v>3088446.4797509802</v>
      </c>
      <c r="L499" s="350">
        <v>3120958.2553618001</v>
      </c>
      <c r="M499" s="350">
        <v>3150961.7388212956</v>
      </c>
      <c r="N499" s="350">
        <v>3178372.4129720335</v>
      </c>
      <c r="O499" s="348">
        <v>23856788.945450667</v>
      </c>
      <c r="P499" s="369"/>
      <c r="Q499" s="350">
        <f t="shared" si="213"/>
        <v>3000004.2478015274</v>
      </c>
      <c r="R499" s="350">
        <f t="shared" si="214"/>
        <v>3037066.1370577794</v>
      </c>
      <c r="S499" s="350">
        <f t="shared" si="215"/>
        <v>3071763.3801462883</v>
      </c>
      <c r="T499" s="350">
        <f t="shared" si="216"/>
        <v>3104011.1385536334</v>
      </c>
      <c r="U499" s="350">
        <f t="shared" si="217"/>
        <v>3133724.7804879304</v>
      </c>
      <c r="V499" s="350">
        <f t="shared" si="218"/>
        <v>15346569.684047157</v>
      </c>
      <c r="W499" s="365"/>
      <c r="X499" s="377">
        <f t="shared" si="196"/>
        <v>0</v>
      </c>
      <c r="Y499" s="377">
        <f t="shared" si="197"/>
        <v>0</v>
      </c>
      <c r="Z499" s="377">
        <f t="shared" si="198"/>
        <v>0</v>
      </c>
      <c r="AA499" s="377">
        <f t="shared" si="199"/>
        <v>0</v>
      </c>
      <c r="AB499" s="377">
        <f t="shared" si="200"/>
        <v>0</v>
      </c>
      <c r="AC499" s="377">
        <f t="shared" si="201"/>
        <v>0</v>
      </c>
      <c r="AD499" s="376"/>
      <c r="AE499" s="332">
        <v>484</v>
      </c>
      <c r="AF499" s="350">
        <v>5964651.1215721574</v>
      </c>
      <c r="AG499" s="350">
        <v>36843.487718709286</v>
      </c>
      <c r="AH499" s="350">
        <v>35276.346669168641</v>
      </c>
      <c r="AI499" s="350">
        <v>33667.036334821976</v>
      </c>
      <c r="AJ499" s="350">
        <v>32015.638917003438</v>
      </c>
      <c r="AK499" s="348">
        <v>6102453.631211861</v>
      </c>
      <c r="AL499" s="369"/>
      <c r="AM499" s="350">
        <v>7515642.5787481237</v>
      </c>
      <c r="AN499" s="350">
        <v>1606995.80897191</v>
      </c>
      <c r="AO499" s="350">
        <v>1623367.0183954616</v>
      </c>
      <c r="AP499" s="350">
        <v>1638429.6837223247</v>
      </c>
      <c r="AQ499" s="350">
        <v>1652140.1328203739</v>
      </c>
      <c r="AR499" s="348">
        <v>14036575.222658193</v>
      </c>
      <c r="AS499" s="369"/>
      <c r="AT499" s="350">
        <f t="shared" si="219"/>
        <v>1550991.4571759664</v>
      </c>
      <c r="AU499" s="350">
        <f t="shared" si="202"/>
        <v>1570152.3212532008</v>
      </c>
      <c r="AV499" s="350">
        <f t="shared" si="203"/>
        <v>1588090.6717262929</v>
      </c>
      <c r="AW499" s="350">
        <f t="shared" si="204"/>
        <v>1604762.6473875027</v>
      </c>
      <c r="AX499" s="350">
        <f t="shared" si="205"/>
        <v>1620124.4939033703</v>
      </c>
      <c r="AY499" s="350">
        <f t="shared" si="206"/>
        <v>7934121.5914463317</v>
      </c>
      <c r="AZ499" s="365"/>
      <c r="BA499" s="377">
        <f t="shared" si="207"/>
        <v>0</v>
      </c>
      <c r="BB499" s="377">
        <f t="shared" si="208"/>
        <v>0</v>
      </c>
      <c r="BC499" s="377">
        <f t="shared" si="209"/>
        <v>0</v>
      </c>
      <c r="BD499" s="377">
        <f t="shared" si="210"/>
        <v>0</v>
      </c>
      <c r="BE499" s="377">
        <f t="shared" si="211"/>
        <v>0</v>
      </c>
      <c r="BF499" s="377">
        <f t="shared" si="212"/>
        <v>0</v>
      </c>
      <c r="BG499" s="328"/>
    </row>
    <row r="500" spans="2:59">
      <c r="B500" s="332">
        <v>485</v>
      </c>
      <c r="C500" s="350">
        <v>5780198.7226013094</v>
      </c>
      <c r="D500" s="350">
        <v>35704.130268012894</v>
      </c>
      <c r="E500" s="350">
        <v>34185.451889669923</v>
      </c>
      <c r="F500" s="350">
        <v>32625.908280284541</v>
      </c>
      <c r="G500" s="350">
        <v>31025.579099176426</v>
      </c>
      <c r="H500" s="348">
        <v>5913739.7921384526</v>
      </c>
      <c r="I500" s="369"/>
      <c r="J500" s="350">
        <v>8172846.6077942122</v>
      </c>
      <c r="K500" s="350">
        <v>2457910.6572579094</v>
      </c>
      <c r="L500" s="350">
        <v>2484064.7014627364</v>
      </c>
      <c r="M500" s="350">
        <v>2508224.2984219324</v>
      </c>
      <c r="N500" s="350">
        <v>2530322.0298644276</v>
      </c>
      <c r="O500" s="348">
        <v>18153368.294801217</v>
      </c>
      <c r="P500" s="369"/>
      <c r="Q500" s="350">
        <f t="shared" si="213"/>
        <v>2392647.8851929028</v>
      </c>
      <c r="R500" s="350">
        <f t="shared" si="214"/>
        <v>2422206.5269898963</v>
      </c>
      <c r="S500" s="350">
        <f t="shared" si="215"/>
        <v>2449879.2495730664</v>
      </c>
      <c r="T500" s="350">
        <f t="shared" si="216"/>
        <v>2475598.3901416478</v>
      </c>
      <c r="U500" s="350">
        <f t="shared" si="217"/>
        <v>2499296.4507652512</v>
      </c>
      <c r="V500" s="350">
        <f t="shared" si="218"/>
        <v>12239628.502662763</v>
      </c>
      <c r="W500" s="365"/>
      <c r="X500" s="377">
        <f t="shared" si="196"/>
        <v>0</v>
      </c>
      <c r="Y500" s="377">
        <f t="shared" si="197"/>
        <v>0</v>
      </c>
      <c r="Z500" s="377">
        <f t="shared" si="198"/>
        <v>0</v>
      </c>
      <c r="AA500" s="377">
        <f t="shared" si="199"/>
        <v>0</v>
      </c>
      <c r="AB500" s="377">
        <f t="shared" si="200"/>
        <v>0</v>
      </c>
      <c r="AC500" s="377">
        <f t="shared" si="201"/>
        <v>0</v>
      </c>
      <c r="AD500" s="376"/>
      <c r="AE500" s="332">
        <v>485</v>
      </c>
      <c r="AF500" s="350">
        <v>6816366.0887995148</v>
      </c>
      <c r="AG500" s="350">
        <v>42104.507901665587</v>
      </c>
      <c r="AH500" s="350">
        <v>40313.588887503654</v>
      </c>
      <c r="AI500" s="350">
        <v>38474.47907775973</v>
      </c>
      <c r="AJ500" s="350">
        <v>36587.272411600388</v>
      </c>
      <c r="AK500" s="348">
        <v>6973845.9370780447</v>
      </c>
      <c r="AL500" s="369"/>
      <c r="AM500" s="350">
        <v>8957696.5528381914</v>
      </c>
      <c r="AN500" s="350">
        <v>2209888.8519898131</v>
      </c>
      <c r="AO500" s="350">
        <v>2232863.9857897479</v>
      </c>
      <c r="AP500" s="350">
        <v>2254042.5458800457</v>
      </c>
      <c r="AQ500" s="350">
        <v>2273364.2180739995</v>
      </c>
      <c r="AR500" s="348">
        <v>17927856.154571798</v>
      </c>
      <c r="AS500" s="369"/>
      <c r="AT500" s="350">
        <f t="shared" si="219"/>
        <v>2141330.4640386766</v>
      </c>
      <c r="AU500" s="350">
        <f t="shared" si="202"/>
        <v>2167784.3440881474</v>
      </c>
      <c r="AV500" s="350">
        <f t="shared" si="203"/>
        <v>2192550.3969022441</v>
      </c>
      <c r="AW500" s="350">
        <f t="shared" si="204"/>
        <v>2215568.0668022861</v>
      </c>
      <c r="AX500" s="350">
        <f t="shared" si="205"/>
        <v>2236776.9456623993</v>
      </c>
      <c r="AY500" s="350">
        <f t="shared" si="206"/>
        <v>10954010.217493754</v>
      </c>
      <c r="AZ500" s="365"/>
      <c r="BA500" s="377">
        <f t="shared" si="207"/>
        <v>0</v>
      </c>
      <c r="BB500" s="377">
        <f t="shared" si="208"/>
        <v>0</v>
      </c>
      <c r="BC500" s="377">
        <f t="shared" si="209"/>
        <v>0</v>
      </c>
      <c r="BD500" s="377">
        <f t="shared" si="210"/>
        <v>0</v>
      </c>
      <c r="BE500" s="377">
        <f t="shared" si="211"/>
        <v>0</v>
      </c>
      <c r="BF500" s="377">
        <f t="shared" si="212"/>
        <v>0</v>
      </c>
      <c r="BG500" s="328"/>
    </row>
    <row r="501" spans="2:59">
      <c r="B501" s="332">
        <v>486</v>
      </c>
      <c r="C501" s="350">
        <v>7698895.1724242736</v>
      </c>
      <c r="D501" s="350">
        <v>47555.866043356116</v>
      </c>
      <c r="E501" s="350">
        <v>45533.073022458593</v>
      </c>
      <c r="F501" s="350">
        <v>43455.849843515251</v>
      </c>
      <c r="G501" s="350">
        <v>41324.302608202641</v>
      </c>
      <c r="H501" s="348">
        <v>7876764.2639418058</v>
      </c>
      <c r="I501" s="369"/>
      <c r="J501" s="350">
        <v>10137838.162200751</v>
      </c>
      <c r="K501" s="350">
        <v>2516629.4248200785</v>
      </c>
      <c r="L501" s="350">
        <v>2542814.7911233897</v>
      </c>
      <c r="M501" s="350">
        <v>2566954.3455910902</v>
      </c>
      <c r="N501" s="350">
        <v>2588979.3903837707</v>
      </c>
      <c r="O501" s="348">
        <v>20353216.114119083</v>
      </c>
      <c r="P501" s="369"/>
      <c r="Q501" s="350">
        <f t="shared" si="213"/>
        <v>2438942.9897764772</v>
      </c>
      <c r="R501" s="350">
        <f t="shared" si="214"/>
        <v>2469073.5587767223</v>
      </c>
      <c r="S501" s="350">
        <f t="shared" si="215"/>
        <v>2497281.718100931</v>
      </c>
      <c r="T501" s="350">
        <f t="shared" si="216"/>
        <v>2523498.4957475751</v>
      </c>
      <c r="U501" s="350">
        <f t="shared" si="217"/>
        <v>2547655.087775568</v>
      </c>
      <c r="V501" s="350">
        <f t="shared" si="218"/>
        <v>12476451.850177277</v>
      </c>
      <c r="W501" s="365"/>
      <c r="X501" s="377">
        <f t="shared" si="196"/>
        <v>0</v>
      </c>
      <c r="Y501" s="377">
        <f t="shared" si="197"/>
        <v>0</v>
      </c>
      <c r="Z501" s="377">
        <f t="shared" si="198"/>
        <v>0</v>
      </c>
      <c r="AA501" s="377">
        <f t="shared" si="199"/>
        <v>0</v>
      </c>
      <c r="AB501" s="377">
        <f t="shared" si="200"/>
        <v>0</v>
      </c>
      <c r="AC501" s="377">
        <f t="shared" si="201"/>
        <v>0</v>
      </c>
      <c r="AD501" s="376"/>
      <c r="AE501" s="332">
        <v>486</v>
      </c>
      <c r="AF501" s="350">
        <v>5976767.2591325967</v>
      </c>
      <c r="AG501" s="350">
        <v>36918.328770817847</v>
      </c>
      <c r="AH501" s="350">
        <v>35348.004350424948</v>
      </c>
      <c r="AI501" s="350">
        <v>33735.424985755082</v>
      </c>
      <c r="AJ501" s="350">
        <v>32080.67304511878</v>
      </c>
      <c r="AK501" s="348">
        <v>6114849.6902847132</v>
      </c>
      <c r="AL501" s="369"/>
      <c r="AM501" s="350">
        <v>8336906.5411932226</v>
      </c>
      <c r="AN501" s="350">
        <v>2426214.6431140359</v>
      </c>
      <c r="AO501" s="350">
        <v>2451941.055507401</v>
      </c>
      <c r="AP501" s="350">
        <v>2475698.1740127783</v>
      </c>
      <c r="AQ501" s="350">
        <v>2497419.5001539001</v>
      </c>
      <c r="AR501" s="348">
        <v>18188179.913981337</v>
      </c>
      <c r="AS501" s="369"/>
      <c r="AT501" s="350">
        <f t="shared" si="219"/>
        <v>2360139.282060626</v>
      </c>
      <c r="AU501" s="350">
        <f t="shared" si="202"/>
        <v>2389296.3143432182</v>
      </c>
      <c r="AV501" s="350">
        <f t="shared" si="203"/>
        <v>2416593.0511569763</v>
      </c>
      <c r="AW501" s="350">
        <f t="shared" si="204"/>
        <v>2441962.7490270231</v>
      </c>
      <c r="AX501" s="350">
        <f t="shared" si="205"/>
        <v>2465338.8271087813</v>
      </c>
      <c r="AY501" s="350">
        <f t="shared" si="206"/>
        <v>12073330.223696623</v>
      </c>
      <c r="AZ501" s="365"/>
      <c r="BA501" s="377">
        <f t="shared" si="207"/>
        <v>0</v>
      </c>
      <c r="BB501" s="377">
        <f t="shared" si="208"/>
        <v>0</v>
      </c>
      <c r="BC501" s="377">
        <f t="shared" si="209"/>
        <v>0</v>
      </c>
      <c r="BD501" s="377">
        <f t="shared" si="210"/>
        <v>0</v>
      </c>
      <c r="BE501" s="377">
        <f t="shared" si="211"/>
        <v>0</v>
      </c>
      <c r="BF501" s="377">
        <f t="shared" si="212"/>
        <v>0</v>
      </c>
      <c r="BG501" s="328"/>
    </row>
    <row r="502" spans="2:59">
      <c r="B502" s="332">
        <v>487</v>
      </c>
      <c r="C502" s="350">
        <v>5476474.2402041405</v>
      </c>
      <c r="D502" s="350">
        <v>33828.032402606608</v>
      </c>
      <c r="E502" s="350">
        <v>32389.154014978147</v>
      </c>
      <c r="F502" s="350">
        <v>30911.557687731256</v>
      </c>
      <c r="G502" s="350">
        <v>29395.31889443261</v>
      </c>
      <c r="H502" s="348">
        <v>5602998.3032038901</v>
      </c>
      <c r="I502" s="369"/>
      <c r="J502" s="350">
        <v>7577820.2348996354</v>
      </c>
      <c r="K502" s="350">
        <v>2161133.9411887405</v>
      </c>
      <c r="L502" s="350">
        <v>2183998.6659858208</v>
      </c>
      <c r="M502" s="350">
        <v>2205108.9369980441</v>
      </c>
      <c r="N502" s="350">
        <v>2224405.5495572742</v>
      </c>
      <c r="O502" s="348">
        <v>16352467.328629514</v>
      </c>
      <c r="P502" s="369"/>
      <c r="Q502" s="350">
        <f t="shared" si="213"/>
        <v>2101345.9946954949</v>
      </c>
      <c r="R502" s="350">
        <f t="shared" si="214"/>
        <v>2127305.9087861339</v>
      </c>
      <c r="S502" s="350">
        <f t="shared" si="215"/>
        <v>2151609.5119708427</v>
      </c>
      <c r="T502" s="350">
        <f t="shared" si="216"/>
        <v>2174197.3793103127</v>
      </c>
      <c r="U502" s="350">
        <f t="shared" si="217"/>
        <v>2195010.2306628418</v>
      </c>
      <c r="V502" s="350">
        <f t="shared" si="218"/>
        <v>10749469.025425624</v>
      </c>
      <c r="W502" s="365"/>
      <c r="X502" s="377">
        <f t="shared" si="196"/>
        <v>0</v>
      </c>
      <c r="Y502" s="377">
        <f t="shared" si="197"/>
        <v>0</v>
      </c>
      <c r="Z502" s="377">
        <f t="shared" si="198"/>
        <v>0</v>
      </c>
      <c r="AA502" s="377">
        <f t="shared" si="199"/>
        <v>0</v>
      </c>
      <c r="AB502" s="377">
        <f t="shared" si="200"/>
        <v>0</v>
      </c>
      <c r="AC502" s="377">
        <f t="shared" si="201"/>
        <v>0</v>
      </c>
      <c r="AD502" s="376"/>
      <c r="AE502" s="332">
        <v>487</v>
      </c>
      <c r="AF502" s="350">
        <v>7180335.9929059343</v>
      </c>
      <c r="AG502" s="350">
        <v>44352.740098082861</v>
      </c>
      <c r="AH502" s="350">
        <v>42466.192326115372</v>
      </c>
      <c r="AI502" s="350">
        <v>40528.880540070153</v>
      </c>
      <c r="AJ502" s="350">
        <v>38540.903695143759</v>
      </c>
      <c r="AK502" s="348">
        <v>7346224.7095653461</v>
      </c>
      <c r="AL502" s="369"/>
      <c r="AM502" s="350">
        <v>9000580.4053201415</v>
      </c>
      <c r="AN502" s="350">
        <v>1887084.3529493057</v>
      </c>
      <c r="AO502" s="350">
        <v>1906250.2629877934</v>
      </c>
      <c r="AP502" s="350">
        <v>1923879.190848534</v>
      </c>
      <c r="AQ502" s="350">
        <v>1939919.8853773249</v>
      </c>
      <c r="AR502" s="348">
        <v>16657714.097483099</v>
      </c>
      <c r="AS502" s="369"/>
      <c r="AT502" s="350">
        <f t="shared" si="219"/>
        <v>1820244.4124142071</v>
      </c>
      <c r="AU502" s="350">
        <f t="shared" si="202"/>
        <v>1842731.6128512227</v>
      </c>
      <c r="AV502" s="350">
        <f t="shared" si="203"/>
        <v>1863784.070661678</v>
      </c>
      <c r="AW502" s="350">
        <f t="shared" si="204"/>
        <v>1883350.3103084639</v>
      </c>
      <c r="AX502" s="350">
        <f t="shared" si="205"/>
        <v>1901378.9816821811</v>
      </c>
      <c r="AY502" s="350">
        <f t="shared" si="206"/>
        <v>9311489.3879177533</v>
      </c>
      <c r="AZ502" s="365"/>
      <c r="BA502" s="377">
        <f t="shared" si="207"/>
        <v>0</v>
      </c>
      <c r="BB502" s="377">
        <f t="shared" si="208"/>
        <v>0</v>
      </c>
      <c r="BC502" s="377">
        <f t="shared" si="209"/>
        <v>0</v>
      </c>
      <c r="BD502" s="377">
        <f t="shared" si="210"/>
        <v>0</v>
      </c>
      <c r="BE502" s="377">
        <f t="shared" si="211"/>
        <v>0</v>
      </c>
      <c r="BF502" s="377">
        <f t="shared" si="212"/>
        <v>0</v>
      </c>
      <c r="BG502" s="328"/>
    </row>
    <row r="503" spans="2:59">
      <c r="B503" s="332">
        <v>488</v>
      </c>
      <c r="C503" s="350">
        <v>5035348.674135753</v>
      </c>
      <c r="D503" s="350">
        <v>31103.211781151229</v>
      </c>
      <c r="E503" s="350">
        <v>29780.233882669367</v>
      </c>
      <c r="F503" s="350">
        <v>28421.656743260974</v>
      </c>
      <c r="G503" s="350">
        <v>27027.549757151359</v>
      </c>
      <c r="H503" s="348">
        <v>5151681.3262999859</v>
      </c>
      <c r="I503" s="369"/>
      <c r="J503" s="350">
        <v>6560545.6752232602</v>
      </c>
      <c r="K503" s="350">
        <v>1575142.4136387738</v>
      </c>
      <c r="L503" s="350">
        <v>1591459.4544647229</v>
      </c>
      <c r="M503" s="350">
        <v>1606495.5822497259</v>
      </c>
      <c r="N503" s="350">
        <v>1620207.8397305275</v>
      </c>
      <c r="O503" s="348">
        <v>12953850.965307008</v>
      </c>
      <c r="P503" s="369"/>
      <c r="Q503" s="350">
        <f t="shared" si="213"/>
        <v>1525197.0010875072</v>
      </c>
      <c r="R503" s="350">
        <f t="shared" si="214"/>
        <v>1544039.2018576227</v>
      </c>
      <c r="S503" s="350">
        <f t="shared" si="215"/>
        <v>1561679.2205820535</v>
      </c>
      <c r="T503" s="350">
        <f t="shared" si="216"/>
        <v>1578073.9255064649</v>
      </c>
      <c r="U503" s="350">
        <f t="shared" si="217"/>
        <v>1593180.2899733761</v>
      </c>
      <c r="V503" s="350">
        <f t="shared" si="218"/>
        <v>7802169.6390070226</v>
      </c>
      <c r="W503" s="365"/>
      <c r="X503" s="377">
        <f t="shared" si="196"/>
        <v>0</v>
      </c>
      <c r="Y503" s="377">
        <f t="shared" si="197"/>
        <v>0</v>
      </c>
      <c r="Z503" s="377">
        <f t="shared" si="198"/>
        <v>0</v>
      </c>
      <c r="AA503" s="377">
        <f t="shared" si="199"/>
        <v>0</v>
      </c>
      <c r="AB503" s="377">
        <f t="shared" si="200"/>
        <v>0</v>
      </c>
      <c r="AC503" s="377">
        <f t="shared" si="201"/>
        <v>0</v>
      </c>
      <c r="AD503" s="376"/>
      <c r="AE503" s="332">
        <v>488</v>
      </c>
      <c r="AF503" s="350">
        <v>5253763.5226693517</v>
      </c>
      <c r="AG503" s="350">
        <v>32452.354358898603</v>
      </c>
      <c r="AH503" s="350">
        <v>31071.990560056256</v>
      </c>
      <c r="AI503" s="350">
        <v>29654.483356546934</v>
      </c>
      <c r="AJ503" s="350">
        <v>28199.905152671465</v>
      </c>
      <c r="AK503" s="348">
        <v>5375142.2560975244</v>
      </c>
      <c r="AL503" s="369"/>
      <c r="AM503" s="350">
        <v>6981058.0819841642</v>
      </c>
      <c r="AN503" s="350">
        <v>1781085.8166826535</v>
      </c>
      <c r="AO503" s="350">
        <v>1799682.8776671016</v>
      </c>
      <c r="AP503" s="350">
        <v>1816832.470056178</v>
      </c>
      <c r="AQ503" s="350">
        <v>1832485.9383119512</v>
      </c>
      <c r="AR503" s="348">
        <v>14211145.184702048</v>
      </c>
      <c r="AS503" s="369"/>
      <c r="AT503" s="350">
        <f t="shared" si="219"/>
        <v>1727294.5593148125</v>
      </c>
      <c r="AU503" s="350">
        <f t="shared" si="202"/>
        <v>1748633.4623237548</v>
      </c>
      <c r="AV503" s="350">
        <f t="shared" si="203"/>
        <v>1768610.8871070454</v>
      </c>
      <c r="AW503" s="350">
        <f t="shared" si="204"/>
        <v>1787177.9866996312</v>
      </c>
      <c r="AX503" s="350">
        <f t="shared" si="205"/>
        <v>1804286.0331592797</v>
      </c>
      <c r="AY503" s="350">
        <f t="shared" si="206"/>
        <v>8836002.9286045246</v>
      </c>
      <c r="AZ503" s="365"/>
      <c r="BA503" s="377">
        <f t="shared" si="207"/>
        <v>0</v>
      </c>
      <c r="BB503" s="377">
        <f t="shared" si="208"/>
        <v>0</v>
      </c>
      <c r="BC503" s="377">
        <f t="shared" si="209"/>
        <v>0</v>
      </c>
      <c r="BD503" s="377">
        <f t="shared" si="210"/>
        <v>0</v>
      </c>
      <c r="BE503" s="377">
        <f t="shared" si="211"/>
        <v>0</v>
      </c>
      <c r="BF503" s="377">
        <f t="shared" si="212"/>
        <v>0</v>
      </c>
      <c r="BG503" s="328"/>
    </row>
    <row r="504" spans="2:59">
      <c r="B504" s="332">
        <v>489</v>
      </c>
      <c r="C504" s="350">
        <v>5530814.0836467203</v>
      </c>
      <c r="D504" s="350">
        <v>34163.688137318539</v>
      </c>
      <c r="E504" s="350">
        <v>32710.532602954743</v>
      </c>
      <c r="F504" s="350">
        <v>31218.274953557207</v>
      </c>
      <c r="G504" s="350">
        <v>29686.991411568804</v>
      </c>
      <c r="H504" s="348">
        <v>5658593.5707521196</v>
      </c>
      <c r="I504" s="369"/>
      <c r="J504" s="350">
        <v>7284361.2089697551</v>
      </c>
      <c r="K504" s="350">
        <v>1809374.039241439</v>
      </c>
      <c r="L504" s="350">
        <v>1828201.9386152716</v>
      </c>
      <c r="M504" s="350">
        <v>1845558.9756276265</v>
      </c>
      <c r="N504" s="350">
        <v>1861395.7579591931</v>
      </c>
      <c r="O504" s="348">
        <v>14628891.920413285</v>
      </c>
      <c r="P504" s="369"/>
      <c r="Q504" s="350">
        <f t="shared" si="213"/>
        <v>1753547.1253230348</v>
      </c>
      <c r="R504" s="350">
        <f t="shared" si="214"/>
        <v>1775210.3511041205</v>
      </c>
      <c r="S504" s="350">
        <f t="shared" si="215"/>
        <v>1795491.4060123169</v>
      </c>
      <c r="T504" s="350">
        <f t="shared" si="216"/>
        <v>1814340.7006740693</v>
      </c>
      <c r="U504" s="350">
        <f t="shared" si="217"/>
        <v>1831708.7665476243</v>
      </c>
      <c r="V504" s="350">
        <f t="shared" si="218"/>
        <v>8970298.3496611658</v>
      </c>
      <c r="W504" s="365"/>
      <c r="X504" s="377">
        <f t="shared" si="196"/>
        <v>0</v>
      </c>
      <c r="Y504" s="377">
        <f t="shared" si="197"/>
        <v>0</v>
      </c>
      <c r="Z504" s="377">
        <f t="shared" si="198"/>
        <v>0</v>
      </c>
      <c r="AA504" s="377">
        <f t="shared" si="199"/>
        <v>0</v>
      </c>
      <c r="AB504" s="377">
        <f t="shared" si="200"/>
        <v>0</v>
      </c>
      <c r="AC504" s="377">
        <f t="shared" si="201"/>
        <v>0</v>
      </c>
      <c r="AD504" s="376"/>
      <c r="AE504" s="332">
        <v>489</v>
      </c>
      <c r="AF504" s="350">
        <v>5158114.037396769</v>
      </c>
      <c r="AG504" s="350">
        <v>31861.530090369328</v>
      </c>
      <c r="AH504" s="350">
        <v>30506.297054697636</v>
      </c>
      <c r="AI504" s="350">
        <v>29114.596843413965</v>
      </c>
      <c r="AJ504" s="350">
        <v>27686.500542631988</v>
      </c>
      <c r="AK504" s="348">
        <v>5277282.9619278824</v>
      </c>
      <c r="AL504" s="369"/>
      <c r="AM504" s="350">
        <v>7290509.5217976132</v>
      </c>
      <c r="AN504" s="350">
        <v>2190600.5122883618</v>
      </c>
      <c r="AO504" s="350">
        <v>2213907.992492951</v>
      </c>
      <c r="AP504" s="350">
        <v>2235437.9179627867</v>
      </c>
      <c r="AQ504" s="350">
        <v>2255130.2037188704</v>
      </c>
      <c r="AR504" s="348">
        <v>16185586.148260582</v>
      </c>
      <c r="AS504" s="369"/>
      <c r="AT504" s="350">
        <f t="shared" si="219"/>
        <v>2132395.4844008442</v>
      </c>
      <c r="AU504" s="350">
        <f t="shared" si="202"/>
        <v>2158738.9821979925</v>
      </c>
      <c r="AV504" s="350">
        <f t="shared" si="203"/>
        <v>2183401.6954382532</v>
      </c>
      <c r="AW504" s="350">
        <f t="shared" si="204"/>
        <v>2206323.3211193727</v>
      </c>
      <c r="AX504" s="350">
        <f t="shared" si="205"/>
        <v>2227443.7031762386</v>
      </c>
      <c r="AY504" s="350">
        <f t="shared" si="206"/>
        <v>10908303.186332699</v>
      </c>
      <c r="AZ504" s="365"/>
      <c r="BA504" s="377">
        <f t="shared" si="207"/>
        <v>0</v>
      </c>
      <c r="BB504" s="377">
        <f t="shared" si="208"/>
        <v>0</v>
      </c>
      <c r="BC504" s="377">
        <f t="shared" si="209"/>
        <v>0</v>
      </c>
      <c r="BD504" s="377">
        <f t="shared" si="210"/>
        <v>0</v>
      </c>
      <c r="BE504" s="377">
        <f t="shared" si="211"/>
        <v>0</v>
      </c>
      <c r="BF504" s="377">
        <f t="shared" si="212"/>
        <v>0</v>
      </c>
      <c r="BG504" s="328"/>
    </row>
    <row r="505" spans="2:59">
      <c r="B505" s="332">
        <v>490</v>
      </c>
      <c r="C505" s="350">
        <v>5922221.0533152269</v>
      </c>
      <c r="D505" s="350">
        <v>36581.398341332089</v>
      </c>
      <c r="E505" s="350">
        <v>35025.405286928115</v>
      </c>
      <c r="F505" s="350">
        <v>33427.542922620734</v>
      </c>
      <c r="G505" s="350">
        <v>31787.892864997073</v>
      </c>
      <c r="H505" s="348">
        <v>6059043.2927311044</v>
      </c>
      <c r="I505" s="369"/>
      <c r="J505" s="350">
        <v>7846852.0377532542</v>
      </c>
      <c r="K505" s="350">
        <v>1984989.1692478033</v>
      </c>
      <c r="L505" s="350">
        <v>2005692.9410492827</v>
      </c>
      <c r="M505" s="350">
        <v>2024783.394394841</v>
      </c>
      <c r="N505" s="350">
        <v>2042206.3159882911</v>
      </c>
      <c r="O505" s="348">
        <v>15904523.858433472</v>
      </c>
      <c r="P505" s="369"/>
      <c r="Q505" s="350">
        <f t="shared" si="213"/>
        <v>1924630.9844380273</v>
      </c>
      <c r="R505" s="350">
        <f t="shared" si="214"/>
        <v>1948407.7709064712</v>
      </c>
      <c r="S505" s="350">
        <f t="shared" si="215"/>
        <v>1970667.5357623545</v>
      </c>
      <c r="T505" s="350">
        <f t="shared" si="216"/>
        <v>1991355.8514722204</v>
      </c>
      <c r="U505" s="350">
        <f t="shared" si="217"/>
        <v>2010418.423123294</v>
      </c>
      <c r="V505" s="350">
        <f t="shared" si="218"/>
        <v>9845480.5657023676</v>
      </c>
      <c r="W505" s="365"/>
      <c r="X505" s="377">
        <f t="shared" si="196"/>
        <v>0</v>
      </c>
      <c r="Y505" s="377">
        <f t="shared" si="197"/>
        <v>0</v>
      </c>
      <c r="Z505" s="377">
        <f t="shared" si="198"/>
        <v>0</v>
      </c>
      <c r="AA505" s="377">
        <f t="shared" si="199"/>
        <v>0</v>
      </c>
      <c r="AB505" s="377">
        <f t="shared" si="200"/>
        <v>0</v>
      </c>
      <c r="AC505" s="377">
        <f t="shared" si="201"/>
        <v>0</v>
      </c>
      <c r="AD505" s="376"/>
      <c r="AE505" s="332">
        <v>490</v>
      </c>
      <c r="AF505" s="350">
        <v>3514436.1428111731</v>
      </c>
      <c r="AG505" s="350">
        <v>21708.576449265485</v>
      </c>
      <c r="AH505" s="350">
        <v>20785.200205940764</v>
      </c>
      <c r="AI505" s="350">
        <v>19836.977369641278</v>
      </c>
      <c r="AJ505" s="350">
        <v>18863.956374275331</v>
      </c>
      <c r="AK505" s="348">
        <v>3595630.8532102965</v>
      </c>
      <c r="AL505" s="369"/>
      <c r="AM505" s="350">
        <v>5196642.3004898867</v>
      </c>
      <c r="AN505" s="350">
        <v>1724696.6174762319</v>
      </c>
      <c r="AO505" s="350">
        <v>1743229.1856772315</v>
      </c>
      <c r="AP505" s="350">
        <v>1760363.3964921264</v>
      </c>
      <c r="AQ505" s="350">
        <v>1776051.842381537</v>
      </c>
      <c r="AR505" s="348">
        <v>12200983.342517015</v>
      </c>
      <c r="AS505" s="369"/>
      <c r="AT505" s="350">
        <f t="shared" si="219"/>
        <v>1682206.1576787136</v>
      </c>
      <c r="AU505" s="350">
        <f t="shared" si="202"/>
        <v>1702988.0410269664</v>
      </c>
      <c r="AV505" s="350">
        <f t="shared" si="203"/>
        <v>1722443.9854712908</v>
      </c>
      <c r="AW505" s="350">
        <f t="shared" si="204"/>
        <v>1740526.4191224852</v>
      </c>
      <c r="AX505" s="350">
        <f t="shared" si="205"/>
        <v>1757187.8860072617</v>
      </c>
      <c r="AY505" s="350">
        <f t="shared" si="206"/>
        <v>8605352.4893067181</v>
      </c>
      <c r="AZ505" s="365"/>
      <c r="BA505" s="377">
        <f t="shared" si="207"/>
        <v>0</v>
      </c>
      <c r="BB505" s="377">
        <f t="shared" si="208"/>
        <v>0</v>
      </c>
      <c r="BC505" s="377">
        <f t="shared" si="209"/>
        <v>0</v>
      </c>
      <c r="BD505" s="377">
        <f t="shared" si="210"/>
        <v>0</v>
      </c>
      <c r="BE505" s="377">
        <f t="shared" si="211"/>
        <v>0</v>
      </c>
      <c r="BF505" s="377">
        <f t="shared" si="212"/>
        <v>0</v>
      </c>
      <c r="BG505" s="328"/>
    </row>
    <row r="506" spans="2:59">
      <c r="B506" s="332">
        <v>491</v>
      </c>
      <c r="C506" s="350">
        <v>6712923.4695009291</v>
      </c>
      <c r="D506" s="350">
        <v>41465.545656255577</v>
      </c>
      <c r="E506" s="350">
        <v>39701.804958424786</v>
      </c>
      <c r="F506" s="350">
        <v>37890.60479047901</v>
      </c>
      <c r="G506" s="350">
        <v>36032.037665997414</v>
      </c>
      <c r="H506" s="348">
        <v>6868013.4625720857</v>
      </c>
      <c r="I506" s="369"/>
      <c r="J506" s="350">
        <v>9098579.8875764273</v>
      </c>
      <c r="K506" s="350">
        <v>2456594.2333243638</v>
      </c>
      <c r="L506" s="350">
        <v>2482422.3537794901</v>
      </c>
      <c r="M506" s="350">
        <v>2506255.1412390387</v>
      </c>
      <c r="N506" s="350">
        <v>2528025.3875193652</v>
      </c>
      <c r="O506" s="348">
        <v>19071877.003438689</v>
      </c>
      <c r="P506" s="369"/>
      <c r="Q506" s="350">
        <f t="shared" si="213"/>
        <v>2385656.4180754982</v>
      </c>
      <c r="R506" s="350">
        <f t="shared" si="214"/>
        <v>2415128.6876681084</v>
      </c>
      <c r="S506" s="350">
        <f t="shared" si="215"/>
        <v>2442720.5488210651</v>
      </c>
      <c r="T506" s="350">
        <f t="shared" si="216"/>
        <v>2468364.5364485597</v>
      </c>
      <c r="U506" s="350">
        <f t="shared" si="217"/>
        <v>2491993.3498533675</v>
      </c>
      <c r="V506" s="350">
        <f t="shared" si="218"/>
        <v>12203863.540866602</v>
      </c>
      <c r="W506" s="365"/>
      <c r="X506" s="377">
        <f t="shared" si="196"/>
        <v>0</v>
      </c>
      <c r="Y506" s="377">
        <f t="shared" si="197"/>
        <v>0</v>
      </c>
      <c r="Z506" s="377">
        <f t="shared" si="198"/>
        <v>0</v>
      </c>
      <c r="AA506" s="377">
        <f t="shared" si="199"/>
        <v>0</v>
      </c>
      <c r="AB506" s="377">
        <f t="shared" si="200"/>
        <v>0</v>
      </c>
      <c r="AC506" s="377">
        <f t="shared" si="201"/>
        <v>0</v>
      </c>
      <c r="AD506" s="376"/>
      <c r="AE506" s="332">
        <v>491</v>
      </c>
      <c r="AF506" s="350">
        <v>5510726.8122537034</v>
      </c>
      <c r="AG506" s="350">
        <v>34039.609608366954</v>
      </c>
      <c r="AH506" s="350">
        <v>32591.73176534527</v>
      </c>
      <c r="AI506" s="350">
        <v>31104.893821605783</v>
      </c>
      <c r="AJ506" s="350">
        <v>29579.17172276503</v>
      </c>
      <c r="AK506" s="348">
        <v>5638042.2191717867</v>
      </c>
      <c r="AL506" s="369"/>
      <c r="AM506" s="350">
        <v>7289055.5796740381</v>
      </c>
      <c r="AN506" s="350">
        <v>1834337.753867964</v>
      </c>
      <c r="AO506" s="350">
        <v>1853457.5487473016</v>
      </c>
      <c r="AP506" s="350">
        <v>1871086.3892238957</v>
      </c>
      <c r="AQ506" s="350">
        <v>1887174.1835976751</v>
      </c>
      <c r="AR506" s="348">
        <v>14735111.455110874</v>
      </c>
      <c r="AS506" s="369"/>
      <c r="AT506" s="350">
        <f t="shared" si="219"/>
        <v>1778328.7674203347</v>
      </c>
      <c r="AU506" s="350">
        <f t="shared" si="202"/>
        <v>1800298.1442595972</v>
      </c>
      <c r="AV506" s="350">
        <f t="shared" si="203"/>
        <v>1820865.8169819564</v>
      </c>
      <c r="AW506" s="350">
        <f t="shared" si="204"/>
        <v>1839981.49540229</v>
      </c>
      <c r="AX506" s="350">
        <f t="shared" si="205"/>
        <v>1857595.01187491</v>
      </c>
      <c r="AY506" s="350">
        <f t="shared" si="206"/>
        <v>9097069.2359390873</v>
      </c>
      <c r="AZ506" s="365"/>
      <c r="BA506" s="377">
        <f t="shared" si="207"/>
        <v>0</v>
      </c>
      <c r="BB506" s="377">
        <f t="shared" si="208"/>
        <v>0</v>
      </c>
      <c r="BC506" s="377">
        <f t="shared" si="209"/>
        <v>0</v>
      </c>
      <c r="BD506" s="377">
        <f t="shared" si="210"/>
        <v>0</v>
      </c>
      <c r="BE506" s="377">
        <f t="shared" si="211"/>
        <v>0</v>
      </c>
      <c r="BF506" s="377">
        <f t="shared" si="212"/>
        <v>0</v>
      </c>
      <c r="BG506" s="328"/>
    </row>
    <row r="507" spans="2:59">
      <c r="B507" s="332">
        <v>492</v>
      </c>
      <c r="C507" s="350">
        <v>4671750.3088037083</v>
      </c>
      <c r="D507" s="350">
        <v>28857.274569633875</v>
      </c>
      <c r="E507" s="350">
        <v>27629.827811575375</v>
      </c>
      <c r="F507" s="350">
        <v>26369.352404345289</v>
      </c>
      <c r="G507" s="350">
        <v>25075.912731277404</v>
      </c>
      <c r="H507" s="348">
        <v>4779682.6763205398</v>
      </c>
      <c r="I507" s="369"/>
      <c r="J507" s="350">
        <v>6019596.2776672244</v>
      </c>
      <c r="K507" s="350">
        <v>1393354.4592002984</v>
      </c>
      <c r="L507" s="350">
        <v>1407715.8367786705</v>
      </c>
      <c r="M507" s="350">
        <v>1420943.6779150188</v>
      </c>
      <c r="N507" s="350">
        <v>1433000.0235066679</v>
      </c>
      <c r="O507" s="348">
        <v>11674610.275067879</v>
      </c>
      <c r="P507" s="369"/>
      <c r="Q507" s="350">
        <f t="shared" si="213"/>
        <v>1347845.9688635161</v>
      </c>
      <c r="R507" s="350">
        <f t="shared" si="214"/>
        <v>1364497.1846306645</v>
      </c>
      <c r="S507" s="350">
        <f t="shared" si="215"/>
        <v>1380086.0089670953</v>
      </c>
      <c r="T507" s="350">
        <f t="shared" si="216"/>
        <v>1394574.3255106735</v>
      </c>
      <c r="U507" s="350">
        <f t="shared" si="217"/>
        <v>1407924.1107753906</v>
      </c>
      <c r="V507" s="350">
        <f t="shared" si="218"/>
        <v>6894927.5987473391</v>
      </c>
      <c r="W507" s="365"/>
      <c r="X507" s="377">
        <f t="shared" si="196"/>
        <v>0</v>
      </c>
      <c r="Y507" s="377">
        <f t="shared" si="197"/>
        <v>0</v>
      </c>
      <c r="Z507" s="377">
        <f t="shared" si="198"/>
        <v>0</v>
      </c>
      <c r="AA507" s="377">
        <f t="shared" si="199"/>
        <v>0</v>
      </c>
      <c r="AB507" s="377">
        <f t="shared" si="200"/>
        <v>0</v>
      </c>
      <c r="AC507" s="377">
        <f t="shared" si="201"/>
        <v>0</v>
      </c>
      <c r="AD507" s="376"/>
      <c r="AE507" s="332">
        <v>492</v>
      </c>
      <c r="AF507" s="350">
        <v>5614615.0513751348</v>
      </c>
      <c r="AG507" s="350">
        <v>34681.324435300034</v>
      </c>
      <c r="AH507" s="350">
        <v>33206.151194646118</v>
      </c>
      <c r="AI507" s="350">
        <v>31691.283377335956</v>
      </c>
      <c r="AJ507" s="350">
        <v>30136.798360708955</v>
      </c>
      <c r="AK507" s="348">
        <v>5744330.6087431265</v>
      </c>
      <c r="AL507" s="369"/>
      <c r="AM507" s="350">
        <v>7231614.9571662229</v>
      </c>
      <c r="AN507" s="350">
        <v>1671657.5590864967</v>
      </c>
      <c r="AO507" s="350">
        <v>1688884.1723004587</v>
      </c>
      <c r="AP507" s="350">
        <v>1704750.820640957</v>
      </c>
      <c r="AQ507" s="350">
        <v>1719211.9650167455</v>
      </c>
      <c r="AR507" s="348">
        <v>14016119.474210879</v>
      </c>
      <c r="AS507" s="369"/>
      <c r="AT507" s="350">
        <f t="shared" si="219"/>
        <v>1616999.905791088</v>
      </c>
      <c r="AU507" s="350">
        <f t="shared" si="202"/>
        <v>1636976.2346511967</v>
      </c>
      <c r="AV507" s="350">
        <f t="shared" si="203"/>
        <v>1655678.0211058126</v>
      </c>
      <c r="AW507" s="350">
        <f t="shared" si="204"/>
        <v>1673059.5372636211</v>
      </c>
      <c r="AX507" s="350">
        <f t="shared" si="205"/>
        <v>1689075.1666560366</v>
      </c>
      <c r="AY507" s="350">
        <f t="shared" si="206"/>
        <v>8271788.8654677523</v>
      </c>
      <c r="AZ507" s="365"/>
      <c r="BA507" s="377">
        <f t="shared" si="207"/>
        <v>0</v>
      </c>
      <c r="BB507" s="377">
        <f t="shared" si="208"/>
        <v>0</v>
      </c>
      <c r="BC507" s="377">
        <f t="shared" si="209"/>
        <v>0</v>
      </c>
      <c r="BD507" s="377">
        <f t="shared" si="210"/>
        <v>0</v>
      </c>
      <c r="BE507" s="377">
        <f t="shared" si="211"/>
        <v>0</v>
      </c>
      <c r="BF507" s="377">
        <f t="shared" si="212"/>
        <v>0</v>
      </c>
      <c r="BG507" s="328"/>
    </row>
    <row r="508" spans="2:59">
      <c r="B508" s="332">
        <v>493</v>
      </c>
      <c r="C508" s="350">
        <v>5146921.7610423574</v>
      </c>
      <c r="D508" s="350">
        <v>31792.395703796905</v>
      </c>
      <c r="E508" s="350">
        <v>30440.103305448756</v>
      </c>
      <c r="F508" s="350">
        <v>29051.4228593851</v>
      </c>
      <c r="G508" s="350">
        <v>27626.425297472597</v>
      </c>
      <c r="H508" s="348">
        <v>5265832.1082084607</v>
      </c>
      <c r="I508" s="369"/>
      <c r="J508" s="350">
        <v>7393923.5796620436</v>
      </c>
      <c r="K508" s="350">
        <v>2306553.5525381919</v>
      </c>
      <c r="L508" s="350">
        <v>2331189.4794492307</v>
      </c>
      <c r="M508" s="350">
        <v>2353954.3553992361</v>
      </c>
      <c r="N508" s="350">
        <v>2374784.8621463925</v>
      </c>
      <c r="O508" s="348">
        <v>16760405.829195095</v>
      </c>
      <c r="P508" s="369"/>
      <c r="Q508" s="350">
        <f t="shared" si="213"/>
        <v>2247001.8186196862</v>
      </c>
      <c r="R508" s="350">
        <f t="shared" si="214"/>
        <v>2274761.1568343951</v>
      </c>
      <c r="S508" s="350">
        <f t="shared" si="215"/>
        <v>2300749.3761437819</v>
      </c>
      <c r="T508" s="350">
        <f t="shared" si="216"/>
        <v>2324902.9325398509</v>
      </c>
      <c r="U508" s="350">
        <f t="shared" si="217"/>
        <v>2347158.4368489198</v>
      </c>
      <c r="V508" s="350">
        <f t="shared" si="218"/>
        <v>11494573.720986634</v>
      </c>
      <c r="W508" s="365"/>
      <c r="X508" s="377">
        <f t="shared" si="196"/>
        <v>0</v>
      </c>
      <c r="Y508" s="377">
        <f t="shared" si="197"/>
        <v>0</v>
      </c>
      <c r="Z508" s="377">
        <f t="shared" si="198"/>
        <v>0</v>
      </c>
      <c r="AA508" s="377">
        <f t="shared" si="199"/>
        <v>0</v>
      </c>
      <c r="AB508" s="377">
        <f t="shared" si="200"/>
        <v>0</v>
      </c>
      <c r="AC508" s="377">
        <f t="shared" si="201"/>
        <v>0</v>
      </c>
      <c r="AD508" s="376"/>
      <c r="AE508" s="332">
        <v>493</v>
      </c>
      <c r="AF508" s="350">
        <v>6884556.179504646</v>
      </c>
      <c r="AG508" s="350">
        <v>42525.716236942528</v>
      </c>
      <c r="AH508" s="350">
        <v>40716.881088521601</v>
      </c>
      <c r="AI508" s="350">
        <v>38859.373049704947</v>
      </c>
      <c r="AJ508" s="350">
        <v>36953.286999416217</v>
      </c>
      <c r="AK508" s="348">
        <v>7043611.4368792316</v>
      </c>
      <c r="AL508" s="369"/>
      <c r="AM508" s="350">
        <v>9730048.9746881556</v>
      </c>
      <c r="AN508" s="350">
        <v>2923171.5745975594</v>
      </c>
      <c r="AO508" s="350">
        <v>2954272.9445908237</v>
      </c>
      <c r="AP508" s="350">
        <v>2983002.3146459903</v>
      </c>
      <c r="AQ508" s="350">
        <v>3009279.5067042727</v>
      </c>
      <c r="AR508" s="348">
        <v>21599775.315226801</v>
      </c>
      <c r="AS508" s="369"/>
      <c r="AT508" s="350">
        <f t="shared" si="219"/>
        <v>2845492.7951835096</v>
      </c>
      <c r="AU508" s="350">
        <f t="shared" si="202"/>
        <v>2880645.858360617</v>
      </c>
      <c r="AV508" s="350">
        <f t="shared" si="203"/>
        <v>2913556.0635023019</v>
      </c>
      <c r="AW508" s="350">
        <f t="shared" si="204"/>
        <v>2944142.9415962854</v>
      </c>
      <c r="AX508" s="350">
        <f t="shared" si="205"/>
        <v>2972326.2197048566</v>
      </c>
      <c r="AY508" s="350">
        <f t="shared" si="206"/>
        <v>14556163.878347568</v>
      </c>
      <c r="AZ508" s="365"/>
      <c r="BA508" s="377">
        <f t="shared" si="207"/>
        <v>0</v>
      </c>
      <c r="BB508" s="377">
        <f t="shared" si="208"/>
        <v>0</v>
      </c>
      <c r="BC508" s="377">
        <f t="shared" si="209"/>
        <v>0</v>
      </c>
      <c r="BD508" s="377">
        <f t="shared" si="210"/>
        <v>0</v>
      </c>
      <c r="BE508" s="377">
        <f t="shared" si="211"/>
        <v>0</v>
      </c>
      <c r="BF508" s="377">
        <f t="shared" si="212"/>
        <v>0</v>
      </c>
      <c r="BG508" s="328"/>
    </row>
    <row r="509" spans="2:59">
      <c r="B509" s="332">
        <v>494</v>
      </c>
      <c r="C509" s="350">
        <v>4345174.4208494304</v>
      </c>
      <c r="D509" s="350">
        <v>26840.024193739871</v>
      </c>
      <c r="E509" s="350">
        <v>25698.381361068597</v>
      </c>
      <c r="F509" s="350">
        <v>24526.01872703015</v>
      </c>
      <c r="G509" s="350">
        <v>23322.99617427542</v>
      </c>
      <c r="H509" s="348">
        <v>4445561.8413055446</v>
      </c>
      <c r="I509" s="369"/>
      <c r="J509" s="350">
        <v>5961224.865030909</v>
      </c>
      <c r="K509" s="350">
        <v>1662855.067638258</v>
      </c>
      <c r="L509" s="350">
        <v>1680404.2300423272</v>
      </c>
      <c r="M509" s="350">
        <v>1696603.1775776818</v>
      </c>
      <c r="N509" s="350">
        <v>1711406.3804432256</v>
      </c>
      <c r="O509" s="348">
        <v>12712493.720732402</v>
      </c>
      <c r="P509" s="369"/>
      <c r="Q509" s="350">
        <f t="shared" si="213"/>
        <v>1616050.4441814786</v>
      </c>
      <c r="R509" s="350">
        <f t="shared" si="214"/>
        <v>1636015.043444518</v>
      </c>
      <c r="S509" s="350">
        <f t="shared" si="215"/>
        <v>1654705.8486812585</v>
      </c>
      <c r="T509" s="350">
        <f t="shared" si="216"/>
        <v>1672077.1588506517</v>
      </c>
      <c r="U509" s="350">
        <f t="shared" si="217"/>
        <v>1688083.3842689502</v>
      </c>
      <c r="V509" s="350">
        <f t="shared" si="218"/>
        <v>8266931.8794268575</v>
      </c>
      <c r="W509" s="365"/>
      <c r="X509" s="377">
        <f t="shared" si="196"/>
        <v>0</v>
      </c>
      <c r="Y509" s="377">
        <f t="shared" si="197"/>
        <v>0</v>
      </c>
      <c r="Z509" s="377">
        <f t="shared" si="198"/>
        <v>0</v>
      </c>
      <c r="AA509" s="377">
        <f t="shared" si="199"/>
        <v>0</v>
      </c>
      <c r="AB509" s="377">
        <f t="shared" si="200"/>
        <v>0</v>
      </c>
      <c r="AC509" s="377">
        <f t="shared" si="201"/>
        <v>0</v>
      </c>
      <c r="AD509" s="376"/>
      <c r="AE509" s="332">
        <v>494</v>
      </c>
      <c r="AF509" s="350">
        <v>6601917.8322542068</v>
      </c>
      <c r="AG509" s="350">
        <v>40779.866854722881</v>
      </c>
      <c r="AH509" s="350">
        <v>39045.291566119668</v>
      </c>
      <c r="AI509" s="350">
        <v>37264.041602390978</v>
      </c>
      <c r="AJ509" s="350">
        <v>35436.207947307368</v>
      </c>
      <c r="AK509" s="348">
        <v>6754443.240224747</v>
      </c>
      <c r="AL509" s="369"/>
      <c r="AM509" s="350">
        <v>8484890.4366513193</v>
      </c>
      <c r="AN509" s="350">
        <v>1947014.6123597568</v>
      </c>
      <c r="AO509" s="350">
        <v>1967057.9922962661</v>
      </c>
      <c r="AP509" s="350">
        <v>1985517.2622180502</v>
      </c>
      <c r="AQ509" s="350">
        <v>2002339.3934022279</v>
      </c>
      <c r="AR509" s="348">
        <v>16386819.69692762</v>
      </c>
      <c r="AS509" s="369"/>
      <c r="AT509" s="350">
        <f t="shared" si="219"/>
        <v>1882972.6043971125</v>
      </c>
      <c r="AU509" s="350">
        <f t="shared" si="202"/>
        <v>1906234.745505034</v>
      </c>
      <c r="AV509" s="350">
        <f t="shared" si="203"/>
        <v>1928012.7007301464</v>
      </c>
      <c r="AW509" s="350">
        <f t="shared" si="204"/>
        <v>1948253.2206156591</v>
      </c>
      <c r="AX509" s="350">
        <f t="shared" si="205"/>
        <v>1966903.1854549206</v>
      </c>
      <c r="AY509" s="350">
        <f t="shared" si="206"/>
        <v>9632376.4567028731</v>
      </c>
      <c r="AZ509" s="365"/>
      <c r="BA509" s="377">
        <f t="shared" si="207"/>
        <v>0</v>
      </c>
      <c r="BB509" s="377">
        <f t="shared" si="208"/>
        <v>0</v>
      </c>
      <c r="BC509" s="377">
        <f t="shared" si="209"/>
        <v>0</v>
      </c>
      <c r="BD509" s="377">
        <f t="shared" si="210"/>
        <v>0</v>
      </c>
      <c r="BE509" s="377">
        <f t="shared" si="211"/>
        <v>0</v>
      </c>
      <c r="BF509" s="377">
        <f t="shared" si="212"/>
        <v>0</v>
      </c>
      <c r="BG509" s="328"/>
    </row>
    <row r="510" spans="2:59">
      <c r="B510" s="332">
        <v>495</v>
      </c>
      <c r="C510" s="350">
        <v>5476201.9450033009</v>
      </c>
      <c r="D510" s="350">
        <v>33826.350442558207</v>
      </c>
      <c r="E510" s="350">
        <v>32387.543597251279</v>
      </c>
      <c r="F510" s="350">
        <v>30910.020737415682</v>
      </c>
      <c r="G510" s="350">
        <v>29393.857332867286</v>
      </c>
      <c r="H510" s="348">
        <v>5602719.7171133943</v>
      </c>
      <c r="I510" s="369"/>
      <c r="J510" s="350">
        <v>6734973.6149047781</v>
      </c>
      <c r="K510" s="350">
        <v>1308148.8170680681</v>
      </c>
      <c r="L510" s="350">
        <v>1321268.6251498912</v>
      </c>
      <c r="M510" s="350">
        <v>1333321.9380316185</v>
      </c>
      <c r="N510" s="350">
        <v>1344273.3205326793</v>
      </c>
      <c r="O510" s="348">
        <v>12041986.315687034</v>
      </c>
      <c r="P510" s="369"/>
      <c r="Q510" s="350">
        <f t="shared" si="213"/>
        <v>1258771.6699014772</v>
      </c>
      <c r="R510" s="350">
        <f t="shared" si="214"/>
        <v>1274322.4666255098</v>
      </c>
      <c r="S510" s="350">
        <f t="shared" si="215"/>
        <v>1288881.0815526401</v>
      </c>
      <c r="T510" s="350">
        <f t="shared" si="216"/>
        <v>1302411.9172942028</v>
      </c>
      <c r="U510" s="350">
        <f t="shared" si="217"/>
        <v>1314879.463199812</v>
      </c>
      <c r="V510" s="350">
        <f t="shared" si="218"/>
        <v>6439266.59857364</v>
      </c>
      <c r="W510" s="365"/>
      <c r="X510" s="377">
        <f t="shared" si="196"/>
        <v>0</v>
      </c>
      <c r="Y510" s="377">
        <f t="shared" si="197"/>
        <v>0</v>
      </c>
      <c r="Z510" s="377">
        <f t="shared" si="198"/>
        <v>0</v>
      </c>
      <c r="AA510" s="377">
        <f t="shared" si="199"/>
        <v>0</v>
      </c>
      <c r="AB510" s="377">
        <f t="shared" si="200"/>
        <v>0</v>
      </c>
      <c r="AC510" s="377">
        <f t="shared" si="201"/>
        <v>0</v>
      </c>
      <c r="AD510" s="376"/>
      <c r="AE510" s="332">
        <v>495</v>
      </c>
      <c r="AF510" s="350">
        <v>4499447.8850157894</v>
      </c>
      <c r="AG510" s="350">
        <v>27792.967185121124</v>
      </c>
      <c r="AH510" s="350">
        <v>26610.790836973065</v>
      </c>
      <c r="AI510" s="350">
        <v>25396.8039947217</v>
      </c>
      <c r="AJ510" s="350">
        <v>24151.068667126492</v>
      </c>
      <c r="AK510" s="348">
        <v>4603399.5156997321</v>
      </c>
      <c r="AL510" s="369"/>
      <c r="AM510" s="350">
        <v>6559400.2522634212</v>
      </c>
      <c r="AN510" s="350">
        <v>2113193.8739020005</v>
      </c>
      <c r="AO510" s="350">
        <v>2135836.5531651448</v>
      </c>
      <c r="AP510" s="350">
        <v>2156765.4837265364</v>
      </c>
      <c r="AQ510" s="350">
        <v>2175922.6151905311</v>
      </c>
      <c r="AR510" s="348">
        <v>15141118.778247636</v>
      </c>
      <c r="AS510" s="369"/>
      <c r="AT510" s="350">
        <f t="shared" si="219"/>
        <v>2059952.3672476318</v>
      </c>
      <c r="AU510" s="350">
        <f t="shared" si="202"/>
        <v>2085400.9067168795</v>
      </c>
      <c r="AV510" s="350">
        <f t="shared" si="203"/>
        <v>2109225.7623281716</v>
      </c>
      <c r="AW510" s="350">
        <f t="shared" si="204"/>
        <v>2131368.6797318147</v>
      </c>
      <c r="AX510" s="350">
        <f t="shared" si="205"/>
        <v>2151771.5465234048</v>
      </c>
      <c r="AY510" s="350">
        <f t="shared" si="206"/>
        <v>10537719.262547903</v>
      </c>
      <c r="AZ510" s="365"/>
      <c r="BA510" s="377">
        <f t="shared" si="207"/>
        <v>0</v>
      </c>
      <c r="BB510" s="377">
        <f t="shared" si="208"/>
        <v>0</v>
      </c>
      <c r="BC510" s="377">
        <f t="shared" si="209"/>
        <v>0</v>
      </c>
      <c r="BD510" s="377">
        <f t="shared" si="210"/>
        <v>0</v>
      </c>
      <c r="BE510" s="377">
        <f t="shared" si="211"/>
        <v>0</v>
      </c>
      <c r="BF510" s="377">
        <f t="shared" si="212"/>
        <v>0</v>
      </c>
      <c r="BG510" s="328"/>
    </row>
    <row r="511" spans="2:59">
      <c r="B511" s="332">
        <v>496</v>
      </c>
      <c r="C511" s="350">
        <v>5710238.3965377733</v>
      </c>
      <c r="D511" s="350">
        <v>35271.987237082016</v>
      </c>
      <c r="E511" s="350">
        <v>33771.690101258493</v>
      </c>
      <c r="F511" s="350">
        <v>32231.022344533369</v>
      </c>
      <c r="G511" s="350">
        <v>30650.062662068129</v>
      </c>
      <c r="H511" s="348">
        <v>5842163.1588827148</v>
      </c>
      <c r="I511" s="369"/>
      <c r="J511" s="350">
        <v>6976239.7353334334</v>
      </c>
      <c r="K511" s="350">
        <v>1316913.4376929486</v>
      </c>
      <c r="L511" s="350">
        <v>1330055.3718922173</v>
      </c>
      <c r="M511" s="350">
        <v>1342123.2533056412</v>
      </c>
      <c r="N511" s="350">
        <v>1353081.4460250016</v>
      </c>
      <c r="O511" s="348">
        <v>12318413.244249241</v>
      </c>
      <c r="P511" s="369"/>
      <c r="Q511" s="350">
        <f t="shared" si="213"/>
        <v>1266001.3387956601</v>
      </c>
      <c r="R511" s="350">
        <f t="shared" si="214"/>
        <v>1281641.4504558665</v>
      </c>
      <c r="S511" s="350">
        <f t="shared" si="215"/>
        <v>1296283.6817909589</v>
      </c>
      <c r="T511" s="350">
        <f t="shared" si="216"/>
        <v>1309892.2309611079</v>
      </c>
      <c r="U511" s="350">
        <f t="shared" si="217"/>
        <v>1322431.3833629335</v>
      </c>
      <c r="V511" s="350">
        <f t="shared" si="218"/>
        <v>6476250.0853665266</v>
      </c>
      <c r="W511" s="365"/>
      <c r="X511" s="377">
        <f t="shared" si="196"/>
        <v>0</v>
      </c>
      <c r="Y511" s="377">
        <f t="shared" si="197"/>
        <v>0</v>
      </c>
      <c r="Z511" s="377">
        <f t="shared" si="198"/>
        <v>0</v>
      </c>
      <c r="AA511" s="377">
        <f t="shared" si="199"/>
        <v>0</v>
      </c>
      <c r="AB511" s="377">
        <f t="shared" si="200"/>
        <v>0</v>
      </c>
      <c r="AC511" s="377">
        <f t="shared" si="201"/>
        <v>0</v>
      </c>
      <c r="AD511" s="376"/>
      <c r="AE511" s="332">
        <v>496</v>
      </c>
      <c r="AF511" s="350">
        <v>5201885.9706504336</v>
      </c>
      <c r="AG511" s="350">
        <v>32131.908131328193</v>
      </c>
      <c r="AH511" s="350">
        <v>30765.174541471439</v>
      </c>
      <c r="AI511" s="350">
        <v>29361.6643142959</v>
      </c>
      <c r="AJ511" s="350">
        <v>27921.449139153294</v>
      </c>
      <c r="AK511" s="348">
        <v>5322066.1667766832</v>
      </c>
      <c r="AL511" s="369"/>
      <c r="AM511" s="350">
        <v>6968400.1488801781</v>
      </c>
      <c r="AN511" s="350">
        <v>1820469.5064082723</v>
      </c>
      <c r="AO511" s="350">
        <v>1839533.8011765408</v>
      </c>
      <c r="AP511" s="350">
        <v>1857118.9715435524</v>
      </c>
      <c r="AQ511" s="350">
        <v>1873175.2548491172</v>
      </c>
      <c r="AR511" s="348">
        <v>14358697.682857661</v>
      </c>
      <c r="AS511" s="369"/>
      <c r="AT511" s="350">
        <f t="shared" si="219"/>
        <v>1766514.1782297445</v>
      </c>
      <c r="AU511" s="350">
        <f t="shared" si="202"/>
        <v>1788337.5982769441</v>
      </c>
      <c r="AV511" s="350">
        <f t="shared" si="203"/>
        <v>1808768.6266350693</v>
      </c>
      <c r="AW511" s="350">
        <f t="shared" si="204"/>
        <v>1827757.3072292565</v>
      </c>
      <c r="AX511" s="350">
        <f t="shared" si="205"/>
        <v>1845253.8057099639</v>
      </c>
      <c r="AY511" s="350">
        <f t="shared" si="206"/>
        <v>9036631.5160809774</v>
      </c>
      <c r="AZ511" s="365"/>
      <c r="BA511" s="377">
        <f t="shared" si="207"/>
        <v>0</v>
      </c>
      <c r="BB511" s="377">
        <f t="shared" si="208"/>
        <v>0</v>
      </c>
      <c r="BC511" s="377">
        <f t="shared" si="209"/>
        <v>0</v>
      </c>
      <c r="BD511" s="377">
        <f t="shared" si="210"/>
        <v>0</v>
      </c>
      <c r="BE511" s="377">
        <f t="shared" si="211"/>
        <v>0</v>
      </c>
      <c r="BF511" s="377">
        <f t="shared" si="212"/>
        <v>0</v>
      </c>
      <c r="BG511" s="328"/>
    </row>
    <row r="512" spans="2:59">
      <c r="B512" s="332">
        <v>497</v>
      </c>
      <c r="C512" s="350">
        <v>7140347.5815412244</v>
      </c>
      <c r="D512" s="350">
        <v>44105.732768907263</v>
      </c>
      <c r="E512" s="350">
        <v>42229.691475804902</v>
      </c>
      <c r="F512" s="350">
        <v>40303.168881342899</v>
      </c>
      <c r="G512" s="350">
        <v>38326.263389611704</v>
      </c>
      <c r="H512" s="348">
        <v>7305312.4380568909</v>
      </c>
      <c r="I512" s="369"/>
      <c r="J512" s="350">
        <v>9803760.5385434497</v>
      </c>
      <c r="K512" s="350">
        <v>2740422.348533758</v>
      </c>
      <c r="L512" s="350">
        <v>2769350.6258951719</v>
      </c>
      <c r="M512" s="350">
        <v>2796053.7619551467</v>
      </c>
      <c r="N512" s="350">
        <v>2820456.7187537793</v>
      </c>
      <c r="O512" s="348">
        <v>20930043.993681304</v>
      </c>
      <c r="P512" s="369"/>
      <c r="Q512" s="350">
        <f t="shared" si="213"/>
        <v>2663412.9570022253</v>
      </c>
      <c r="R512" s="350">
        <f t="shared" si="214"/>
        <v>2696316.6157648508</v>
      </c>
      <c r="S512" s="350">
        <f t="shared" si="215"/>
        <v>2727120.934419367</v>
      </c>
      <c r="T512" s="350">
        <f t="shared" si="216"/>
        <v>2755750.5930738039</v>
      </c>
      <c r="U512" s="350">
        <f t="shared" si="217"/>
        <v>2782130.4553641677</v>
      </c>
      <c r="V512" s="350">
        <f t="shared" si="218"/>
        <v>13624731.555624414</v>
      </c>
      <c r="W512" s="365"/>
      <c r="X512" s="377">
        <f t="shared" si="196"/>
        <v>0</v>
      </c>
      <c r="Y512" s="377">
        <f t="shared" si="197"/>
        <v>0</v>
      </c>
      <c r="Z512" s="377">
        <f t="shared" si="198"/>
        <v>0</v>
      </c>
      <c r="AA512" s="377">
        <f t="shared" si="199"/>
        <v>0</v>
      </c>
      <c r="AB512" s="377">
        <f t="shared" si="200"/>
        <v>0</v>
      </c>
      <c r="AC512" s="377">
        <f t="shared" si="201"/>
        <v>0</v>
      </c>
      <c r="AD512" s="376"/>
      <c r="AE512" s="332">
        <v>497</v>
      </c>
      <c r="AF512" s="350">
        <v>4871153.1691009197</v>
      </c>
      <c r="AG512" s="350">
        <v>30088.980613238506</v>
      </c>
      <c r="AH512" s="350">
        <v>28809.143128312673</v>
      </c>
      <c r="AI512" s="350">
        <v>27494.867242692733</v>
      </c>
      <c r="AJ512" s="350">
        <v>26146.220087763668</v>
      </c>
      <c r="AK512" s="348">
        <v>4983692.3801729279</v>
      </c>
      <c r="AL512" s="369"/>
      <c r="AM512" s="350">
        <v>6492098.0684444793</v>
      </c>
      <c r="AN512" s="350">
        <v>1671058.9450526168</v>
      </c>
      <c r="AO512" s="350">
        <v>1688526.5207577928</v>
      </c>
      <c r="AP512" s="350">
        <v>1704636.1667029378</v>
      </c>
      <c r="AQ512" s="350">
        <v>1719342.2222603837</v>
      </c>
      <c r="AR512" s="348">
        <v>13275661.923218209</v>
      </c>
      <c r="AS512" s="369"/>
      <c r="AT512" s="350">
        <f t="shared" si="219"/>
        <v>1620944.8993435595</v>
      </c>
      <c r="AU512" s="350">
        <f t="shared" si="202"/>
        <v>1640969.9644393784</v>
      </c>
      <c r="AV512" s="350">
        <f t="shared" si="203"/>
        <v>1659717.3776294801</v>
      </c>
      <c r="AW512" s="350">
        <f t="shared" si="204"/>
        <v>1677141.2994602451</v>
      </c>
      <c r="AX512" s="350">
        <f t="shared" si="205"/>
        <v>1693196.00217262</v>
      </c>
      <c r="AY512" s="350">
        <f t="shared" si="206"/>
        <v>8291969.5430452814</v>
      </c>
      <c r="AZ512" s="365"/>
      <c r="BA512" s="377">
        <f t="shared" si="207"/>
        <v>0</v>
      </c>
      <c r="BB512" s="377">
        <f t="shared" si="208"/>
        <v>0</v>
      </c>
      <c r="BC512" s="377">
        <f t="shared" si="209"/>
        <v>0</v>
      </c>
      <c r="BD512" s="377">
        <f t="shared" si="210"/>
        <v>0</v>
      </c>
      <c r="BE512" s="377">
        <f t="shared" si="211"/>
        <v>0</v>
      </c>
      <c r="BF512" s="377">
        <f t="shared" si="212"/>
        <v>0</v>
      </c>
      <c r="BG512" s="328"/>
    </row>
    <row r="513" spans="2:59">
      <c r="B513" s="332">
        <v>498</v>
      </c>
      <c r="C513" s="350">
        <v>5583367.5847668229</v>
      </c>
      <c r="D513" s="350">
        <v>34488.30968410003</v>
      </c>
      <c r="E513" s="350">
        <v>33021.346343173209</v>
      </c>
      <c r="F513" s="350">
        <v>31514.909340995357</v>
      </c>
      <c r="G513" s="350">
        <v>29969.075624272522</v>
      </c>
      <c r="H513" s="348">
        <v>5712361.2257593637</v>
      </c>
      <c r="I513" s="369"/>
      <c r="J513" s="350">
        <v>8075334.2053264938</v>
      </c>
      <c r="K513" s="350">
        <v>2557240.5502938591</v>
      </c>
      <c r="L513" s="350">
        <v>2584595.0033443789</v>
      </c>
      <c r="M513" s="350">
        <v>2609875.3075936106</v>
      </c>
      <c r="N513" s="350">
        <v>2633011.2402209798</v>
      </c>
      <c r="O513" s="348">
        <v>18460056.306779321</v>
      </c>
      <c r="P513" s="369"/>
      <c r="Q513" s="350">
        <f t="shared" si="213"/>
        <v>2491966.620559671</v>
      </c>
      <c r="R513" s="350">
        <f t="shared" si="214"/>
        <v>2522752.240609759</v>
      </c>
      <c r="S513" s="350">
        <f t="shared" si="215"/>
        <v>2551573.6570012057</v>
      </c>
      <c r="T513" s="350">
        <f t="shared" si="216"/>
        <v>2578360.3982526152</v>
      </c>
      <c r="U513" s="350">
        <f t="shared" si="217"/>
        <v>2603042.1645967071</v>
      </c>
      <c r="V513" s="350">
        <f t="shared" si="218"/>
        <v>12747695.081019957</v>
      </c>
      <c r="W513" s="365"/>
      <c r="X513" s="377">
        <f t="shared" si="196"/>
        <v>0</v>
      </c>
      <c r="Y513" s="377">
        <f t="shared" si="197"/>
        <v>0</v>
      </c>
      <c r="Z513" s="377">
        <f t="shared" si="198"/>
        <v>0</v>
      </c>
      <c r="AA513" s="377">
        <f t="shared" si="199"/>
        <v>0</v>
      </c>
      <c r="AB513" s="377">
        <f t="shared" si="200"/>
        <v>0</v>
      </c>
      <c r="AC513" s="377">
        <f t="shared" si="201"/>
        <v>0</v>
      </c>
      <c r="AD513" s="376"/>
      <c r="AE513" s="332">
        <v>498</v>
      </c>
      <c r="AF513" s="350">
        <v>7440157.3059474071</v>
      </c>
      <c r="AG513" s="350">
        <v>45957.649280697755</v>
      </c>
      <c r="AH513" s="350">
        <v>44002.836552924506</v>
      </c>
      <c r="AI513" s="350">
        <v>41995.422909176166</v>
      </c>
      <c r="AJ513" s="350">
        <v>39935.510885359523</v>
      </c>
      <c r="AK513" s="348">
        <v>7612048.7255755654</v>
      </c>
      <c r="AL513" s="369"/>
      <c r="AM513" s="350">
        <v>9973926.4532056656</v>
      </c>
      <c r="AN513" s="350">
        <v>2611028.842729527</v>
      </c>
      <c r="AO513" s="350">
        <v>2638378.9231854929</v>
      </c>
      <c r="AP513" s="350">
        <v>2663607.5960841691</v>
      </c>
      <c r="AQ513" s="350">
        <v>2686643.4849216216</v>
      </c>
      <c r="AR513" s="348">
        <v>20573585.300126478</v>
      </c>
      <c r="AS513" s="369"/>
      <c r="AT513" s="350">
        <f t="shared" si="219"/>
        <v>2533769.1472582584</v>
      </c>
      <c r="AU513" s="350">
        <f t="shared" si="202"/>
        <v>2565071.1934488295</v>
      </c>
      <c r="AV513" s="350">
        <f t="shared" si="203"/>
        <v>2594376.0866325684</v>
      </c>
      <c r="AW513" s="350">
        <f t="shared" si="204"/>
        <v>2621612.1731749931</v>
      </c>
      <c r="AX513" s="350">
        <f t="shared" si="205"/>
        <v>2646707.9740362619</v>
      </c>
      <c r="AY513" s="350">
        <f t="shared" si="206"/>
        <v>12961536.574550912</v>
      </c>
      <c r="AZ513" s="365"/>
      <c r="BA513" s="377">
        <f t="shared" si="207"/>
        <v>0</v>
      </c>
      <c r="BB513" s="377">
        <f t="shared" si="208"/>
        <v>0</v>
      </c>
      <c r="BC513" s="377">
        <f t="shared" si="209"/>
        <v>0</v>
      </c>
      <c r="BD513" s="377">
        <f t="shared" si="210"/>
        <v>0</v>
      </c>
      <c r="BE513" s="377">
        <f t="shared" si="211"/>
        <v>0</v>
      </c>
      <c r="BF513" s="377">
        <f t="shared" si="212"/>
        <v>0</v>
      </c>
      <c r="BG513" s="328"/>
    </row>
    <row r="514" spans="2:59">
      <c r="B514" s="332">
        <v>499</v>
      </c>
      <c r="C514" s="350">
        <v>5732727.3893461619</v>
      </c>
      <c r="D514" s="350">
        <v>35410.901133880194</v>
      </c>
      <c r="E514" s="350">
        <v>33904.69528301742</v>
      </c>
      <c r="F514" s="350">
        <v>32357.959817082687</v>
      </c>
      <c r="G514" s="350">
        <v>30770.773741171331</v>
      </c>
      <c r="H514" s="348">
        <v>5865171.7193213133</v>
      </c>
      <c r="I514" s="369"/>
      <c r="J514" s="350">
        <v>7216863.1524558263</v>
      </c>
      <c r="K514" s="350">
        <v>1537881.5967136989</v>
      </c>
      <c r="L514" s="350">
        <v>1553540.5063411556</v>
      </c>
      <c r="M514" s="350">
        <v>1567947.0987971858</v>
      </c>
      <c r="N514" s="350">
        <v>1581059.5847898175</v>
      </c>
      <c r="O514" s="348">
        <v>13457291.939097684</v>
      </c>
      <c r="P514" s="369"/>
      <c r="Q514" s="350">
        <f t="shared" si="213"/>
        <v>1484135.7631096644</v>
      </c>
      <c r="R514" s="350">
        <f t="shared" si="214"/>
        <v>1502470.6955798187</v>
      </c>
      <c r="S514" s="350">
        <f t="shared" si="215"/>
        <v>1519635.8110581383</v>
      </c>
      <c r="T514" s="350">
        <f t="shared" si="216"/>
        <v>1535589.1389801032</v>
      </c>
      <c r="U514" s="350">
        <f t="shared" si="217"/>
        <v>1550288.8110486462</v>
      </c>
      <c r="V514" s="350">
        <f t="shared" si="218"/>
        <v>7592120.2197763706</v>
      </c>
      <c r="W514" s="365"/>
      <c r="X514" s="377">
        <f t="shared" si="196"/>
        <v>0</v>
      </c>
      <c r="Y514" s="377">
        <f t="shared" si="197"/>
        <v>0</v>
      </c>
      <c r="Z514" s="377">
        <f t="shared" si="198"/>
        <v>0</v>
      </c>
      <c r="AA514" s="377">
        <f t="shared" si="199"/>
        <v>0</v>
      </c>
      <c r="AB514" s="377">
        <f t="shared" si="200"/>
        <v>0</v>
      </c>
      <c r="AC514" s="377">
        <f t="shared" si="201"/>
        <v>0</v>
      </c>
      <c r="AD514" s="376"/>
      <c r="AE514" s="332">
        <v>499</v>
      </c>
      <c r="AF514" s="350">
        <v>5749392.4969424643</v>
      </c>
      <c r="AG514" s="350">
        <v>35513.841050154071</v>
      </c>
      <c r="AH514" s="350">
        <v>34003.25664073378</v>
      </c>
      <c r="AI514" s="350">
        <v>32452.024796162939</v>
      </c>
      <c r="AJ514" s="350">
        <v>30860.224751203656</v>
      </c>
      <c r="AK514" s="348">
        <v>5882221.844180719</v>
      </c>
      <c r="AL514" s="369"/>
      <c r="AM514" s="350">
        <v>7626840.6689165188</v>
      </c>
      <c r="AN514" s="350">
        <v>1936155.9055945438</v>
      </c>
      <c r="AO514" s="350">
        <v>1956359.3823091355</v>
      </c>
      <c r="AP514" s="350">
        <v>1974989.2869134573</v>
      </c>
      <c r="AQ514" s="350">
        <v>1991992.7347829321</v>
      </c>
      <c r="AR514" s="348">
        <v>15486337.978516588</v>
      </c>
      <c r="AS514" s="369"/>
      <c r="AT514" s="350">
        <f t="shared" si="219"/>
        <v>1877448.1719740545</v>
      </c>
      <c r="AU514" s="350">
        <f t="shared" si="202"/>
        <v>1900642.0645443897</v>
      </c>
      <c r="AV514" s="350">
        <f t="shared" si="203"/>
        <v>1922356.1256684018</v>
      </c>
      <c r="AW514" s="350">
        <f t="shared" si="204"/>
        <v>1942537.2621172944</v>
      </c>
      <c r="AX514" s="350">
        <f t="shared" si="205"/>
        <v>1961132.5100317285</v>
      </c>
      <c r="AY514" s="350">
        <f t="shared" si="206"/>
        <v>9604116.1343358681</v>
      </c>
      <c r="AZ514" s="365"/>
      <c r="BA514" s="377">
        <f t="shared" si="207"/>
        <v>0</v>
      </c>
      <c r="BB514" s="377">
        <f t="shared" si="208"/>
        <v>0</v>
      </c>
      <c r="BC514" s="377">
        <f t="shared" si="209"/>
        <v>0</v>
      </c>
      <c r="BD514" s="377">
        <f t="shared" si="210"/>
        <v>0</v>
      </c>
      <c r="BE514" s="377">
        <f t="shared" si="211"/>
        <v>0</v>
      </c>
      <c r="BF514" s="377">
        <f t="shared" si="212"/>
        <v>0</v>
      </c>
      <c r="BG514" s="328"/>
    </row>
    <row r="515" spans="2:59">
      <c r="B515" s="332">
        <v>500</v>
      </c>
      <c r="C515" s="350">
        <v>5526129.3409070652</v>
      </c>
      <c r="D515" s="350">
        <v>34134.750608858049</v>
      </c>
      <c r="E515" s="350">
        <v>32682.825934858422</v>
      </c>
      <c r="F515" s="350">
        <v>31191.832266327681</v>
      </c>
      <c r="G515" s="350">
        <v>29661.845761149976</v>
      </c>
      <c r="H515" s="348">
        <v>5653800.595478259</v>
      </c>
      <c r="I515" s="369"/>
      <c r="J515" s="350">
        <v>7550722.7903997917</v>
      </c>
      <c r="K515" s="350">
        <v>2083739.9174246613</v>
      </c>
      <c r="L515" s="350">
        <v>2105703.8966194391</v>
      </c>
      <c r="M515" s="350">
        <v>2125975.7389469505</v>
      </c>
      <c r="N515" s="350">
        <v>2144498.4056554614</v>
      </c>
      <c r="O515" s="348">
        <v>16010640.749046303</v>
      </c>
      <c r="P515" s="369"/>
      <c r="Q515" s="350">
        <f t="shared" si="213"/>
        <v>2024593.4494927265</v>
      </c>
      <c r="R515" s="350">
        <f t="shared" si="214"/>
        <v>2049605.1668158034</v>
      </c>
      <c r="S515" s="350">
        <f t="shared" si="215"/>
        <v>2073021.0706845806</v>
      </c>
      <c r="T515" s="350">
        <f t="shared" si="216"/>
        <v>2094783.9066806228</v>
      </c>
      <c r="U515" s="350">
        <f t="shared" si="217"/>
        <v>2114836.5598943112</v>
      </c>
      <c r="V515" s="350">
        <f t="shared" si="218"/>
        <v>10356840.153568044</v>
      </c>
      <c r="W515" s="365"/>
      <c r="X515" s="377">
        <f t="shared" si="196"/>
        <v>0</v>
      </c>
      <c r="Y515" s="377">
        <f t="shared" si="197"/>
        <v>0</v>
      </c>
      <c r="Z515" s="377">
        <f t="shared" si="198"/>
        <v>0</v>
      </c>
      <c r="AA515" s="377">
        <f t="shared" si="199"/>
        <v>0</v>
      </c>
      <c r="AB515" s="377">
        <f t="shared" si="200"/>
        <v>0</v>
      </c>
      <c r="AC515" s="377">
        <f t="shared" si="201"/>
        <v>0</v>
      </c>
      <c r="AD515" s="376"/>
      <c r="AE515" s="332">
        <v>500</v>
      </c>
      <c r="AF515" s="350">
        <v>5711819.6670920542</v>
      </c>
      <c r="AG515" s="350">
        <v>35281.754702278624</v>
      </c>
      <c r="AH515" s="350">
        <v>33781.042106451525</v>
      </c>
      <c r="AI515" s="350">
        <v>32239.94771034547</v>
      </c>
      <c r="AJ515" s="350">
        <v>30658.550230923458</v>
      </c>
      <c r="AK515" s="348">
        <v>5843780.9618420526</v>
      </c>
      <c r="AL515" s="369"/>
      <c r="AM515" s="350">
        <v>7851372.4684241544</v>
      </c>
      <c r="AN515" s="350">
        <v>2201266.4749354878</v>
      </c>
      <c r="AO515" s="350">
        <v>2224511.255184521</v>
      </c>
      <c r="AP515" s="350">
        <v>2245968.7221696796</v>
      </c>
      <c r="AQ515" s="350">
        <v>2265578.5966309151</v>
      </c>
      <c r="AR515" s="348">
        <v>16788697.517344758</v>
      </c>
      <c r="AS515" s="369"/>
      <c r="AT515" s="350">
        <f t="shared" si="219"/>
        <v>2139552.8013321003</v>
      </c>
      <c r="AU515" s="350">
        <f t="shared" si="202"/>
        <v>2165984.7202332094</v>
      </c>
      <c r="AV515" s="350">
        <f t="shared" si="203"/>
        <v>2190730.2130780695</v>
      </c>
      <c r="AW515" s="350">
        <f t="shared" si="204"/>
        <v>2213728.7744593341</v>
      </c>
      <c r="AX515" s="350">
        <f t="shared" si="205"/>
        <v>2234920.0463999915</v>
      </c>
      <c r="AY515" s="350">
        <f t="shared" si="206"/>
        <v>10944916.555502705</v>
      </c>
      <c r="AZ515" s="365"/>
      <c r="BA515" s="377">
        <f t="shared" si="207"/>
        <v>0</v>
      </c>
      <c r="BB515" s="377">
        <f t="shared" si="208"/>
        <v>0</v>
      </c>
      <c r="BC515" s="377">
        <f t="shared" si="209"/>
        <v>0</v>
      </c>
      <c r="BD515" s="377">
        <f t="shared" si="210"/>
        <v>0</v>
      </c>
      <c r="BE515" s="377">
        <f t="shared" si="211"/>
        <v>0</v>
      </c>
      <c r="BF515" s="377">
        <f t="shared" si="212"/>
        <v>0</v>
      </c>
      <c r="BG515" s="328"/>
    </row>
    <row r="516" spans="2:59">
      <c r="B516" s="332">
        <v>501</v>
      </c>
      <c r="C516" s="350">
        <v>6684860.3752077548</v>
      </c>
      <c r="D516" s="350">
        <v>41292.200686220654</v>
      </c>
      <c r="E516" s="350">
        <v>39535.833232214289</v>
      </c>
      <c r="F516" s="350">
        <v>37732.204710408951</v>
      </c>
      <c r="G516" s="350">
        <v>35881.407247643314</v>
      </c>
      <c r="H516" s="348">
        <v>6839302.0210842425</v>
      </c>
      <c r="I516" s="369"/>
      <c r="J516" s="350">
        <v>9014809.1875159405</v>
      </c>
      <c r="K516" s="350">
        <v>2400025.0738562504</v>
      </c>
      <c r="L516" s="350">
        <v>2425216.2683544224</v>
      </c>
      <c r="M516" s="350">
        <v>2448457.8131705751</v>
      </c>
      <c r="N516" s="350">
        <v>2469684.0712769497</v>
      </c>
      <c r="O516" s="348">
        <v>18758192.414174139</v>
      </c>
      <c r="P516" s="369"/>
      <c r="Q516" s="350">
        <f t="shared" si="213"/>
        <v>2329948.8123081857</v>
      </c>
      <c r="R516" s="350">
        <f t="shared" si="214"/>
        <v>2358732.8731700298</v>
      </c>
      <c r="S516" s="350">
        <f t="shared" si="215"/>
        <v>2385680.4351222082</v>
      </c>
      <c r="T516" s="350">
        <f t="shared" si="216"/>
        <v>2410725.608460166</v>
      </c>
      <c r="U516" s="350">
        <f t="shared" si="217"/>
        <v>2433802.6640293063</v>
      </c>
      <c r="V516" s="350">
        <f t="shared" si="218"/>
        <v>11918890.393089898</v>
      </c>
      <c r="W516" s="365"/>
      <c r="X516" s="377">
        <f t="shared" si="196"/>
        <v>0</v>
      </c>
      <c r="Y516" s="377">
        <f t="shared" si="197"/>
        <v>0</v>
      </c>
      <c r="Z516" s="377">
        <f t="shared" si="198"/>
        <v>0</v>
      </c>
      <c r="AA516" s="377">
        <f t="shared" si="199"/>
        <v>0</v>
      </c>
      <c r="AB516" s="377">
        <f t="shared" si="200"/>
        <v>0</v>
      </c>
      <c r="AC516" s="377">
        <f t="shared" si="201"/>
        <v>0</v>
      </c>
      <c r="AD516" s="376"/>
      <c r="AE516" s="332">
        <v>501</v>
      </c>
      <c r="AF516" s="350">
        <v>4555672.5007744357</v>
      </c>
      <c r="AG516" s="350">
        <v>28140.265107157335</v>
      </c>
      <c r="AH516" s="350">
        <v>26943.316410794057</v>
      </c>
      <c r="AI516" s="350">
        <v>25714.159719822099</v>
      </c>
      <c r="AJ516" s="350">
        <v>24452.857817855318</v>
      </c>
      <c r="AK516" s="348">
        <v>4660923.0998300649</v>
      </c>
      <c r="AL516" s="369"/>
      <c r="AM516" s="350">
        <v>6433786.4523520907</v>
      </c>
      <c r="AN516" s="350">
        <v>1929456.3342601475</v>
      </c>
      <c r="AO516" s="350">
        <v>1949981.1469158083</v>
      </c>
      <c r="AP516" s="350">
        <v>1968940.2832968649</v>
      </c>
      <c r="AQ516" s="350">
        <v>1986280.8235455803</v>
      </c>
      <c r="AR516" s="348">
        <v>14268445.040370492</v>
      </c>
      <c r="AS516" s="369"/>
      <c r="AT516" s="350">
        <f t="shared" si="219"/>
        <v>1878113.951577655</v>
      </c>
      <c r="AU516" s="350">
        <f t="shared" si="202"/>
        <v>1901316.0691529901</v>
      </c>
      <c r="AV516" s="350">
        <f t="shared" si="203"/>
        <v>1923037.8305050142</v>
      </c>
      <c r="AW516" s="350">
        <f t="shared" si="204"/>
        <v>1943226.1235770429</v>
      </c>
      <c r="AX516" s="350">
        <f t="shared" si="205"/>
        <v>1961827.9657277248</v>
      </c>
      <c r="AY516" s="350">
        <f t="shared" si="206"/>
        <v>9607521.9405404273</v>
      </c>
      <c r="AZ516" s="365"/>
      <c r="BA516" s="377">
        <f t="shared" si="207"/>
        <v>0</v>
      </c>
      <c r="BB516" s="377">
        <f t="shared" si="208"/>
        <v>0</v>
      </c>
      <c r="BC516" s="377">
        <f t="shared" si="209"/>
        <v>0</v>
      </c>
      <c r="BD516" s="377">
        <f t="shared" si="210"/>
        <v>0</v>
      </c>
      <c r="BE516" s="377">
        <f t="shared" si="211"/>
        <v>0</v>
      </c>
      <c r="BF516" s="377">
        <f t="shared" si="212"/>
        <v>0</v>
      </c>
      <c r="BG516" s="328"/>
    </row>
    <row r="517" spans="2:59">
      <c r="B517" s="332">
        <v>502</v>
      </c>
      <c r="C517" s="350">
        <v>6078710.4472673237</v>
      </c>
      <c r="D517" s="350">
        <v>37548.029070717537</v>
      </c>
      <c r="E517" s="350">
        <v>35950.920291677539</v>
      </c>
      <c r="F517" s="350">
        <v>34310.835843667446</v>
      </c>
      <c r="G517" s="350">
        <v>32627.859499924423</v>
      </c>
      <c r="H517" s="348">
        <v>6219148.0919733103</v>
      </c>
      <c r="I517" s="369"/>
      <c r="J517" s="350">
        <v>7872052.9182684924</v>
      </c>
      <c r="K517" s="350">
        <v>1853045.3553883361</v>
      </c>
      <c r="L517" s="350">
        <v>1872189.5637933877</v>
      </c>
      <c r="M517" s="350">
        <v>1889826.5436324899</v>
      </c>
      <c r="N517" s="350">
        <v>1905905.7874882482</v>
      </c>
      <c r="O517" s="348">
        <v>15393020.168570954</v>
      </c>
      <c r="P517" s="369"/>
      <c r="Q517" s="350">
        <f t="shared" si="213"/>
        <v>1793342.4710011687</v>
      </c>
      <c r="R517" s="350">
        <f t="shared" si="214"/>
        <v>1815497.3263176186</v>
      </c>
      <c r="S517" s="350">
        <f t="shared" si="215"/>
        <v>1836238.6435017101</v>
      </c>
      <c r="T517" s="350">
        <f t="shared" si="216"/>
        <v>1855515.7077888225</v>
      </c>
      <c r="U517" s="350">
        <f t="shared" si="217"/>
        <v>1873277.9279883238</v>
      </c>
      <c r="V517" s="350">
        <f t="shared" si="218"/>
        <v>9173872.076597644</v>
      </c>
      <c r="W517" s="365"/>
      <c r="X517" s="377">
        <f t="shared" si="196"/>
        <v>0</v>
      </c>
      <c r="Y517" s="377">
        <f t="shared" si="197"/>
        <v>0</v>
      </c>
      <c r="Z517" s="377">
        <f t="shared" si="198"/>
        <v>0</v>
      </c>
      <c r="AA517" s="377">
        <f t="shared" si="199"/>
        <v>0</v>
      </c>
      <c r="AB517" s="377">
        <f t="shared" si="200"/>
        <v>0</v>
      </c>
      <c r="AC517" s="377">
        <f t="shared" si="201"/>
        <v>0</v>
      </c>
      <c r="AD517" s="376"/>
      <c r="AE517" s="332">
        <v>502</v>
      </c>
      <c r="AF517" s="350">
        <v>6405783.3570512636</v>
      </c>
      <c r="AG517" s="350">
        <v>39568.349536932343</v>
      </c>
      <c r="AH517" s="350">
        <v>37885.306245936525</v>
      </c>
      <c r="AI517" s="350">
        <v>36156.974924293849</v>
      </c>
      <c r="AJ517" s="350">
        <v>34383.443852764329</v>
      </c>
      <c r="AK517" s="348">
        <v>6553777.4316111906</v>
      </c>
      <c r="AL517" s="369"/>
      <c r="AM517" s="350">
        <v>9027651.8559061289</v>
      </c>
      <c r="AN517" s="350">
        <v>2693827.269178777</v>
      </c>
      <c r="AO517" s="350">
        <v>2722468.0525015369</v>
      </c>
      <c r="AP517" s="350">
        <v>2748922.8085834766</v>
      </c>
      <c r="AQ517" s="350">
        <v>2773117.6613336937</v>
      </c>
      <c r="AR517" s="348">
        <v>19965987.647503614</v>
      </c>
      <c r="AS517" s="369"/>
      <c r="AT517" s="350">
        <f t="shared" si="219"/>
        <v>2621868.4988548653</v>
      </c>
      <c r="AU517" s="350">
        <f t="shared" si="202"/>
        <v>2654258.9196418445</v>
      </c>
      <c r="AV517" s="350">
        <f t="shared" si="203"/>
        <v>2684582.7462556004</v>
      </c>
      <c r="AW517" s="350">
        <f t="shared" si="204"/>
        <v>2712765.8336591828</v>
      </c>
      <c r="AX517" s="350">
        <f t="shared" si="205"/>
        <v>2738734.2174809291</v>
      </c>
      <c r="AY517" s="350">
        <f t="shared" si="206"/>
        <v>13412210.215892423</v>
      </c>
      <c r="AZ517" s="365"/>
      <c r="BA517" s="377">
        <f t="shared" si="207"/>
        <v>0</v>
      </c>
      <c r="BB517" s="377">
        <f t="shared" si="208"/>
        <v>0</v>
      </c>
      <c r="BC517" s="377">
        <f t="shared" si="209"/>
        <v>0</v>
      </c>
      <c r="BD517" s="377">
        <f t="shared" si="210"/>
        <v>0</v>
      </c>
      <c r="BE517" s="377">
        <f t="shared" si="211"/>
        <v>0</v>
      </c>
      <c r="BF517" s="377">
        <f t="shared" si="212"/>
        <v>0</v>
      </c>
      <c r="BG517" s="328"/>
    </row>
    <row r="518" spans="2:59">
      <c r="B518" s="332">
        <v>503</v>
      </c>
      <c r="C518" s="350">
        <v>4991478.0802762359</v>
      </c>
      <c r="D518" s="350">
        <v>30832.224316312884</v>
      </c>
      <c r="E518" s="350">
        <v>29520.772893917594</v>
      </c>
      <c r="F518" s="350">
        <v>28174.032389816497</v>
      </c>
      <c r="G518" s="350">
        <v>26792.071593642031</v>
      </c>
      <c r="H518" s="348">
        <v>5106797.1814699257</v>
      </c>
      <c r="I518" s="369"/>
      <c r="J518" s="350">
        <v>6436848.4631390031</v>
      </c>
      <c r="K518" s="350">
        <v>1494058.6342507706</v>
      </c>
      <c r="L518" s="350">
        <v>1509463.9483342462</v>
      </c>
      <c r="M518" s="350">
        <v>1523653.8374698705</v>
      </c>
      <c r="N518" s="350">
        <v>1536587.595743191</v>
      </c>
      <c r="O518" s="348">
        <v>12500612.47893708</v>
      </c>
      <c r="P518" s="369"/>
      <c r="Q518" s="350">
        <f t="shared" si="213"/>
        <v>1445370.3828627672</v>
      </c>
      <c r="R518" s="350">
        <f t="shared" si="214"/>
        <v>1463226.4099344576</v>
      </c>
      <c r="S518" s="350">
        <f t="shared" si="215"/>
        <v>1479943.1754403287</v>
      </c>
      <c r="T518" s="350">
        <f t="shared" si="216"/>
        <v>1495479.8050800539</v>
      </c>
      <c r="U518" s="350">
        <f t="shared" si="217"/>
        <v>1509795.524149549</v>
      </c>
      <c r="V518" s="350">
        <f t="shared" si="218"/>
        <v>7393815.2974671545</v>
      </c>
      <c r="W518" s="365"/>
      <c r="X518" s="377">
        <f t="shared" si="196"/>
        <v>0</v>
      </c>
      <c r="Y518" s="377">
        <f t="shared" si="197"/>
        <v>0</v>
      </c>
      <c r="Z518" s="377">
        <f t="shared" si="198"/>
        <v>0</v>
      </c>
      <c r="AA518" s="377">
        <f t="shared" si="199"/>
        <v>0</v>
      </c>
      <c r="AB518" s="377">
        <f t="shared" si="200"/>
        <v>0</v>
      </c>
      <c r="AC518" s="377">
        <f t="shared" si="201"/>
        <v>0</v>
      </c>
      <c r="AD518" s="376"/>
      <c r="AE518" s="332">
        <v>503</v>
      </c>
      <c r="AF518" s="350">
        <v>6299082.8517586635</v>
      </c>
      <c r="AG518" s="350">
        <v>38909.263418364884</v>
      </c>
      <c r="AH518" s="350">
        <v>37254.254414446303</v>
      </c>
      <c r="AI518" s="350">
        <v>35554.711738162987</v>
      </c>
      <c r="AJ518" s="350">
        <v>33810.722199798794</v>
      </c>
      <c r="AK518" s="348">
        <v>6444611.8035294367</v>
      </c>
      <c r="AL518" s="369"/>
      <c r="AM518" s="350">
        <v>8452357.7196878307</v>
      </c>
      <c r="AN518" s="350">
        <v>2218785.5719128083</v>
      </c>
      <c r="AO518" s="350">
        <v>2242034.7614891641</v>
      </c>
      <c r="AP518" s="350">
        <v>2263481.2819481138</v>
      </c>
      <c r="AQ518" s="350">
        <v>2283064.475015793</v>
      </c>
      <c r="AR518" s="348">
        <v>17459723.81005371</v>
      </c>
      <c r="AS518" s="369"/>
      <c r="AT518" s="350">
        <f t="shared" si="219"/>
        <v>2153274.8679291671</v>
      </c>
      <c r="AU518" s="350">
        <f t="shared" si="202"/>
        <v>2179876.3084944435</v>
      </c>
      <c r="AV518" s="350">
        <f t="shared" si="203"/>
        <v>2204780.5070747179</v>
      </c>
      <c r="AW518" s="350">
        <f t="shared" si="204"/>
        <v>2227926.5702099507</v>
      </c>
      <c r="AX518" s="350">
        <f t="shared" si="205"/>
        <v>2249253.7528159944</v>
      </c>
      <c r="AY518" s="350">
        <f t="shared" si="206"/>
        <v>11015112.006524272</v>
      </c>
      <c r="AZ518" s="365"/>
      <c r="BA518" s="377">
        <f t="shared" si="207"/>
        <v>0</v>
      </c>
      <c r="BB518" s="377">
        <f t="shared" si="208"/>
        <v>0</v>
      </c>
      <c r="BC518" s="377">
        <f t="shared" si="209"/>
        <v>0</v>
      </c>
      <c r="BD518" s="377">
        <f t="shared" si="210"/>
        <v>0</v>
      </c>
      <c r="BE518" s="377">
        <f t="shared" si="211"/>
        <v>0</v>
      </c>
      <c r="BF518" s="377">
        <f t="shared" si="212"/>
        <v>0</v>
      </c>
      <c r="BG518" s="328"/>
    </row>
    <row r="519" spans="2:59">
      <c r="B519" s="332">
        <v>504</v>
      </c>
      <c r="C519" s="350">
        <v>6511124.4478857247</v>
      </c>
      <c r="D519" s="350">
        <v>40219.038589372627</v>
      </c>
      <c r="E519" s="350">
        <v>38508.318181261915</v>
      </c>
      <c r="F519" s="350">
        <v>36751.564995094028</v>
      </c>
      <c r="G519" s="350">
        <v>34948.868763381106</v>
      </c>
      <c r="H519" s="348">
        <v>6661552.2384148343</v>
      </c>
      <c r="I519" s="369"/>
      <c r="J519" s="350">
        <v>8081767.4296819447</v>
      </c>
      <c r="K519" s="350">
        <v>1630265.6583288051</v>
      </c>
      <c r="L519" s="350">
        <v>1646720.572647572</v>
      </c>
      <c r="M519" s="350">
        <v>1661847.0340296081</v>
      </c>
      <c r="N519" s="350">
        <v>1675600.8234935093</v>
      </c>
      <c r="O519" s="348">
        <v>14696201.518181439</v>
      </c>
      <c r="P519" s="369"/>
      <c r="Q519" s="350">
        <f t="shared" si="213"/>
        <v>1570642.9817962199</v>
      </c>
      <c r="R519" s="350">
        <f t="shared" si="214"/>
        <v>1590046.6197394326</v>
      </c>
      <c r="S519" s="350">
        <f t="shared" si="215"/>
        <v>1608212.2544663101</v>
      </c>
      <c r="T519" s="350">
        <f t="shared" si="216"/>
        <v>1625095.4690345142</v>
      </c>
      <c r="U519" s="350">
        <f t="shared" si="217"/>
        <v>1640651.9547301282</v>
      </c>
      <c r="V519" s="350">
        <f t="shared" si="218"/>
        <v>8034649.2797666052</v>
      </c>
      <c r="W519" s="365"/>
      <c r="X519" s="377">
        <f t="shared" si="196"/>
        <v>0</v>
      </c>
      <c r="Y519" s="377">
        <f t="shared" si="197"/>
        <v>0</v>
      </c>
      <c r="Z519" s="377">
        <f t="shared" si="198"/>
        <v>0</v>
      </c>
      <c r="AA519" s="377">
        <f t="shared" si="199"/>
        <v>0</v>
      </c>
      <c r="AB519" s="377">
        <f t="shared" si="200"/>
        <v>0</v>
      </c>
      <c r="AC519" s="377">
        <f t="shared" si="201"/>
        <v>0</v>
      </c>
      <c r="AD519" s="376"/>
      <c r="AE519" s="332">
        <v>504</v>
      </c>
      <c r="AF519" s="350">
        <v>6197458.6117211729</v>
      </c>
      <c r="AG519" s="350">
        <v>38281.533252186236</v>
      </c>
      <c r="AH519" s="350">
        <v>36653.224807098777</v>
      </c>
      <c r="AI519" s="350">
        <v>34981.101159421145</v>
      </c>
      <c r="AJ519" s="350">
        <v>33265.247718904764</v>
      </c>
      <c r="AK519" s="348">
        <v>6340639.7186587835</v>
      </c>
      <c r="AL519" s="369"/>
      <c r="AM519" s="350">
        <v>7738038.1904004561</v>
      </c>
      <c r="AN519" s="350">
        <v>1597893.3482282343</v>
      </c>
      <c r="AO519" s="350">
        <v>1614082.9692670114</v>
      </c>
      <c r="AP519" s="350">
        <v>1628970.9015249053</v>
      </c>
      <c r="AQ519" s="350">
        <v>1642513.7698031021</v>
      </c>
      <c r="AR519" s="348">
        <v>14221499.179223709</v>
      </c>
      <c r="AS519" s="369"/>
      <c r="AT519" s="350">
        <f t="shared" si="219"/>
        <v>1540579.5786792831</v>
      </c>
      <c r="AU519" s="350">
        <f t="shared" si="202"/>
        <v>1559611.8149760482</v>
      </c>
      <c r="AV519" s="350">
        <f t="shared" si="203"/>
        <v>1577429.7444599126</v>
      </c>
      <c r="AW519" s="350">
        <f t="shared" si="204"/>
        <v>1593989.8003654843</v>
      </c>
      <c r="AX519" s="350">
        <f t="shared" si="205"/>
        <v>1609248.5220841973</v>
      </c>
      <c r="AY519" s="350">
        <f t="shared" si="206"/>
        <v>7880859.4605649253</v>
      </c>
      <c r="AZ519" s="365"/>
      <c r="BA519" s="377">
        <f t="shared" si="207"/>
        <v>0</v>
      </c>
      <c r="BB519" s="377">
        <f t="shared" si="208"/>
        <v>0</v>
      </c>
      <c r="BC519" s="377">
        <f t="shared" si="209"/>
        <v>0</v>
      </c>
      <c r="BD519" s="377">
        <f t="shared" si="210"/>
        <v>0</v>
      </c>
      <c r="BE519" s="377">
        <f t="shared" si="211"/>
        <v>0</v>
      </c>
      <c r="BF519" s="377">
        <f t="shared" si="212"/>
        <v>0</v>
      </c>
      <c r="BG519" s="328"/>
    </row>
    <row r="520" spans="2:59">
      <c r="B520" s="332">
        <v>505</v>
      </c>
      <c r="C520" s="350">
        <v>5136323.2984492537</v>
      </c>
      <c r="D520" s="350">
        <v>31726.929288675037</v>
      </c>
      <c r="E520" s="350">
        <v>30377.421510156095</v>
      </c>
      <c r="F520" s="350">
        <v>28991.60061363436</v>
      </c>
      <c r="G520" s="350">
        <v>27569.537384911328</v>
      </c>
      <c r="H520" s="348">
        <v>5254988.7872466305</v>
      </c>
      <c r="I520" s="369"/>
      <c r="J520" s="350">
        <v>7036302.0995737147</v>
      </c>
      <c r="K520" s="350">
        <v>1955177.9651501714</v>
      </c>
      <c r="L520" s="350">
        <v>1975803.1016988843</v>
      </c>
      <c r="M520" s="350">
        <v>1994840.6043368708</v>
      </c>
      <c r="N520" s="350">
        <v>2012236.9443889842</v>
      </c>
      <c r="O520" s="348">
        <v>14974360.715148626</v>
      </c>
      <c r="P520" s="369"/>
      <c r="Q520" s="350">
        <f t="shared" si="213"/>
        <v>1899978.801124461</v>
      </c>
      <c r="R520" s="350">
        <f t="shared" si="214"/>
        <v>1923451.0358614963</v>
      </c>
      <c r="S520" s="350">
        <f t="shared" si="215"/>
        <v>1945425.6801887283</v>
      </c>
      <c r="T520" s="350">
        <f t="shared" si="216"/>
        <v>1965849.0037232365</v>
      </c>
      <c r="U520" s="350">
        <f t="shared" si="217"/>
        <v>1984667.4070040728</v>
      </c>
      <c r="V520" s="350">
        <f t="shared" si="218"/>
        <v>9719371.9279019944</v>
      </c>
      <c r="W520" s="365"/>
      <c r="X520" s="377">
        <f t="shared" si="196"/>
        <v>0</v>
      </c>
      <c r="Y520" s="377">
        <f t="shared" si="197"/>
        <v>0</v>
      </c>
      <c r="Z520" s="377">
        <f t="shared" si="198"/>
        <v>0</v>
      </c>
      <c r="AA520" s="377">
        <f t="shared" si="199"/>
        <v>0</v>
      </c>
      <c r="AB520" s="377">
        <f t="shared" si="200"/>
        <v>0</v>
      </c>
      <c r="AC520" s="377">
        <f t="shared" si="201"/>
        <v>0</v>
      </c>
      <c r="AD520" s="376"/>
      <c r="AE520" s="332">
        <v>505</v>
      </c>
      <c r="AF520" s="350">
        <v>6280249.9730090378</v>
      </c>
      <c r="AG520" s="350">
        <v>38792.933238649312</v>
      </c>
      <c r="AH520" s="350">
        <v>37142.872349340607</v>
      </c>
      <c r="AI520" s="350">
        <v>35448.410933601197</v>
      </c>
      <c r="AJ520" s="350">
        <v>33709.6355421681</v>
      </c>
      <c r="AK520" s="348">
        <v>6425343.825072797</v>
      </c>
      <c r="AL520" s="369"/>
      <c r="AM520" s="350">
        <v>9023888.4888378568</v>
      </c>
      <c r="AN520" s="350">
        <v>2816326.210019012</v>
      </c>
      <c r="AO520" s="350">
        <v>2846408.335042594</v>
      </c>
      <c r="AP520" s="350">
        <v>2874205.8958732812</v>
      </c>
      <c r="AQ520" s="350">
        <v>2899641.5794901075</v>
      </c>
      <c r="AR520" s="348">
        <v>20460470.509262849</v>
      </c>
      <c r="AS520" s="369"/>
      <c r="AT520" s="350">
        <f t="shared" si="219"/>
        <v>2743638.515828819</v>
      </c>
      <c r="AU520" s="350">
        <f t="shared" si="202"/>
        <v>2777533.2767803627</v>
      </c>
      <c r="AV520" s="350">
        <f t="shared" si="203"/>
        <v>2809265.4626932535</v>
      </c>
      <c r="AW520" s="350">
        <f t="shared" si="204"/>
        <v>2838757.48493968</v>
      </c>
      <c r="AX520" s="350">
        <f t="shared" si="205"/>
        <v>2865931.9439479392</v>
      </c>
      <c r="AY520" s="350">
        <f t="shared" si="206"/>
        <v>14035126.684190052</v>
      </c>
      <c r="AZ520" s="365"/>
      <c r="BA520" s="377">
        <f t="shared" si="207"/>
        <v>0</v>
      </c>
      <c r="BB520" s="377">
        <f t="shared" si="208"/>
        <v>0</v>
      </c>
      <c r="BC520" s="377">
        <f t="shared" si="209"/>
        <v>0</v>
      </c>
      <c r="BD520" s="377">
        <f t="shared" si="210"/>
        <v>0</v>
      </c>
      <c r="BE520" s="377">
        <f t="shared" si="211"/>
        <v>0</v>
      </c>
      <c r="BF520" s="377">
        <f t="shared" si="212"/>
        <v>0</v>
      </c>
      <c r="BG520" s="328"/>
    </row>
    <row r="521" spans="2:59">
      <c r="B521" s="332">
        <v>506</v>
      </c>
      <c r="C521" s="350">
        <v>5322543.0598708447</v>
      </c>
      <c r="D521" s="350">
        <v>32877.20368915068</v>
      </c>
      <c r="E521" s="350">
        <v>31478.768885998186</v>
      </c>
      <c r="F521" s="350">
        <v>30042.704416061792</v>
      </c>
      <c r="G521" s="350">
        <v>28569.083631518613</v>
      </c>
      <c r="H521" s="348">
        <v>5445510.8204935733</v>
      </c>
      <c r="I521" s="369"/>
      <c r="J521" s="350">
        <v>7478881.0898792353</v>
      </c>
      <c r="K521" s="350">
        <v>2215854.5164004853</v>
      </c>
      <c r="L521" s="350">
        <v>2239395.7078872025</v>
      </c>
      <c r="M521" s="350">
        <v>2261138.6332094446</v>
      </c>
      <c r="N521" s="350">
        <v>2281022.5342217223</v>
      </c>
      <c r="O521" s="348">
        <v>16476292.481598089</v>
      </c>
      <c r="P521" s="369"/>
      <c r="Q521" s="350">
        <f t="shared" si="213"/>
        <v>2156338.0300083905</v>
      </c>
      <c r="R521" s="350">
        <f t="shared" si="214"/>
        <v>2182977.3127113348</v>
      </c>
      <c r="S521" s="350">
        <f t="shared" si="215"/>
        <v>2207916.9390012044</v>
      </c>
      <c r="T521" s="350">
        <f t="shared" si="216"/>
        <v>2231095.9287933828</v>
      </c>
      <c r="U521" s="350">
        <f t="shared" si="217"/>
        <v>2252453.4505902035</v>
      </c>
      <c r="V521" s="350">
        <f t="shared" si="218"/>
        <v>11030781.661104515</v>
      </c>
      <c r="W521" s="365"/>
      <c r="X521" s="377">
        <f t="shared" si="196"/>
        <v>0</v>
      </c>
      <c r="Y521" s="377">
        <f t="shared" si="197"/>
        <v>0</v>
      </c>
      <c r="Z521" s="377">
        <f t="shared" si="198"/>
        <v>0</v>
      </c>
      <c r="AA521" s="377">
        <f t="shared" si="199"/>
        <v>0</v>
      </c>
      <c r="AB521" s="377">
        <f t="shared" si="200"/>
        <v>0</v>
      </c>
      <c r="AC521" s="377">
        <f t="shared" si="201"/>
        <v>0</v>
      </c>
      <c r="AD521" s="376"/>
      <c r="AE521" s="332">
        <v>506</v>
      </c>
      <c r="AF521" s="350">
        <v>5893859.8645077683</v>
      </c>
      <c r="AG521" s="350">
        <v>36406.212049589754</v>
      </c>
      <c r="AH521" s="350">
        <v>34857.670559795319</v>
      </c>
      <c r="AI521" s="350">
        <v>33267.460269902971</v>
      </c>
      <c r="AJ521" s="350">
        <v>31635.66240564275</v>
      </c>
      <c r="AK521" s="348">
        <v>6030026.8697926989</v>
      </c>
      <c r="AL521" s="369"/>
      <c r="AM521" s="350">
        <v>7752762.5269946307</v>
      </c>
      <c r="AN521" s="350">
        <v>1918273.6568915877</v>
      </c>
      <c r="AO521" s="350">
        <v>1938224.6841458855</v>
      </c>
      <c r="AP521" s="350">
        <v>1956616.2602173251</v>
      </c>
      <c r="AQ521" s="350">
        <v>1973396.0256514526</v>
      </c>
      <c r="AR521" s="348">
        <v>15539273.153900884</v>
      </c>
      <c r="AS521" s="369"/>
      <c r="AT521" s="350">
        <f t="shared" si="219"/>
        <v>1858902.6624868624</v>
      </c>
      <c r="AU521" s="350">
        <f t="shared" si="202"/>
        <v>1881867.4448419979</v>
      </c>
      <c r="AV521" s="350">
        <f t="shared" si="203"/>
        <v>1903367.0135860902</v>
      </c>
      <c r="AW521" s="350">
        <f t="shared" si="204"/>
        <v>1923348.799947422</v>
      </c>
      <c r="AX521" s="350">
        <f t="shared" si="205"/>
        <v>1941760.3632458099</v>
      </c>
      <c r="AY521" s="350">
        <f t="shared" si="206"/>
        <v>9509246.2841081843</v>
      </c>
      <c r="AZ521" s="365"/>
      <c r="BA521" s="377">
        <f t="shared" si="207"/>
        <v>0</v>
      </c>
      <c r="BB521" s="377">
        <f t="shared" si="208"/>
        <v>0</v>
      </c>
      <c r="BC521" s="377">
        <f t="shared" si="209"/>
        <v>0</v>
      </c>
      <c r="BD521" s="377">
        <f t="shared" si="210"/>
        <v>0</v>
      </c>
      <c r="BE521" s="377">
        <f t="shared" si="211"/>
        <v>0</v>
      </c>
      <c r="BF521" s="377">
        <f t="shared" si="212"/>
        <v>0</v>
      </c>
      <c r="BG521" s="328"/>
    </row>
    <row r="522" spans="2:59">
      <c r="B522" s="332">
        <v>507</v>
      </c>
      <c r="C522" s="350">
        <v>6394462.0725938017</v>
      </c>
      <c r="D522" s="350">
        <v>39498.41827081675</v>
      </c>
      <c r="E522" s="350">
        <v>37818.349512488683</v>
      </c>
      <c r="F522" s="350">
        <v>36093.072763477088</v>
      </c>
      <c r="G522" s="350">
        <v>34322.676148520492</v>
      </c>
      <c r="H522" s="348">
        <v>6542194.5892891055</v>
      </c>
      <c r="I522" s="369"/>
      <c r="J522" s="350">
        <v>7870443.8300707135</v>
      </c>
      <c r="K522" s="350">
        <v>1533714.3740759308</v>
      </c>
      <c r="L522" s="350">
        <v>1549105.113757594</v>
      </c>
      <c r="M522" s="350">
        <v>1563245.5155867534</v>
      </c>
      <c r="N522" s="350">
        <v>1576094.0294201258</v>
      </c>
      <c r="O522" s="348">
        <v>14092602.862911116</v>
      </c>
      <c r="P522" s="369"/>
      <c r="Q522" s="350">
        <f t="shared" si="213"/>
        <v>1475981.7574769119</v>
      </c>
      <c r="R522" s="350">
        <f t="shared" si="214"/>
        <v>1494215.955805114</v>
      </c>
      <c r="S522" s="350">
        <f t="shared" si="215"/>
        <v>1511286.7642451054</v>
      </c>
      <c r="T522" s="350">
        <f t="shared" si="216"/>
        <v>1527152.4428232764</v>
      </c>
      <c r="U522" s="350">
        <f t="shared" si="217"/>
        <v>1541771.3532716052</v>
      </c>
      <c r="V522" s="350">
        <f t="shared" si="218"/>
        <v>7550408.2736220108</v>
      </c>
      <c r="W522" s="365"/>
      <c r="X522" s="377">
        <f t="shared" si="196"/>
        <v>0</v>
      </c>
      <c r="Y522" s="377">
        <f t="shared" si="197"/>
        <v>0</v>
      </c>
      <c r="Z522" s="377">
        <f t="shared" si="198"/>
        <v>0</v>
      </c>
      <c r="AA522" s="377">
        <f t="shared" si="199"/>
        <v>0</v>
      </c>
      <c r="AB522" s="377">
        <f t="shared" si="200"/>
        <v>0</v>
      </c>
      <c r="AC522" s="377">
        <f t="shared" si="201"/>
        <v>0</v>
      </c>
      <c r="AD522" s="376"/>
      <c r="AE522" s="332">
        <v>507</v>
      </c>
      <c r="AF522" s="350">
        <v>6480576.6726472555</v>
      </c>
      <c r="AG522" s="350">
        <v>40030.345812731997</v>
      </c>
      <c r="AH522" s="350">
        <v>38327.651468771197</v>
      </c>
      <c r="AI522" s="350">
        <v>36579.140315437275</v>
      </c>
      <c r="AJ522" s="350">
        <v>34784.901664246587</v>
      </c>
      <c r="AK522" s="348">
        <v>6630298.7119084438</v>
      </c>
      <c r="AL522" s="369"/>
      <c r="AM522" s="350">
        <v>8236230.609534231</v>
      </c>
      <c r="AN522" s="350">
        <v>1817373.5359162288</v>
      </c>
      <c r="AO522" s="350">
        <v>1835976.263296955</v>
      </c>
      <c r="AP522" s="350">
        <v>1853099.6934234151</v>
      </c>
      <c r="AQ522" s="350">
        <v>1868694.3876310412</v>
      </c>
      <c r="AR522" s="348">
        <v>15611374.489801871</v>
      </c>
      <c r="AS522" s="369"/>
      <c r="AT522" s="350">
        <f t="shared" si="219"/>
        <v>1755653.9368869755</v>
      </c>
      <c r="AU522" s="350">
        <f t="shared" si="202"/>
        <v>1777343.1901034969</v>
      </c>
      <c r="AV522" s="350">
        <f t="shared" si="203"/>
        <v>1797648.6118281838</v>
      </c>
      <c r="AW522" s="350">
        <f t="shared" si="204"/>
        <v>1816520.5531079778</v>
      </c>
      <c r="AX522" s="350">
        <f t="shared" si="205"/>
        <v>1833909.4859667947</v>
      </c>
      <c r="AY522" s="350">
        <f t="shared" si="206"/>
        <v>8981075.7778934278</v>
      </c>
      <c r="AZ522" s="365"/>
      <c r="BA522" s="377">
        <f t="shared" si="207"/>
        <v>0</v>
      </c>
      <c r="BB522" s="377">
        <f t="shared" si="208"/>
        <v>0</v>
      </c>
      <c r="BC522" s="377">
        <f t="shared" si="209"/>
        <v>0</v>
      </c>
      <c r="BD522" s="377">
        <f t="shared" si="210"/>
        <v>0</v>
      </c>
      <c r="BE522" s="377">
        <f t="shared" si="211"/>
        <v>0</v>
      </c>
      <c r="BF522" s="377">
        <f t="shared" si="212"/>
        <v>0</v>
      </c>
      <c r="BG522" s="328"/>
    </row>
    <row r="523" spans="2:59">
      <c r="B523" s="332">
        <v>508</v>
      </c>
      <c r="C523" s="350">
        <v>5704477.6122923419</v>
      </c>
      <c r="D523" s="350">
        <v>35236.403029510715</v>
      </c>
      <c r="E523" s="350">
        <v>33737.619471145132</v>
      </c>
      <c r="F523" s="350">
        <v>32198.506019846514</v>
      </c>
      <c r="G523" s="350">
        <v>30619.141291391948</v>
      </c>
      <c r="H523" s="348">
        <v>5836269.2821042361</v>
      </c>
      <c r="I523" s="369"/>
      <c r="J523" s="350">
        <v>7034664.1668939516</v>
      </c>
      <c r="K523" s="350">
        <v>1381856.0099552721</v>
      </c>
      <c r="L523" s="350">
        <v>1395741.806692719</v>
      </c>
      <c r="M523" s="350">
        <v>1408501.184545533</v>
      </c>
      <c r="N523" s="350">
        <v>1420096.6968254049</v>
      </c>
      <c r="O523" s="348">
        <v>12640859.864912882</v>
      </c>
      <c r="P523" s="369"/>
      <c r="Q523" s="350">
        <f t="shared" si="213"/>
        <v>1330186.5546016097</v>
      </c>
      <c r="R523" s="350">
        <f t="shared" si="214"/>
        <v>1346619.6069257613</v>
      </c>
      <c r="S523" s="350">
        <f t="shared" si="215"/>
        <v>1362004.1872215739</v>
      </c>
      <c r="T523" s="350">
        <f t="shared" si="216"/>
        <v>1376302.6785256865</v>
      </c>
      <c r="U523" s="350">
        <f t="shared" si="217"/>
        <v>1389477.5555340128</v>
      </c>
      <c r="V523" s="350">
        <f t="shared" si="218"/>
        <v>6804590.5828086464</v>
      </c>
      <c r="W523" s="365"/>
      <c r="X523" s="377">
        <f t="shared" si="196"/>
        <v>0</v>
      </c>
      <c r="Y523" s="377">
        <f t="shared" si="197"/>
        <v>0</v>
      </c>
      <c r="Z523" s="377">
        <f t="shared" si="198"/>
        <v>0</v>
      </c>
      <c r="AA523" s="377">
        <f t="shared" si="199"/>
        <v>0</v>
      </c>
      <c r="AB523" s="377">
        <f t="shared" si="200"/>
        <v>0</v>
      </c>
      <c r="AC523" s="377">
        <f t="shared" si="201"/>
        <v>0</v>
      </c>
      <c r="AD523" s="376"/>
      <c r="AE523" s="332">
        <v>508</v>
      </c>
      <c r="AF523" s="350">
        <v>5742954.0448514214</v>
      </c>
      <c r="AG523" s="350">
        <v>35474.070906735426</v>
      </c>
      <c r="AH523" s="350">
        <v>33965.178123928468</v>
      </c>
      <c r="AI523" s="350">
        <v>32415.683424961742</v>
      </c>
      <c r="AJ523" s="350">
        <v>30825.665955873119</v>
      </c>
      <c r="AK523" s="348">
        <v>5875634.64326292</v>
      </c>
      <c r="AL523" s="369"/>
      <c r="AM523" s="350">
        <v>7691496.2627425492</v>
      </c>
      <c r="AN523" s="350">
        <v>2008088.4733434459</v>
      </c>
      <c r="AO523" s="350">
        <v>2029115.8963181712</v>
      </c>
      <c r="AP523" s="350">
        <v>2048511.7448583399</v>
      </c>
      <c r="AQ523" s="350">
        <v>2066221.1286479998</v>
      </c>
      <c r="AR523" s="348">
        <v>15843433.505910506</v>
      </c>
      <c r="AS523" s="369"/>
      <c r="AT523" s="350">
        <f t="shared" si="219"/>
        <v>1948542.2178911278</v>
      </c>
      <c r="AU523" s="350">
        <f t="shared" si="202"/>
        <v>1972614.4024367104</v>
      </c>
      <c r="AV523" s="350">
        <f t="shared" si="203"/>
        <v>1995150.7181942428</v>
      </c>
      <c r="AW523" s="350">
        <f t="shared" si="204"/>
        <v>2016096.0614333781</v>
      </c>
      <c r="AX523" s="350">
        <f t="shared" si="205"/>
        <v>2035395.4626921266</v>
      </c>
      <c r="AY523" s="350">
        <f t="shared" si="206"/>
        <v>9967798.8626475856</v>
      </c>
      <c r="AZ523" s="365"/>
      <c r="BA523" s="377">
        <f t="shared" si="207"/>
        <v>0</v>
      </c>
      <c r="BB523" s="377">
        <f t="shared" si="208"/>
        <v>0</v>
      </c>
      <c r="BC523" s="377">
        <f t="shared" si="209"/>
        <v>0</v>
      </c>
      <c r="BD523" s="377">
        <f t="shared" si="210"/>
        <v>0</v>
      </c>
      <c r="BE523" s="377">
        <f t="shared" si="211"/>
        <v>0</v>
      </c>
      <c r="BF523" s="377">
        <f t="shared" si="212"/>
        <v>0</v>
      </c>
      <c r="BG523" s="328"/>
    </row>
    <row r="524" spans="2:59">
      <c r="B524" s="332">
        <v>509</v>
      </c>
      <c r="C524" s="350">
        <v>7206949.2496690918</v>
      </c>
      <c r="D524" s="350">
        <v>44517.129461136537</v>
      </c>
      <c r="E524" s="350">
        <v>42623.589372888673</v>
      </c>
      <c r="F524" s="350">
        <v>40679.097118403901</v>
      </c>
      <c r="G524" s="350">
        <v>38683.75201964139</v>
      </c>
      <c r="H524" s="348">
        <v>7373452.8176411623</v>
      </c>
      <c r="I524" s="369"/>
      <c r="J524" s="350">
        <v>10050202.160606187</v>
      </c>
      <c r="K524" s="350">
        <v>2922895.4321672223</v>
      </c>
      <c r="L524" s="350">
        <v>2953886.1913212789</v>
      </c>
      <c r="M524" s="350">
        <v>2982504.5001128539</v>
      </c>
      <c r="N524" s="350">
        <v>3008670.2481145868</v>
      </c>
      <c r="O524" s="348">
        <v>21918158.532322127</v>
      </c>
      <c r="P524" s="369"/>
      <c r="Q524" s="350">
        <f t="shared" si="213"/>
        <v>2843252.9109370951</v>
      </c>
      <c r="R524" s="350">
        <f t="shared" si="214"/>
        <v>2878378.3027060856</v>
      </c>
      <c r="S524" s="350">
        <f t="shared" si="215"/>
        <v>2911262.6019483902</v>
      </c>
      <c r="T524" s="350">
        <f t="shared" si="216"/>
        <v>2941825.4029944502</v>
      </c>
      <c r="U524" s="350">
        <f t="shared" si="217"/>
        <v>2969986.4960949454</v>
      </c>
      <c r="V524" s="350">
        <f t="shared" si="218"/>
        <v>14544705.714680966</v>
      </c>
      <c r="W524" s="365"/>
      <c r="X524" s="377">
        <f t="shared" si="196"/>
        <v>0</v>
      </c>
      <c r="Y524" s="377">
        <f t="shared" si="197"/>
        <v>0</v>
      </c>
      <c r="Z524" s="377">
        <f t="shared" si="198"/>
        <v>0</v>
      </c>
      <c r="AA524" s="377">
        <f t="shared" si="199"/>
        <v>0</v>
      </c>
      <c r="AB524" s="377">
        <f t="shared" si="200"/>
        <v>0</v>
      </c>
      <c r="AC524" s="377">
        <f t="shared" si="201"/>
        <v>0</v>
      </c>
      <c r="AD524" s="376"/>
      <c r="AE524" s="332">
        <v>509</v>
      </c>
      <c r="AF524" s="350">
        <v>6020754.8373652408</v>
      </c>
      <c r="AG524" s="350">
        <v>37190.038844946568</v>
      </c>
      <c r="AH524" s="350">
        <v>35608.157212218168</v>
      </c>
      <c r="AI524" s="350">
        <v>33983.709648922362</v>
      </c>
      <c r="AJ524" s="350">
        <v>32316.779129586976</v>
      </c>
      <c r="AK524" s="348">
        <v>6159853.522200915</v>
      </c>
      <c r="AL524" s="369"/>
      <c r="AM524" s="350">
        <v>8627112.0066728257</v>
      </c>
      <c r="AN524" s="350">
        <v>2675746.0028182101</v>
      </c>
      <c r="AO524" s="350">
        <v>2704308.5479292795</v>
      </c>
      <c r="AP524" s="350">
        <v>2730700.4528030436</v>
      </c>
      <c r="AQ524" s="350">
        <v>2754848.2736256262</v>
      </c>
      <c r="AR524" s="348">
        <v>19492715.283848986</v>
      </c>
      <c r="AS524" s="369"/>
      <c r="AT524" s="350">
        <f t="shared" si="219"/>
        <v>2606357.1693075849</v>
      </c>
      <c r="AU524" s="350">
        <f t="shared" si="202"/>
        <v>2638555.9639732633</v>
      </c>
      <c r="AV524" s="350">
        <f t="shared" si="203"/>
        <v>2668700.3907170612</v>
      </c>
      <c r="AW524" s="350">
        <f t="shared" si="204"/>
        <v>2696716.7431541211</v>
      </c>
      <c r="AX524" s="350">
        <f t="shared" si="205"/>
        <v>2722531.4944960391</v>
      </c>
      <c r="AY524" s="350">
        <f t="shared" si="206"/>
        <v>13332861.76164807</v>
      </c>
      <c r="AZ524" s="365"/>
      <c r="BA524" s="377">
        <f t="shared" si="207"/>
        <v>0</v>
      </c>
      <c r="BB524" s="377">
        <f t="shared" si="208"/>
        <v>0</v>
      </c>
      <c r="BC524" s="377">
        <f t="shared" si="209"/>
        <v>0</v>
      </c>
      <c r="BD524" s="377">
        <f t="shared" si="210"/>
        <v>0</v>
      </c>
      <c r="BE524" s="377">
        <f t="shared" si="211"/>
        <v>0</v>
      </c>
      <c r="BF524" s="377">
        <f t="shared" si="212"/>
        <v>0</v>
      </c>
      <c r="BG524" s="328"/>
    </row>
    <row r="525" spans="2:59">
      <c r="B525" s="332">
        <v>510</v>
      </c>
      <c r="C525" s="350">
        <v>7708221.4138450613</v>
      </c>
      <c r="D525" s="350">
        <v>47613.473982907439</v>
      </c>
      <c r="E525" s="350">
        <v>45588.230603138938</v>
      </c>
      <c r="F525" s="350">
        <v>43508.491130052658</v>
      </c>
      <c r="G525" s="350">
        <v>41374.361793841657</v>
      </c>
      <c r="H525" s="348">
        <v>7886305.9713550024</v>
      </c>
      <c r="I525" s="369"/>
      <c r="J525" s="350">
        <v>9213513.9372350499</v>
      </c>
      <c r="K525" s="350">
        <v>1571502.2993084788</v>
      </c>
      <c r="L525" s="350">
        <v>1586886.8648120293</v>
      </c>
      <c r="M525" s="350">
        <v>1600987.872303633</v>
      </c>
      <c r="N525" s="350">
        <v>1613762.9628724104</v>
      </c>
      <c r="O525" s="348">
        <v>15586653.936531601</v>
      </c>
      <c r="P525" s="369"/>
      <c r="Q525" s="350">
        <f t="shared" si="213"/>
        <v>1505292.5233899886</v>
      </c>
      <c r="R525" s="350">
        <f t="shared" si="214"/>
        <v>1523888.8253255715</v>
      </c>
      <c r="S525" s="350">
        <f t="shared" si="215"/>
        <v>1541298.6342088904</v>
      </c>
      <c r="T525" s="350">
        <f t="shared" si="216"/>
        <v>1557479.3811735804</v>
      </c>
      <c r="U525" s="350">
        <f t="shared" si="217"/>
        <v>1572388.6010785687</v>
      </c>
      <c r="V525" s="350">
        <f t="shared" si="218"/>
        <v>7700347.9651765991</v>
      </c>
      <c r="W525" s="365"/>
      <c r="X525" s="377">
        <f t="shared" si="196"/>
        <v>0</v>
      </c>
      <c r="Y525" s="377">
        <f t="shared" si="197"/>
        <v>0</v>
      </c>
      <c r="Z525" s="377">
        <f t="shared" si="198"/>
        <v>0</v>
      </c>
      <c r="AA525" s="377">
        <f t="shared" si="199"/>
        <v>0</v>
      </c>
      <c r="AB525" s="377">
        <f t="shared" si="200"/>
        <v>0</v>
      </c>
      <c r="AC525" s="377">
        <f t="shared" si="201"/>
        <v>0</v>
      </c>
      <c r="AD525" s="376"/>
      <c r="AE525" s="332">
        <v>510</v>
      </c>
      <c r="AF525" s="350">
        <v>8138715.1297193477</v>
      </c>
      <c r="AG525" s="350">
        <v>50272.621954935952</v>
      </c>
      <c r="AH525" s="350">
        <v>48134.271478047362</v>
      </c>
      <c r="AI525" s="350">
        <v>45938.381374903074</v>
      </c>
      <c r="AJ525" s="350">
        <v>43685.063808522442</v>
      </c>
      <c r="AK525" s="348">
        <v>8326745.4683357561</v>
      </c>
      <c r="AL525" s="369"/>
      <c r="AM525" s="350">
        <v>10016297.176432237</v>
      </c>
      <c r="AN525" s="350">
        <v>1951050.2151193998</v>
      </c>
      <c r="AO525" s="350">
        <v>1970627.4741257827</v>
      </c>
      <c r="AP525" s="350">
        <v>1988614.159522902</v>
      </c>
      <c r="AQ525" s="350">
        <v>2004957.4158377685</v>
      </c>
      <c r="AR525" s="348">
        <v>17931546.441038087</v>
      </c>
      <c r="AS525" s="369"/>
      <c r="AT525" s="350">
        <f t="shared" si="219"/>
        <v>1877582.0467128893</v>
      </c>
      <c r="AU525" s="350">
        <f t="shared" si="202"/>
        <v>1900777.593164464</v>
      </c>
      <c r="AV525" s="350">
        <f t="shared" si="203"/>
        <v>1922493.2026477354</v>
      </c>
      <c r="AW525" s="350">
        <f t="shared" si="204"/>
        <v>1942675.778147999</v>
      </c>
      <c r="AX525" s="350">
        <f t="shared" si="205"/>
        <v>1961272.352029246</v>
      </c>
      <c r="AY525" s="350">
        <f t="shared" si="206"/>
        <v>9604800.9727023318</v>
      </c>
      <c r="AZ525" s="365"/>
      <c r="BA525" s="377">
        <f t="shared" si="207"/>
        <v>0</v>
      </c>
      <c r="BB525" s="377">
        <f t="shared" si="208"/>
        <v>0</v>
      </c>
      <c r="BC525" s="377">
        <f t="shared" si="209"/>
        <v>0</v>
      </c>
      <c r="BD525" s="377">
        <f t="shared" si="210"/>
        <v>0</v>
      </c>
      <c r="BE525" s="377">
        <f t="shared" si="211"/>
        <v>0</v>
      </c>
      <c r="BF525" s="377">
        <f t="shared" si="212"/>
        <v>0</v>
      </c>
      <c r="BG525" s="328"/>
    </row>
    <row r="526" spans="2:59">
      <c r="B526" s="332">
        <v>511</v>
      </c>
      <c r="C526" s="350">
        <v>5680153.2578759613</v>
      </c>
      <c r="D526" s="350">
        <v>35086.152153988529</v>
      </c>
      <c r="E526" s="350">
        <v>33593.759530066491</v>
      </c>
      <c r="F526" s="350">
        <v>32061.208983144403</v>
      </c>
      <c r="G526" s="350">
        <v>30488.578793768331</v>
      </c>
      <c r="H526" s="348">
        <v>5811382.9573369296</v>
      </c>
      <c r="I526" s="369"/>
      <c r="J526" s="350">
        <v>7872373.7974035703</v>
      </c>
      <c r="K526" s="350">
        <v>2254389.2649548845</v>
      </c>
      <c r="L526" s="350">
        <v>2278251.5060850144</v>
      </c>
      <c r="M526" s="350">
        <v>2300283.6549501419</v>
      </c>
      <c r="N526" s="350">
        <v>2320423.9460675451</v>
      </c>
      <c r="O526" s="348">
        <v>17025722.169461153</v>
      </c>
      <c r="P526" s="369"/>
      <c r="Q526" s="350">
        <f t="shared" si="213"/>
        <v>2192220.539527609</v>
      </c>
      <c r="R526" s="350">
        <f t="shared" si="214"/>
        <v>2219303.1128008962</v>
      </c>
      <c r="S526" s="350">
        <f t="shared" si="215"/>
        <v>2244657.7465549479</v>
      </c>
      <c r="T526" s="350">
        <f t="shared" si="216"/>
        <v>2268222.4459669976</v>
      </c>
      <c r="U526" s="350">
        <f t="shared" si="217"/>
        <v>2289935.3672737768</v>
      </c>
      <c r="V526" s="350">
        <f t="shared" si="218"/>
        <v>11214339.212124225</v>
      </c>
      <c r="W526" s="365"/>
      <c r="X526" s="377">
        <f t="shared" si="196"/>
        <v>0</v>
      </c>
      <c r="Y526" s="377">
        <f t="shared" si="197"/>
        <v>0</v>
      </c>
      <c r="Z526" s="377">
        <f t="shared" si="198"/>
        <v>0</v>
      </c>
      <c r="AA526" s="377">
        <f t="shared" si="199"/>
        <v>0</v>
      </c>
      <c r="AB526" s="377">
        <f t="shared" si="200"/>
        <v>0</v>
      </c>
      <c r="AC526" s="377">
        <f t="shared" si="201"/>
        <v>0</v>
      </c>
      <c r="AD526" s="376"/>
      <c r="AE526" s="332">
        <v>511</v>
      </c>
      <c r="AF526" s="350">
        <v>6806468.4779829262</v>
      </c>
      <c r="AG526" s="350">
        <v>42043.370628899211</v>
      </c>
      <c r="AH526" s="350">
        <v>40255.052094113365</v>
      </c>
      <c r="AI526" s="350">
        <v>38418.61273852153</v>
      </c>
      <c r="AJ526" s="350">
        <v>36534.146364897628</v>
      </c>
      <c r="AK526" s="348">
        <v>6963719.6598093575</v>
      </c>
      <c r="AL526" s="369"/>
      <c r="AM526" s="350">
        <v>8882746.9770920724</v>
      </c>
      <c r="AN526" s="350">
        <v>2143972.1013520556</v>
      </c>
      <c r="AO526" s="350">
        <v>2166197.4620831646</v>
      </c>
      <c r="AP526" s="350">
        <v>2186679.4336013948</v>
      </c>
      <c r="AQ526" s="350">
        <v>2205359.5367358346</v>
      </c>
      <c r="AR526" s="348">
        <v>17584955.510864519</v>
      </c>
      <c r="AS526" s="369"/>
      <c r="AT526" s="350">
        <f t="shared" si="219"/>
        <v>2076278.4991091462</v>
      </c>
      <c r="AU526" s="350">
        <f t="shared" si="202"/>
        <v>2101928.7307231561</v>
      </c>
      <c r="AV526" s="350">
        <f t="shared" si="203"/>
        <v>2125942.4099890511</v>
      </c>
      <c r="AW526" s="350">
        <f t="shared" si="204"/>
        <v>2148260.8208628735</v>
      </c>
      <c r="AX526" s="350">
        <f t="shared" si="205"/>
        <v>2168825.3903709371</v>
      </c>
      <c r="AY526" s="350">
        <f t="shared" si="206"/>
        <v>10621235.85105516</v>
      </c>
      <c r="AZ526" s="365"/>
      <c r="BA526" s="377">
        <f t="shared" si="207"/>
        <v>0</v>
      </c>
      <c r="BB526" s="377">
        <f t="shared" si="208"/>
        <v>0</v>
      </c>
      <c r="BC526" s="377">
        <f t="shared" si="209"/>
        <v>0</v>
      </c>
      <c r="BD526" s="377">
        <f t="shared" si="210"/>
        <v>0</v>
      </c>
      <c r="BE526" s="377">
        <f t="shared" si="211"/>
        <v>0</v>
      </c>
      <c r="BF526" s="377">
        <f t="shared" si="212"/>
        <v>0</v>
      </c>
      <c r="BG526" s="328"/>
    </row>
    <row r="527" spans="2:59">
      <c r="B527" s="332">
        <v>512</v>
      </c>
      <c r="C527" s="350">
        <v>6210077.2013288457</v>
      </c>
      <c r="D527" s="350">
        <v>38359.47793692258</v>
      </c>
      <c r="E527" s="350">
        <v>36727.854107692146</v>
      </c>
      <c r="F527" s="350">
        <v>35052.325864127815</v>
      </c>
      <c r="G527" s="350">
        <v>33332.978789891677</v>
      </c>
      <c r="H527" s="348">
        <v>6353549.8380274801</v>
      </c>
      <c r="I527" s="369"/>
      <c r="J527" s="350">
        <v>7375345.6078550592</v>
      </c>
      <c r="K527" s="350">
        <v>1218023.5469586577</v>
      </c>
      <c r="L527" s="350">
        <v>1229869.1044348306</v>
      </c>
      <c r="M527" s="350">
        <v>1240719.3231400934</v>
      </c>
      <c r="N527" s="350">
        <v>1250541.4157868992</v>
      </c>
      <c r="O527" s="348">
        <v>12314498.998175541</v>
      </c>
      <c r="P527" s="369"/>
      <c r="Q527" s="350">
        <f t="shared" si="213"/>
        <v>1165268.4065262135</v>
      </c>
      <c r="R527" s="350">
        <f t="shared" si="214"/>
        <v>1179664.0690217351</v>
      </c>
      <c r="S527" s="350">
        <f t="shared" si="215"/>
        <v>1193141.2503271385</v>
      </c>
      <c r="T527" s="350">
        <f t="shared" si="216"/>
        <v>1205666.9972759655</v>
      </c>
      <c r="U527" s="350">
        <f t="shared" si="217"/>
        <v>1217208.4369970076</v>
      </c>
      <c r="V527" s="350">
        <f t="shared" si="218"/>
        <v>5960949.1601480609</v>
      </c>
      <c r="W527" s="365"/>
      <c r="X527" s="377">
        <f t="shared" si="196"/>
        <v>0</v>
      </c>
      <c r="Y527" s="377">
        <f t="shared" si="197"/>
        <v>0</v>
      </c>
      <c r="Z527" s="377">
        <f t="shared" si="198"/>
        <v>0</v>
      </c>
      <c r="AA527" s="377">
        <f t="shared" si="199"/>
        <v>0</v>
      </c>
      <c r="AB527" s="377">
        <f t="shared" si="200"/>
        <v>0</v>
      </c>
      <c r="AC527" s="377">
        <f t="shared" si="201"/>
        <v>0</v>
      </c>
      <c r="AD527" s="376"/>
      <c r="AE527" s="332">
        <v>512</v>
      </c>
      <c r="AF527" s="350">
        <v>4793092.3624031683</v>
      </c>
      <c r="AG527" s="350">
        <v>29606.801133792869</v>
      </c>
      <c r="AH527" s="350">
        <v>28347.473196204588</v>
      </c>
      <c r="AI527" s="350">
        <v>27054.258737374264</v>
      </c>
      <c r="AJ527" s="350">
        <v>25727.223812899887</v>
      </c>
      <c r="AK527" s="348">
        <v>4903828.1192834396</v>
      </c>
      <c r="AL527" s="369"/>
      <c r="AM527" s="350">
        <v>6232588.9485544963</v>
      </c>
      <c r="AN527" s="350">
        <v>1486886.8497918136</v>
      </c>
      <c r="AO527" s="350">
        <v>1502276.3526055047</v>
      </c>
      <c r="AP527" s="350">
        <v>1516456.628950038</v>
      </c>
      <c r="AQ527" s="350">
        <v>1529387.1358800093</v>
      </c>
      <c r="AR527" s="348">
        <v>12267595.915781859</v>
      </c>
      <c r="AS527" s="369"/>
      <c r="AT527" s="350">
        <f t="shared" si="219"/>
        <v>1439496.5861513279</v>
      </c>
      <c r="AU527" s="350">
        <f t="shared" si="202"/>
        <v>1457280.0486580208</v>
      </c>
      <c r="AV527" s="350">
        <f t="shared" si="203"/>
        <v>1473928.8794093002</v>
      </c>
      <c r="AW527" s="350">
        <f t="shared" si="204"/>
        <v>1489402.3702126637</v>
      </c>
      <c r="AX527" s="350">
        <f t="shared" si="205"/>
        <v>1503659.9120671095</v>
      </c>
      <c r="AY527" s="350">
        <f t="shared" si="206"/>
        <v>7363767.7964984197</v>
      </c>
      <c r="AZ527" s="365"/>
      <c r="BA527" s="377">
        <f t="shared" si="207"/>
        <v>0</v>
      </c>
      <c r="BB527" s="377">
        <f t="shared" si="208"/>
        <v>0</v>
      </c>
      <c r="BC527" s="377">
        <f t="shared" si="209"/>
        <v>0</v>
      </c>
      <c r="BD527" s="377">
        <f t="shared" si="210"/>
        <v>0</v>
      </c>
      <c r="BE527" s="377">
        <f t="shared" si="211"/>
        <v>0</v>
      </c>
      <c r="BF527" s="377">
        <f t="shared" si="212"/>
        <v>0</v>
      </c>
      <c r="BG527" s="328"/>
    </row>
    <row r="528" spans="2:59">
      <c r="B528" s="332">
        <v>513</v>
      </c>
      <c r="C528" s="350">
        <v>6608158.5486456202</v>
      </c>
      <c r="D528" s="350">
        <v>40818.415590102908</v>
      </c>
      <c r="E528" s="350">
        <v>39082.200627588798</v>
      </c>
      <c r="F528" s="350">
        <v>37299.266868918086</v>
      </c>
      <c r="G528" s="350">
        <v>35469.705383872613</v>
      </c>
      <c r="H528" s="348">
        <v>6760828.1371161025</v>
      </c>
      <c r="I528" s="369"/>
      <c r="J528" s="350">
        <v>8846310.9139594827</v>
      </c>
      <c r="K528" s="350">
        <v>2306620.7934540054</v>
      </c>
      <c r="L528" s="350">
        <v>2330770.4474016177</v>
      </c>
      <c r="M528" s="350">
        <v>2353045.9451629571</v>
      </c>
      <c r="N528" s="350">
        <v>2373384.2382821385</v>
      </c>
      <c r="O528" s="348">
        <v>18210132.3382602</v>
      </c>
      <c r="P528" s="369"/>
      <c r="Q528" s="350">
        <f t="shared" si="213"/>
        <v>2238152.3653138625</v>
      </c>
      <c r="R528" s="350">
        <f t="shared" si="214"/>
        <v>2265802.3778639026</v>
      </c>
      <c r="S528" s="350">
        <f t="shared" si="215"/>
        <v>2291688.246774029</v>
      </c>
      <c r="T528" s="350">
        <f t="shared" si="216"/>
        <v>2315746.6782940389</v>
      </c>
      <c r="U528" s="350">
        <f t="shared" si="217"/>
        <v>2337914.5328982659</v>
      </c>
      <c r="V528" s="350">
        <f t="shared" si="218"/>
        <v>11449304.201144097</v>
      </c>
      <c r="W528" s="365"/>
      <c r="X528" s="377">
        <f t="shared" ref="X528:X591" si="220">IF(Q528&lt;Q$8,1,0)</f>
        <v>0</v>
      </c>
      <c r="Y528" s="377">
        <f t="shared" ref="Y528:Y591" si="221">IF(R528&lt;R$8,1,0)</f>
        <v>0</v>
      </c>
      <c r="Z528" s="377">
        <f t="shared" ref="Z528:Z591" si="222">IF(S528&lt;S$8,1,0)</f>
        <v>0</v>
      </c>
      <c r="AA528" s="377">
        <f t="shared" ref="AA528:AA591" si="223">IF(T528&lt;T$8,1,0)</f>
        <v>0</v>
      </c>
      <c r="AB528" s="377">
        <f t="shared" ref="AB528:AB591" si="224">IF(U528&lt;U$8,1,0)</f>
        <v>0</v>
      </c>
      <c r="AC528" s="377">
        <f t="shared" ref="AC528:AC591" si="225">IF(V528&lt;V$8,1,0)</f>
        <v>0</v>
      </c>
      <c r="AD528" s="376"/>
      <c r="AE528" s="332">
        <v>513</v>
      </c>
      <c r="AF528" s="350">
        <v>6021678.3969671763</v>
      </c>
      <c r="AG528" s="350">
        <v>37195.743647483374</v>
      </c>
      <c r="AH528" s="350">
        <v>35613.61936046854</v>
      </c>
      <c r="AI528" s="350">
        <v>33988.92261344337</v>
      </c>
      <c r="AJ528" s="350">
        <v>32321.736393662813</v>
      </c>
      <c r="AK528" s="348">
        <v>6160798.4189822348</v>
      </c>
      <c r="AL528" s="369"/>
      <c r="AM528" s="350">
        <v>7792922.3453625254</v>
      </c>
      <c r="AN528" s="350">
        <v>1830321.5434133236</v>
      </c>
      <c r="AO528" s="350">
        <v>1849225.1507353766</v>
      </c>
      <c r="AP528" s="350">
        <v>1866639.9760057563</v>
      </c>
      <c r="AQ528" s="350">
        <v>1882516.1344327291</v>
      </c>
      <c r="AR528" s="348">
        <v>15221625.149949711</v>
      </c>
      <c r="AS528" s="369"/>
      <c r="AT528" s="350">
        <f t="shared" si="219"/>
        <v>1771243.9483953491</v>
      </c>
      <c r="AU528" s="350">
        <f t="shared" ref="AU528:AU591" si="226">AN528-AG528</f>
        <v>1793125.7997658402</v>
      </c>
      <c r="AV528" s="350">
        <f t="shared" ref="AV528:AV591" si="227">AO528-AH528</f>
        <v>1813611.5313749081</v>
      </c>
      <c r="AW528" s="350">
        <f t="shared" ref="AW528:AW591" si="228">AP528-AI528</f>
        <v>1832651.053392313</v>
      </c>
      <c r="AX528" s="350">
        <f t="shared" ref="AX528:AX591" si="229">AQ528-AJ528</f>
        <v>1850194.3980390662</v>
      </c>
      <c r="AY528" s="350">
        <f t="shared" ref="AY528:AY591" si="230">AR528-AK528</f>
        <v>9060826.730967477</v>
      </c>
      <c r="AZ528" s="365"/>
      <c r="BA528" s="377">
        <f t="shared" ref="BA528:BA591" si="231">IF(AT528&lt;AT$8,1,0)</f>
        <v>0</v>
      </c>
      <c r="BB528" s="377">
        <f t="shared" ref="BB528:BB591" si="232">IF(AU528&lt;AU$8,1,0)</f>
        <v>0</v>
      </c>
      <c r="BC528" s="377">
        <f t="shared" ref="BC528:BC591" si="233">IF(AV528&lt;AV$8,1,0)</f>
        <v>0</v>
      </c>
      <c r="BD528" s="377">
        <f t="shared" ref="BD528:BD591" si="234">IF(AW528&lt;AW$8,1,0)</f>
        <v>0</v>
      </c>
      <c r="BE528" s="377">
        <f t="shared" ref="BE528:BE591" si="235">IF(AX528&lt;AX$8,1,0)</f>
        <v>0</v>
      </c>
      <c r="BF528" s="377">
        <f t="shared" ref="BF528:BF591" si="236">IF(AY528&lt;AY$8,1,0)</f>
        <v>0</v>
      </c>
      <c r="BG528" s="328"/>
    </row>
    <row r="529" spans="2:59">
      <c r="B529" s="332">
        <v>514</v>
      </c>
      <c r="C529" s="350">
        <v>5530455.5155778164</v>
      </c>
      <c r="D529" s="350">
        <v>34161.473272110459</v>
      </c>
      <c r="E529" s="350">
        <v>32708.411947238903</v>
      </c>
      <c r="F529" s="350">
        <v>31216.25104235762</v>
      </c>
      <c r="G529" s="350">
        <v>29685.066774972951</v>
      </c>
      <c r="H529" s="348">
        <v>5658226.7186144963</v>
      </c>
      <c r="I529" s="369"/>
      <c r="J529" s="350">
        <v>7311705.4976201886</v>
      </c>
      <c r="K529" s="350">
        <v>1837416.9206802512</v>
      </c>
      <c r="L529" s="350">
        <v>1856565.318061186</v>
      </c>
      <c r="M529" s="350">
        <v>1874220.2364066383</v>
      </c>
      <c r="N529" s="350">
        <v>1890331.5018793372</v>
      </c>
      <c r="O529" s="348">
        <v>14770239.474647604</v>
      </c>
      <c r="P529" s="369"/>
      <c r="Q529" s="350">
        <f t="shared" ref="Q529:Q592" si="237">J529-C529</f>
        <v>1781249.9820423722</v>
      </c>
      <c r="R529" s="350">
        <f t="shared" ref="R529:R592" si="238">K529-D529</f>
        <v>1803255.4474081406</v>
      </c>
      <c r="S529" s="350">
        <f t="shared" ref="S529:S592" si="239">L529-E529</f>
        <v>1823856.906113947</v>
      </c>
      <c r="T529" s="350">
        <f t="shared" ref="T529:T592" si="240">M529-F529</f>
        <v>1843003.9853642806</v>
      </c>
      <c r="U529" s="350">
        <f t="shared" ref="U529:U592" si="241">N529-G529</f>
        <v>1860646.4351043643</v>
      </c>
      <c r="V529" s="350">
        <f t="shared" ref="V529:V592" si="242">O529-H529</f>
        <v>9112012.7560331076</v>
      </c>
      <c r="W529" s="365"/>
      <c r="X529" s="377">
        <f t="shared" si="220"/>
        <v>0</v>
      </c>
      <c r="Y529" s="377">
        <f t="shared" si="221"/>
        <v>0</v>
      </c>
      <c r="Z529" s="377">
        <f t="shared" si="222"/>
        <v>0</v>
      </c>
      <c r="AA529" s="377">
        <f t="shared" si="223"/>
        <v>0</v>
      </c>
      <c r="AB529" s="377">
        <f t="shared" si="224"/>
        <v>0</v>
      </c>
      <c r="AC529" s="377">
        <f t="shared" si="225"/>
        <v>0</v>
      </c>
      <c r="AD529" s="376"/>
      <c r="AE529" s="332">
        <v>514</v>
      </c>
      <c r="AF529" s="350">
        <v>4862731.4675516086</v>
      </c>
      <c r="AG529" s="350">
        <v>30036.959991867865</v>
      </c>
      <c r="AH529" s="350">
        <v>28759.335208731132</v>
      </c>
      <c r="AI529" s="350">
        <v>27447.331565202232</v>
      </c>
      <c r="AJ529" s="350">
        <v>26101.016076602369</v>
      </c>
      <c r="AK529" s="348">
        <v>4975076.1103940113</v>
      </c>
      <c r="AL529" s="369"/>
      <c r="AM529" s="350">
        <v>7169800.2902818127</v>
      </c>
      <c r="AN529" s="350">
        <v>2365607.1854374977</v>
      </c>
      <c r="AO529" s="350">
        <v>2391012.4987944821</v>
      </c>
      <c r="AP529" s="350">
        <v>2414499.7260450604</v>
      </c>
      <c r="AQ529" s="350">
        <v>2436003.8505072049</v>
      </c>
      <c r="AR529" s="348">
        <v>16776923.551066058</v>
      </c>
      <c r="AS529" s="369"/>
      <c r="AT529" s="350">
        <f t="shared" ref="AT529:AT592" si="243">AM529-AF529</f>
        <v>2307068.8227302041</v>
      </c>
      <c r="AU529" s="350">
        <f t="shared" si="226"/>
        <v>2335570.22544563</v>
      </c>
      <c r="AV529" s="350">
        <f t="shared" si="227"/>
        <v>2362253.1635857509</v>
      </c>
      <c r="AW529" s="350">
        <f t="shared" si="228"/>
        <v>2387052.3944798582</v>
      </c>
      <c r="AX529" s="350">
        <f t="shared" si="229"/>
        <v>2409902.8344306024</v>
      </c>
      <c r="AY529" s="350">
        <f t="shared" si="230"/>
        <v>11801847.440672047</v>
      </c>
      <c r="AZ529" s="365"/>
      <c r="BA529" s="377">
        <f t="shared" si="231"/>
        <v>0</v>
      </c>
      <c r="BB529" s="377">
        <f t="shared" si="232"/>
        <v>0</v>
      </c>
      <c r="BC529" s="377">
        <f t="shared" si="233"/>
        <v>0</v>
      </c>
      <c r="BD529" s="377">
        <f t="shared" si="234"/>
        <v>0</v>
      </c>
      <c r="BE529" s="377">
        <f t="shared" si="235"/>
        <v>0</v>
      </c>
      <c r="BF529" s="377">
        <f t="shared" si="236"/>
        <v>0</v>
      </c>
      <c r="BG529" s="328"/>
    </row>
    <row r="530" spans="2:59">
      <c r="B530" s="332">
        <v>515</v>
      </c>
      <c r="C530" s="350">
        <v>4846063.5771494387</v>
      </c>
      <c r="D530" s="350">
        <v>29934.002886278995</v>
      </c>
      <c r="E530" s="350">
        <v>28660.757392846979</v>
      </c>
      <c r="F530" s="350">
        <v>27353.250878778545</v>
      </c>
      <c r="G530" s="350">
        <v>26011.550129685376</v>
      </c>
      <c r="H530" s="348">
        <v>4958023.138437028</v>
      </c>
      <c r="I530" s="369"/>
      <c r="J530" s="350">
        <v>7313397.336422801</v>
      </c>
      <c r="K530" s="350">
        <v>2527749.0691815959</v>
      </c>
      <c r="L530" s="350">
        <v>2555012.3430243349</v>
      </c>
      <c r="M530" s="350">
        <v>2580226.7932833787</v>
      </c>
      <c r="N530" s="350">
        <v>2603322.8818838065</v>
      </c>
      <c r="O530" s="348">
        <v>17579708.423795916</v>
      </c>
      <c r="P530" s="369"/>
      <c r="Q530" s="350">
        <f t="shared" si="237"/>
        <v>2467333.7592733623</v>
      </c>
      <c r="R530" s="350">
        <f t="shared" si="238"/>
        <v>2497815.0662953169</v>
      </c>
      <c r="S530" s="350">
        <f t="shared" si="239"/>
        <v>2526351.5856314879</v>
      </c>
      <c r="T530" s="350">
        <f t="shared" si="240"/>
        <v>2552873.5424046</v>
      </c>
      <c r="U530" s="350">
        <f t="shared" si="241"/>
        <v>2577311.331754121</v>
      </c>
      <c r="V530" s="350">
        <f t="shared" si="242"/>
        <v>12621685.285358887</v>
      </c>
      <c r="W530" s="365"/>
      <c r="X530" s="377">
        <f t="shared" si="220"/>
        <v>0</v>
      </c>
      <c r="Y530" s="377">
        <f t="shared" si="221"/>
        <v>0</v>
      </c>
      <c r="Z530" s="377">
        <f t="shared" si="222"/>
        <v>0</v>
      </c>
      <c r="AA530" s="377">
        <f t="shared" si="223"/>
        <v>0</v>
      </c>
      <c r="AB530" s="377">
        <f t="shared" si="224"/>
        <v>0</v>
      </c>
      <c r="AC530" s="377">
        <f t="shared" si="225"/>
        <v>0</v>
      </c>
      <c r="AD530" s="376"/>
      <c r="AE530" s="332">
        <v>515</v>
      </c>
      <c r="AF530" s="350">
        <v>5204127.9988739472</v>
      </c>
      <c r="AG530" s="350">
        <v>32145.7570786736</v>
      </c>
      <c r="AH530" s="350">
        <v>30778.43442260148</v>
      </c>
      <c r="AI530" s="350">
        <v>29374.319278370887</v>
      </c>
      <c r="AJ530" s="350">
        <v>27933.483366232707</v>
      </c>
      <c r="AK530" s="348">
        <v>5324359.9930198248</v>
      </c>
      <c r="AL530" s="369"/>
      <c r="AM530" s="350">
        <v>7189592.5075080562</v>
      </c>
      <c r="AN530" s="350">
        <v>2042138.5862293758</v>
      </c>
      <c r="AO530" s="350">
        <v>2063734.6126252818</v>
      </c>
      <c r="AP530" s="350">
        <v>2083672.7271954645</v>
      </c>
      <c r="AQ530" s="350">
        <v>2101896.9905997803</v>
      </c>
      <c r="AR530" s="348">
        <v>15481035.424157958</v>
      </c>
      <c r="AS530" s="369"/>
      <c r="AT530" s="350">
        <f t="shared" si="243"/>
        <v>1985464.5086341091</v>
      </c>
      <c r="AU530" s="350">
        <f t="shared" si="226"/>
        <v>2009992.8291507021</v>
      </c>
      <c r="AV530" s="350">
        <f t="shared" si="227"/>
        <v>2032956.1782026803</v>
      </c>
      <c r="AW530" s="350">
        <f t="shared" si="228"/>
        <v>2054298.4079170937</v>
      </c>
      <c r="AX530" s="350">
        <f t="shared" si="229"/>
        <v>2073963.5072335477</v>
      </c>
      <c r="AY530" s="350">
        <f t="shared" si="230"/>
        <v>10156675.431138134</v>
      </c>
      <c r="AZ530" s="365"/>
      <c r="BA530" s="377">
        <f t="shared" si="231"/>
        <v>0</v>
      </c>
      <c r="BB530" s="377">
        <f t="shared" si="232"/>
        <v>0</v>
      </c>
      <c r="BC530" s="377">
        <f t="shared" si="233"/>
        <v>0</v>
      </c>
      <c r="BD530" s="377">
        <f t="shared" si="234"/>
        <v>0</v>
      </c>
      <c r="BE530" s="377">
        <f t="shared" si="235"/>
        <v>0</v>
      </c>
      <c r="BF530" s="377">
        <f t="shared" si="236"/>
        <v>0</v>
      </c>
      <c r="BG530" s="328"/>
    </row>
    <row r="531" spans="2:59">
      <c r="B531" s="332">
        <v>516</v>
      </c>
      <c r="C531" s="350">
        <v>6073631.979007706</v>
      </c>
      <c r="D531" s="350">
        <v>37516.65951043</v>
      </c>
      <c r="E531" s="350">
        <v>35920.88503844598</v>
      </c>
      <c r="F531" s="350">
        <v>34282.170801581604</v>
      </c>
      <c r="G531" s="350">
        <v>32600.600503089143</v>
      </c>
      <c r="H531" s="348">
        <v>6213952.2948612524</v>
      </c>
      <c r="I531" s="369"/>
      <c r="J531" s="350">
        <v>8078560.3026625868</v>
      </c>
      <c r="K531" s="350">
        <v>2067213.7585937048</v>
      </c>
      <c r="L531" s="350">
        <v>2088806.4464286887</v>
      </c>
      <c r="M531" s="350">
        <v>2108719.1830781503</v>
      </c>
      <c r="N531" s="350">
        <v>2126895.492099883</v>
      </c>
      <c r="O531" s="348">
        <v>16470195.182863014</v>
      </c>
      <c r="P531" s="369"/>
      <c r="Q531" s="350">
        <f t="shared" si="237"/>
        <v>2004928.3236548807</v>
      </c>
      <c r="R531" s="350">
        <f t="shared" si="238"/>
        <v>2029697.0990832748</v>
      </c>
      <c r="S531" s="350">
        <f t="shared" si="239"/>
        <v>2052885.5613902428</v>
      </c>
      <c r="T531" s="350">
        <f t="shared" si="240"/>
        <v>2074437.0122765687</v>
      </c>
      <c r="U531" s="350">
        <f t="shared" si="241"/>
        <v>2094294.8915967939</v>
      </c>
      <c r="V531" s="350">
        <f t="shared" si="242"/>
        <v>10256242.888001762</v>
      </c>
      <c r="W531" s="365"/>
      <c r="X531" s="377">
        <f t="shared" si="220"/>
        <v>0</v>
      </c>
      <c r="Y531" s="377">
        <f t="shared" si="221"/>
        <v>0</v>
      </c>
      <c r="Z531" s="377">
        <f t="shared" si="222"/>
        <v>0</v>
      </c>
      <c r="AA531" s="377">
        <f t="shared" si="223"/>
        <v>0</v>
      </c>
      <c r="AB531" s="377">
        <f t="shared" si="224"/>
        <v>0</v>
      </c>
      <c r="AC531" s="377">
        <f t="shared" si="225"/>
        <v>0</v>
      </c>
      <c r="AD531" s="376"/>
      <c r="AE531" s="332">
        <v>516</v>
      </c>
      <c r="AF531" s="350">
        <v>5069120.3951281682</v>
      </c>
      <c r="AG531" s="350">
        <v>31311.818783013052</v>
      </c>
      <c r="AH531" s="350">
        <v>29979.967767026763</v>
      </c>
      <c r="AI531" s="350">
        <v>28612.278748565594</v>
      </c>
      <c r="AJ531" s="350">
        <v>27208.821587282659</v>
      </c>
      <c r="AK531" s="348">
        <v>5186233.2820140561</v>
      </c>
      <c r="AL531" s="369"/>
      <c r="AM531" s="350">
        <v>6708410.4467192581</v>
      </c>
      <c r="AN531" s="350">
        <v>1690853.5704826845</v>
      </c>
      <c r="AO531" s="350">
        <v>1708481.3077587173</v>
      </c>
      <c r="AP531" s="350">
        <v>1724734.7369710109</v>
      </c>
      <c r="AQ531" s="350">
        <v>1739567.6826931993</v>
      </c>
      <c r="AR531" s="348">
        <v>13572047.744624872</v>
      </c>
      <c r="AS531" s="369"/>
      <c r="AT531" s="350">
        <f t="shared" si="243"/>
        <v>1639290.0515910899</v>
      </c>
      <c r="AU531" s="350">
        <f t="shared" si="226"/>
        <v>1659541.7516996714</v>
      </c>
      <c r="AV531" s="350">
        <f t="shared" si="227"/>
        <v>1678501.3399916906</v>
      </c>
      <c r="AW531" s="350">
        <f t="shared" si="228"/>
        <v>1696122.4582224453</v>
      </c>
      <c r="AX531" s="350">
        <f t="shared" si="229"/>
        <v>1712358.8611059166</v>
      </c>
      <c r="AY531" s="350">
        <f t="shared" si="230"/>
        <v>8385814.4626108157</v>
      </c>
      <c r="AZ531" s="365"/>
      <c r="BA531" s="377">
        <f t="shared" si="231"/>
        <v>0</v>
      </c>
      <c r="BB531" s="377">
        <f t="shared" si="232"/>
        <v>0</v>
      </c>
      <c r="BC531" s="377">
        <f t="shared" si="233"/>
        <v>0</v>
      </c>
      <c r="BD531" s="377">
        <f t="shared" si="234"/>
        <v>0</v>
      </c>
      <c r="BE531" s="377">
        <f t="shared" si="235"/>
        <v>0</v>
      </c>
      <c r="BF531" s="377">
        <f t="shared" si="236"/>
        <v>0</v>
      </c>
      <c r="BG531" s="328"/>
    </row>
    <row r="532" spans="2:59">
      <c r="B532" s="332">
        <v>517</v>
      </c>
      <c r="C532" s="350">
        <v>6315378.5956865642</v>
      </c>
      <c r="D532" s="350">
        <v>39009.921785306666</v>
      </c>
      <c r="E532" s="350">
        <v>37350.631268735509</v>
      </c>
      <c r="F532" s="350">
        <v>35646.691871074116</v>
      </c>
      <c r="G532" s="350">
        <v>33898.190627178803</v>
      </c>
      <c r="H532" s="348">
        <v>6461284.0312388595</v>
      </c>
      <c r="I532" s="369"/>
      <c r="J532" s="350">
        <v>7938382.7626338899</v>
      </c>
      <c r="K532" s="350">
        <v>1682064.5939083886</v>
      </c>
      <c r="L532" s="350">
        <v>1699176.5335177423</v>
      </c>
      <c r="M532" s="350">
        <v>1714918.6515075627</v>
      </c>
      <c r="N532" s="350">
        <v>1729245.249060571</v>
      </c>
      <c r="O532" s="348">
        <v>14763787.790628154</v>
      </c>
      <c r="P532" s="369"/>
      <c r="Q532" s="350">
        <f t="shared" si="237"/>
        <v>1623004.1669473257</v>
      </c>
      <c r="R532" s="350">
        <f t="shared" si="238"/>
        <v>1643054.672123082</v>
      </c>
      <c r="S532" s="350">
        <f t="shared" si="239"/>
        <v>1661825.9022490068</v>
      </c>
      <c r="T532" s="350">
        <f t="shared" si="240"/>
        <v>1679271.9596364887</v>
      </c>
      <c r="U532" s="350">
        <f t="shared" si="241"/>
        <v>1695347.0584333921</v>
      </c>
      <c r="V532" s="350">
        <f t="shared" si="242"/>
        <v>8302503.7593892943</v>
      </c>
      <c r="W532" s="365"/>
      <c r="X532" s="377">
        <f t="shared" si="220"/>
        <v>0</v>
      </c>
      <c r="Y532" s="377">
        <f t="shared" si="221"/>
        <v>0</v>
      </c>
      <c r="Z532" s="377">
        <f t="shared" si="222"/>
        <v>0</v>
      </c>
      <c r="AA532" s="377">
        <f t="shared" si="223"/>
        <v>0</v>
      </c>
      <c r="AB532" s="377">
        <f t="shared" si="224"/>
        <v>0</v>
      </c>
      <c r="AC532" s="377">
        <f t="shared" si="225"/>
        <v>0</v>
      </c>
      <c r="AD532" s="376"/>
      <c r="AE532" s="332">
        <v>517</v>
      </c>
      <c r="AF532" s="350">
        <v>7359216.4532836247</v>
      </c>
      <c r="AG532" s="350">
        <v>45457.679835666873</v>
      </c>
      <c r="AH532" s="350">
        <v>43524.133353009121</v>
      </c>
      <c r="AI532" s="350">
        <v>41538.558195373036</v>
      </c>
      <c r="AJ532" s="350">
        <v>39501.055783174816</v>
      </c>
      <c r="AK532" s="348">
        <v>7529237.8804508485</v>
      </c>
      <c r="AL532" s="369"/>
      <c r="AM532" s="350">
        <v>9955608.6160683706</v>
      </c>
      <c r="AN532" s="350">
        <v>2673925.530137673</v>
      </c>
      <c r="AO532" s="350">
        <v>2702021.1578107709</v>
      </c>
      <c r="AP532" s="350">
        <v>2727944.8188675744</v>
      </c>
      <c r="AQ532" s="350">
        <v>2751623.3690584768</v>
      </c>
      <c r="AR532" s="348">
        <v>20811123.491942868</v>
      </c>
      <c r="AS532" s="369"/>
      <c r="AT532" s="350">
        <f t="shared" si="243"/>
        <v>2596392.1627847459</v>
      </c>
      <c r="AU532" s="350">
        <f t="shared" si="226"/>
        <v>2628467.8503020061</v>
      </c>
      <c r="AV532" s="350">
        <f t="shared" si="227"/>
        <v>2658497.024457762</v>
      </c>
      <c r="AW532" s="350">
        <f t="shared" si="228"/>
        <v>2686406.2606722014</v>
      </c>
      <c r="AX532" s="350">
        <f t="shared" si="229"/>
        <v>2712122.3132753018</v>
      </c>
      <c r="AY532" s="350">
        <f t="shared" si="230"/>
        <v>13281885.611492019</v>
      </c>
      <c r="AZ532" s="365"/>
      <c r="BA532" s="377">
        <f t="shared" si="231"/>
        <v>0</v>
      </c>
      <c r="BB532" s="377">
        <f t="shared" si="232"/>
        <v>0</v>
      </c>
      <c r="BC532" s="377">
        <f t="shared" si="233"/>
        <v>0</v>
      </c>
      <c r="BD532" s="377">
        <f t="shared" si="234"/>
        <v>0</v>
      </c>
      <c r="BE532" s="377">
        <f t="shared" si="235"/>
        <v>0</v>
      </c>
      <c r="BF532" s="377">
        <f t="shared" si="236"/>
        <v>0</v>
      </c>
      <c r="BG532" s="328"/>
    </row>
    <row r="533" spans="2:59">
      <c r="B533" s="332">
        <v>518</v>
      </c>
      <c r="C533" s="350">
        <v>7414004.4320303919</v>
      </c>
      <c r="D533" s="350">
        <v>45796.103689960953</v>
      </c>
      <c r="E533" s="350">
        <v>43848.162318355098</v>
      </c>
      <c r="F533" s="350">
        <v>41847.804928096426</v>
      </c>
      <c r="G533" s="350">
        <v>39795.133694657212</v>
      </c>
      <c r="H533" s="348">
        <v>7585291.6366614616</v>
      </c>
      <c r="I533" s="369"/>
      <c r="J533" s="350">
        <v>9485254.7256618962</v>
      </c>
      <c r="K533" s="350">
        <v>2142634.5107585732</v>
      </c>
      <c r="L533" s="350">
        <v>2164642.0937792882</v>
      </c>
      <c r="M533" s="350">
        <v>2184906.0978875598</v>
      </c>
      <c r="N533" s="350">
        <v>2203368.1941336561</v>
      </c>
      <c r="O533" s="348">
        <v>18180805.622220971</v>
      </c>
      <c r="P533" s="369"/>
      <c r="Q533" s="350">
        <f t="shared" si="237"/>
        <v>2071250.2936315043</v>
      </c>
      <c r="R533" s="350">
        <f t="shared" si="238"/>
        <v>2096838.4070686123</v>
      </c>
      <c r="S533" s="350">
        <f t="shared" si="239"/>
        <v>2120793.9314609333</v>
      </c>
      <c r="T533" s="350">
        <f t="shared" si="240"/>
        <v>2143058.2929594633</v>
      </c>
      <c r="U533" s="350">
        <f t="shared" si="241"/>
        <v>2163573.060438999</v>
      </c>
      <c r="V533" s="350">
        <f t="shared" si="242"/>
        <v>10595513.985559508</v>
      </c>
      <c r="W533" s="365"/>
      <c r="X533" s="377">
        <f t="shared" si="220"/>
        <v>0</v>
      </c>
      <c r="Y533" s="377">
        <f t="shared" si="221"/>
        <v>0</v>
      </c>
      <c r="Z533" s="377">
        <f t="shared" si="222"/>
        <v>0</v>
      </c>
      <c r="AA533" s="377">
        <f t="shared" si="223"/>
        <v>0</v>
      </c>
      <c r="AB533" s="377">
        <f t="shared" si="224"/>
        <v>0</v>
      </c>
      <c r="AC533" s="377">
        <f t="shared" si="225"/>
        <v>0</v>
      </c>
      <c r="AD533" s="376"/>
      <c r="AE533" s="332">
        <v>518</v>
      </c>
      <c r="AF533" s="350">
        <v>6326726.5202164026</v>
      </c>
      <c r="AG533" s="350">
        <v>39080.017606425114</v>
      </c>
      <c r="AH533" s="350">
        <v>37417.745557824652</v>
      </c>
      <c r="AI533" s="350">
        <v>35710.744399827097</v>
      </c>
      <c r="AJ533" s="350">
        <v>33959.101323681243</v>
      </c>
      <c r="AK533" s="348">
        <v>6472894.1291041607</v>
      </c>
      <c r="AL533" s="369"/>
      <c r="AM533" s="350">
        <v>9156609.1249359548</v>
      </c>
      <c r="AN533" s="350">
        <v>2903922.838059396</v>
      </c>
      <c r="AO533" s="350">
        <v>2934990.2278837231</v>
      </c>
      <c r="AP533" s="350">
        <v>2963702.3071737047</v>
      </c>
      <c r="AQ533" s="350">
        <v>2989979.3305550604</v>
      </c>
      <c r="AR533" s="348">
        <v>20949203.828607835</v>
      </c>
      <c r="AS533" s="369"/>
      <c r="AT533" s="350">
        <f t="shared" si="243"/>
        <v>2829882.6047195522</v>
      </c>
      <c r="AU533" s="350">
        <f t="shared" si="226"/>
        <v>2864842.8204529709</v>
      </c>
      <c r="AV533" s="350">
        <f t="shared" si="227"/>
        <v>2897572.4823258985</v>
      </c>
      <c r="AW533" s="350">
        <f t="shared" si="228"/>
        <v>2927991.5627738778</v>
      </c>
      <c r="AX533" s="350">
        <f t="shared" si="229"/>
        <v>2956020.229231379</v>
      </c>
      <c r="AY533" s="350">
        <f t="shared" si="230"/>
        <v>14476309.699503675</v>
      </c>
      <c r="AZ533" s="365"/>
      <c r="BA533" s="377">
        <f t="shared" si="231"/>
        <v>0</v>
      </c>
      <c r="BB533" s="377">
        <f t="shared" si="232"/>
        <v>0</v>
      </c>
      <c r="BC533" s="377">
        <f t="shared" si="233"/>
        <v>0</v>
      </c>
      <c r="BD533" s="377">
        <f t="shared" si="234"/>
        <v>0</v>
      </c>
      <c r="BE533" s="377">
        <f t="shared" si="235"/>
        <v>0</v>
      </c>
      <c r="BF533" s="377">
        <f t="shared" si="236"/>
        <v>0</v>
      </c>
      <c r="BG533" s="328"/>
    </row>
    <row r="534" spans="2:59">
      <c r="B534" s="332">
        <v>519</v>
      </c>
      <c r="C534" s="350">
        <v>5241938.3698526723</v>
      </c>
      <c r="D534" s="350">
        <v>32379.310711636183</v>
      </c>
      <c r="E534" s="350">
        <v>31002.053830870726</v>
      </c>
      <c r="F534" s="350">
        <v>29587.737147686003</v>
      </c>
      <c r="G534" s="350">
        <v>28136.432903414003</v>
      </c>
      <c r="H534" s="348">
        <v>5363043.9044462787</v>
      </c>
      <c r="I534" s="369"/>
      <c r="J534" s="350">
        <v>7415898.7024279926</v>
      </c>
      <c r="K534" s="350">
        <v>2233196.6309570358</v>
      </c>
      <c r="L534" s="350">
        <v>2256962.8151828693</v>
      </c>
      <c r="M534" s="350">
        <v>2278916.9146088995</v>
      </c>
      <c r="N534" s="350">
        <v>2298997.6728438195</v>
      </c>
      <c r="O534" s="348">
        <v>16483972.736020615</v>
      </c>
      <c r="P534" s="369"/>
      <c r="Q534" s="350">
        <f t="shared" si="237"/>
        <v>2173960.3325753203</v>
      </c>
      <c r="R534" s="350">
        <f t="shared" si="238"/>
        <v>2200817.3202453996</v>
      </c>
      <c r="S534" s="350">
        <f t="shared" si="239"/>
        <v>2225960.7613519984</v>
      </c>
      <c r="T534" s="350">
        <f t="shared" si="240"/>
        <v>2249329.1774612134</v>
      </c>
      <c r="U534" s="350">
        <f t="shared" si="241"/>
        <v>2270861.2399404054</v>
      </c>
      <c r="V534" s="350">
        <f t="shared" si="242"/>
        <v>11120928.831574336</v>
      </c>
      <c r="W534" s="365"/>
      <c r="X534" s="377">
        <f t="shared" si="220"/>
        <v>0</v>
      </c>
      <c r="Y534" s="377">
        <f t="shared" si="221"/>
        <v>0</v>
      </c>
      <c r="Z534" s="377">
        <f t="shared" si="222"/>
        <v>0</v>
      </c>
      <c r="AA534" s="377">
        <f t="shared" si="223"/>
        <v>0</v>
      </c>
      <c r="AB534" s="377">
        <f t="shared" si="224"/>
        <v>0</v>
      </c>
      <c r="AC534" s="377">
        <f t="shared" si="225"/>
        <v>0</v>
      </c>
      <c r="AD534" s="376"/>
      <c r="AE534" s="332">
        <v>519</v>
      </c>
      <c r="AF534" s="350">
        <v>6156767.6584875882</v>
      </c>
      <c r="AG534" s="350">
        <v>38030.186340997861</v>
      </c>
      <c r="AH534" s="350">
        <v>36412.568959286531</v>
      </c>
      <c r="AI534" s="350">
        <v>34751.424054576302</v>
      </c>
      <c r="AJ534" s="350">
        <v>33046.836475838987</v>
      </c>
      <c r="AK534" s="348">
        <v>6299008.6743182875</v>
      </c>
      <c r="AL534" s="369"/>
      <c r="AM534" s="350">
        <v>7966757.3041270021</v>
      </c>
      <c r="AN534" s="350">
        <v>1870380.345586621</v>
      </c>
      <c r="AO534" s="350">
        <v>1889696.5821380999</v>
      </c>
      <c r="AP534" s="350">
        <v>1907491.4459557633</v>
      </c>
      <c r="AQ534" s="350">
        <v>1923713.9610718719</v>
      </c>
      <c r="AR534" s="348">
        <v>15558039.638879357</v>
      </c>
      <c r="AS534" s="369"/>
      <c r="AT534" s="350">
        <f t="shared" si="243"/>
        <v>1809989.645639414</v>
      </c>
      <c r="AU534" s="350">
        <f t="shared" si="226"/>
        <v>1832350.159245623</v>
      </c>
      <c r="AV534" s="350">
        <f t="shared" si="227"/>
        <v>1853284.0131788135</v>
      </c>
      <c r="AW534" s="350">
        <f t="shared" si="228"/>
        <v>1872740.021901187</v>
      </c>
      <c r="AX534" s="350">
        <f t="shared" si="229"/>
        <v>1890667.124596033</v>
      </c>
      <c r="AY534" s="350">
        <f t="shared" si="230"/>
        <v>9259030.9645610694</v>
      </c>
      <c r="AZ534" s="365"/>
      <c r="BA534" s="377">
        <f t="shared" si="231"/>
        <v>0</v>
      </c>
      <c r="BB534" s="377">
        <f t="shared" si="232"/>
        <v>0</v>
      </c>
      <c r="BC534" s="377">
        <f t="shared" si="233"/>
        <v>0</v>
      </c>
      <c r="BD534" s="377">
        <f t="shared" si="234"/>
        <v>0</v>
      </c>
      <c r="BE534" s="377">
        <f t="shared" si="235"/>
        <v>0</v>
      </c>
      <c r="BF534" s="377">
        <f t="shared" si="236"/>
        <v>0</v>
      </c>
      <c r="BG534" s="328"/>
    </row>
    <row r="535" spans="2:59">
      <c r="B535" s="332">
        <v>520</v>
      </c>
      <c r="C535" s="350">
        <v>5013734.6245164722</v>
      </c>
      <c r="D535" s="350">
        <v>30969.70238462944</v>
      </c>
      <c r="E535" s="350">
        <v>29652.403320286405</v>
      </c>
      <c r="F535" s="350">
        <v>28299.657823451111</v>
      </c>
      <c r="G535" s="350">
        <v>26911.534990479809</v>
      </c>
      <c r="H535" s="348">
        <v>5129567.923035319</v>
      </c>
      <c r="I535" s="369"/>
      <c r="J535" s="350">
        <v>7107808.8748433311</v>
      </c>
      <c r="K535" s="350">
        <v>2150914.0320678297</v>
      </c>
      <c r="L535" s="350">
        <v>2173816.2331466018</v>
      </c>
      <c r="M535" s="350">
        <v>2194973.1892813826</v>
      </c>
      <c r="N535" s="350">
        <v>2214325.8945667809</v>
      </c>
      <c r="O535" s="348">
        <v>15841838.223905928</v>
      </c>
      <c r="P535" s="369"/>
      <c r="Q535" s="350">
        <f t="shared" si="237"/>
        <v>2094074.2503268588</v>
      </c>
      <c r="R535" s="350">
        <f t="shared" si="238"/>
        <v>2119944.3296832005</v>
      </c>
      <c r="S535" s="350">
        <f t="shared" si="239"/>
        <v>2144163.8298263154</v>
      </c>
      <c r="T535" s="350">
        <f t="shared" si="240"/>
        <v>2166673.5314579313</v>
      </c>
      <c r="U535" s="350">
        <f t="shared" si="241"/>
        <v>2187414.3595763012</v>
      </c>
      <c r="V535" s="350">
        <f t="shared" si="242"/>
        <v>10712270.300870609</v>
      </c>
      <c r="W535" s="365"/>
      <c r="X535" s="377">
        <f t="shared" si="220"/>
        <v>0</v>
      </c>
      <c r="Y535" s="377">
        <f t="shared" si="221"/>
        <v>0</v>
      </c>
      <c r="Z535" s="377">
        <f t="shared" si="222"/>
        <v>0</v>
      </c>
      <c r="AA535" s="377">
        <f t="shared" si="223"/>
        <v>0</v>
      </c>
      <c r="AB535" s="377">
        <f t="shared" si="224"/>
        <v>0</v>
      </c>
      <c r="AC535" s="377">
        <f t="shared" si="225"/>
        <v>0</v>
      </c>
      <c r="AD535" s="376"/>
      <c r="AE535" s="332">
        <v>520</v>
      </c>
      <c r="AF535" s="350">
        <v>5461657.7277711369</v>
      </c>
      <c r="AG535" s="350">
        <v>33736.511208368342</v>
      </c>
      <c r="AH535" s="350">
        <v>32301.525682932515</v>
      </c>
      <c r="AI535" s="350">
        <v>30827.926968637956</v>
      </c>
      <c r="AJ535" s="350">
        <v>29315.79033485843</v>
      </c>
      <c r="AK535" s="348">
        <v>5587839.4819659339</v>
      </c>
      <c r="AL535" s="369"/>
      <c r="AM535" s="350">
        <v>7023738.5248785261</v>
      </c>
      <c r="AN535" s="350">
        <v>1615115.1694951672</v>
      </c>
      <c r="AO535" s="350">
        <v>1631746.7907689856</v>
      </c>
      <c r="AP535" s="350">
        <v>1647064.3696654532</v>
      </c>
      <c r="AQ535" s="350">
        <v>1661023.9142840265</v>
      </c>
      <c r="AR535" s="348">
        <v>13578688.769092157</v>
      </c>
      <c r="AS535" s="369"/>
      <c r="AT535" s="350">
        <f t="shared" si="243"/>
        <v>1562080.7971073892</v>
      </c>
      <c r="AU535" s="350">
        <f t="shared" si="226"/>
        <v>1581378.658286799</v>
      </c>
      <c r="AV535" s="350">
        <f t="shared" si="227"/>
        <v>1599445.2650860532</v>
      </c>
      <c r="AW535" s="350">
        <f t="shared" si="228"/>
        <v>1616236.4426968154</v>
      </c>
      <c r="AX535" s="350">
        <f t="shared" si="229"/>
        <v>1631708.123949168</v>
      </c>
      <c r="AY535" s="350">
        <f t="shared" si="230"/>
        <v>7990849.2871262236</v>
      </c>
      <c r="AZ535" s="365"/>
      <c r="BA535" s="377">
        <f t="shared" si="231"/>
        <v>0</v>
      </c>
      <c r="BB535" s="377">
        <f t="shared" si="232"/>
        <v>0</v>
      </c>
      <c r="BC535" s="377">
        <f t="shared" si="233"/>
        <v>0</v>
      </c>
      <c r="BD535" s="377">
        <f t="shared" si="234"/>
        <v>0</v>
      </c>
      <c r="BE535" s="377">
        <f t="shared" si="235"/>
        <v>0</v>
      </c>
      <c r="BF535" s="377">
        <f t="shared" si="236"/>
        <v>0</v>
      </c>
      <c r="BG535" s="328"/>
    </row>
    <row r="536" spans="2:59">
      <c r="B536" s="332">
        <v>521</v>
      </c>
      <c r="C536" s="350">
        <v>4522451.0809083786</v>
      </c>
      <c r="D536" s="350">
        <v>27935.05730038304</v>
      </c>
      <c r="E536" s="350">
        <v>26746.83713645743</v>
      </c>
      <c r="F536" s="350">
        <v>25526.643848913893</v>
      </c>
      <c r="G536" s="350">
        <v>24274.539763528286</v>
      </c>
      <c r="H536" s="348">
        <v>4626934.1589576611</v>
      </c>
      <c r="I536" s="369"/>
      <c r="J536" s="350">
        <v>6320319.0157149918</v>
      </c>
      <c r="K536" s="350">
        <v>1848013.754757083</v>
      </c>
      <c r="L536" s="350">
        <v>1867619.1920757187</v>
      </c>
      <c r="M536" s="350">
        <v>1885724.7083609025</v>
      </c>
      <c r="N536" s="350">
        <v>1902279.6470819209</v>
      </c>
      <c r="O536" s="348">
        <v>13823956.317990618</v>
      </c>
      <c r="P536" s="369"/>
      <c r="Q536" s="350">
        <f t="shared" si="237"/>
        <v>1797867.9348066133</v>
      </c>
      <c r="R536" s="350">
        <f t="shared" si="238"/>
        <v>1820078.6974567</v>
      </c>
      <c r="S536" s="350">
        <f t="shared" si="239"/>
        <v>1840872.3549392612</v>
      </c>
      <c r="T536" s="350">
        <f t="shared" si="240"/>
        <v>1860198.0645119885</v>
      </c>
      <c r="U536" s="350">
        <f t="shared" si="241"/>
        <v>1878005.1073183925</v>
      </c>
      <c r="V536" s="350">
        <f t="shared" si="242"/>
        <v>9197022.1590329558</v>
      </c>
      <c r="W536" s="365"/>
      <c r="X536" s="377">
        <f t="shared" si="220"/>
        <v>0</v>
      </c>
      <c r="Y536" s="377">
        <f t="shared" si="221"/>
        <v>0</v>
      </c>
      <c r="Z536" s="377">
        <f t="shared" si="222"/>
        <v>0</v>
      </c>
      <c r="AA536" s="377">
        <f t="shared" si="223"/>
        <v>0</v>
      </c>
      <c r="AB536" s="377">
        <f t="shared" si="224"/>
        <v>0</v>
      </c>
      <c r="AC536" s="377">
        <f t="shared" si="225"/>
        <v>0</v>
      </c>
      <c r="AD536" s="376"/>
      <c r="AE536" s="332">
        <v>521</v>
      </c>
      <c r="AF536" s="350">
        <v>5250590.6669381559</v>
      </c>
      <c r="AG536" s="350">
        <v>32432.755715360468</v>
      </c>
      <c r="AH536" s="350">
        <v>31053.225546575173</v>
      </c>
      <c r="AI536" s="350">
        <v>29636.574404790266</v>
      </c>
      <c r="AJ536" s="350">
        <v>28182.874650575101</v>
      </c>
      <c r="AK536" s="348">
        <v>5371896.0972554572</v>
      </c>
      <c r="AL536" s="369"/>
      <c r="AM536" s="350">
        <v>7691941.6214326527</v>
      </c>
      <c r="AN536" s="350">
        <v>2503944.0270752185</v>
      </c>
      <c r="AO536" s="350">
        <v>2530800.5061035957</v>
      </c>
      <c r="AP536" s="350">
        <v>2555626.5163933043</v>
      </c>
      <c r="AQ536" s="350">
        <v>2578353.2584337788</v>
      </c>
      <c r="AR536" s="348">
        <v>17860665.92943855</v>
      </c>
      <c r="AS536" s="369"/>
      <c r="AT536" s="350">
        <f t="shared" si="243"/>
        <v>2441350.9544944968</v>
      </c>
      <c r="AU536" s="350">
        <f t="shared" si="226"/>
        <v>2471511.2713598581</v>
      </c>
      <c r="AV536" s="350">
        <f t="shared" si="227"/>
        <v>2499747.2805570206</v>
      </c>
      <c r="AW536" s="350">
        <f t="shared" si="228"/>
        <v>2525989.9419885143</v>
      </c>
      <c r="AX536" s="350">
        <f t="shared" si="229"/>
        <v>2550170.3837832035</v>
      </c>
      <c r="AY536" s="350">
        <f t="shared" si="230"/>
        <v>12488769.832183093</v>
      </c>
      <c r="AZ536" s="365"/>
      <c r="BA536" s="377">
        <f t="shared" si="231"/>
        <v>0</v>
      </c>
      <c r="BB536" s="377">
        <f t="shared" si="232"/>
        <v>0</v>
      </c>
      <c r="BC536" s="377">
        <f t="shared" si="233"/>
        <v>0</v>
      </c>
      <c r="BD536" s="377">
        <f t="shared" si="234"/>
        <v>0</v>
      </c>
      <c r="BE536" s="377">
        <f t="shared" si="235"/>
        <v>0</v>
      </c>
      <c r="BF536" s="377">
        <f t="shared" si="236"/>
        <v>0</v>
      </c>
      <c r="BG536" s="328"/>
    </row>
    <row r="537" spans="2:59">
      <c r="B537" s="332">
        <v>522</v>
      </c>
      <c r="C537" s="350">
        <v>5873604.9562927783</v>
      </c>
      <c r="D537" s="350">
        <v>36281.098032549336</v>
      </c>
      <c r="E537" s="350">
        <v>34737.878278675271</v>
      </c>
      <c r="F537" s="350">
        <v>33153.132924189784</v>
      </c>
      <c r="G537" s="350">
        <v>31526.942915685911</v>
      </c>
      <c r="H537" s="348">
        <v>6009304.008443878</v>
      </c>
      <c r="I537" s="369"/>
      <c r="J537" s="350">
        <v>8201570.6532197315</v>
      </c>
      <c r="K537" s="350">
        <v>2393006.3565218216</v>
      </c>
      <c r="L537" s="350">
        <v>2418387.7625404522</v>
      </c>
      <c r="M537" s="350">
        <v>2441826.8735455391</v>
      </c>
      <c r="N537" s="350">
        <v>2463258.0972738648</v>
      </c>
      <c r="O537" s="348">
        <v>17918049.743101407</v>
      </c>
      <c r="P537" s="369"/>
      <c r="Q537" s="350">
        <f t="shared" si="237"/>
        <v>2327965.6969269533</v>
      </c>
      <c r="R537" s="350">
        <f t="shared" si="238"/>
        <v>2356725.2584892721</v>
      </c>
      <c r="S537" s="350">
        <f t="shared" si="239"/>
        <v>2383649.8842617767</v>
      </c>
      <c r="T537" s="350">
        <f t="shared" si="240"/>
        <v>2408673.7406213493</v>
      </c>
      <c r="U537" s="350">
        <f t="shared" si="241"/>
        <v>2431731.1543581788</v>
      </c>
      <c r="V537" s="350">
        <f t="shared" si="242"/>
        <v>11908745.73465753</v>
      </c>
      <c r="W537" s="365"/>
      <c r="X537" s="377">
        <f t="shared" si="220"/>
        <v>0</v>
      </c>
      <c r="Y537" s="377">
        <f t="shared" si="221"/>
        <v>0</v>
      </c>
      <c r="Z537" s="377">
        <f t="shared" si="222"/>
        <v>0</v>
      </c>
      <c r="AA537" s="377">
        <f t="shared" si="223"/>
        <v>0</v>
      </c>
      <c r="AB537" s="377">
        <f t="shared" si="224"/>
        <v>0</v>
      </c>
      <c r="AC537" s="377">
        <f t="shared" si="225"/>
        <v>0</v>
      </c>
      <c r="AD537" s="376"/>
      <c r="AE537" s="332">
        <v>522</v>
      </c>
      <c r="AF537" s="350">
        <v>5189070.7502742205</v>
      </c>
      <c r="AG537" s="350">
        <v>32052.748863682606</v>
      </c>
      <c r="AH537" s="350">
        <v>30689.38232036509</v>
      </c>
      <c r="AI537" s="350">
        <v>29289.329741618982</v>
      </c>
      <c r="AJ537" s="350">
        <v>27852.66264018694</v>
      </c>
      <c r="AK537" s="348">
        <v>5308954.8738400731</v>
      </c>
      <c r="AL537" s="369"/>
      <c r="AM537" s="350">
        <v>6318392.6113366876</v>
      </c>
      <c r="AN537" s="350">
        <v>1175326.1907547533</v>
      </c>
      <c r="AO537" s="350">
        <v>1187024.257430129</v>
      </c>
      <c r="AP537" s="350">
        <v>1197763.5538427606</v>
      </c>
      <c r="AQ537" s="350">
        <v>1207512.2927062598</v>
      </c>
      <c r="AR537" s="348">
        <v>11086018.906070592</v>
      </c>
      <c r="AS537" s="369"/>
      <c r="AT537" s="350">
        <f t="shared" si="243"/>
        <v>1129321.8610624671</v>
      </c>
      <c r="AU537" s="350">
        <f t="shared" si="226"/>
        <v>1143273.4418910707</v>
      </c>
      <c r="AV537" s="350">
        <f t="shared" si="227"/>
        <v>1156334.8751097638</v>
      </c>
      <c r="AW537" s="350">
        <f t="shared" si="228"/>
        <v>1168474.2241011416</v>
      </c>
      <c r="AX537" s="350">
        <f t="shared" si="229"/>
        <v>1179659.6300660728</v>
      </c>
      <c r="AY537" s="350">
        <f t="shared" si="230"/>
        <v>5777064.0322305188</v>
      </c>
      <c r="AZ537" s="365"/>
      <c r="BA537" s="377">
        <f t="shared" si="231"/>
        <v>0</v>
      </c>
      <c r="BB537" s="377">
        <f t="shared" si="232"/>
        <v>0</v>
      </c>
      <c r="BC537" s="377">
        <f t="shared" si="233"/>
        <v>0</v>
      </c>
      <c r="BD537" s="377">
        <f t="shared" si="234"/>
        <v>0</v>
      </c>
      <c r="BE537" s="377">
        <f t="shared" si="235"/>
        <v>0</v>
      </c>
      <c r="BF537" s="377">
        <f t="shared" si="236"/>
        <v>0</v>
      </c>
      <c r="BG537" s="328"/>
    </row>
    <row r="538" spans="2:59">
      <c r="B538" s="332">
        <v>523</v>
      </c>
      <c r="C538" s="350">
        <v>7480006.5743182907</v>
      </c>
      <c r="D538" s="350">
        <v>46203.79712738649</v>
      </c>
      <c r="E538" s="350">
        <v>44238.514478908146</v>
      </c>
      <c r="F538" s="350">
        <v>42220.349185471168</v>
      </c>
      <c r="G538" s="350">
        <v>40149.404332145736</v>
      </c>
      <c r="H538" s="348">
        <v>7652818.6394422026</v>
      </c>
      <c r="I538" s="369"/>
      <c r="J538" s="350">
        <v>9884543.4423932526</v>
      </c>
      <c r="K538" s="350">
        <v>2480446.1828470249</v>
      </c>
      <c r="L538" s="350">
        <v>2506291.1275633937</v>
      </c>
      <c r="M538" s="350">
        <v>2530119.9003401529</v>
      </c>
      <c r="N538" s="350">
        <v>2551864.7709371373</v>
      </c>
      <c r="O538" s="348">
        <v>19953265.42408096</v>
      </c>
      <c r="P538" s="369"/>
      <c r="Q538" s="350">
        <f t="shared" si="237"/>
        <v>2404536.8680749619</v>
      </c>
      <c r="R538" s="350">
        <f t="shared" si="238"/>
        <v>2434242.3857196383</v>
      </c>
      <c r="S538" s="350">
        <f t="shared" si="239"/>
        <v>2462052.6130844858</v>
      </c>
      <c r="T538" s="350">
        <f t="shared" si="240"/>
        <v>2487899.5511546819</v>
      </c>
      <c r="U538" s="350">
        <f t="shared" si="241"/>
        <v>2511715.3666049917</v>
      </c>
      <c r="V538" s="350">
        <f t="shared" si="242"/>
        <v>12300446.784638759</v>
      </c>
      <c r="W538" s="365"/>
      <c r="X538" s="377">
        <f t="shared" si="220"/>
        <v>0</v>
      </c>
      <c r="Y538" s="377">
        <f t="shared" si="221"/>
        <v>0</v>
      </c>
      <c r="Z538" s="377">
        <f t="shared" si="222"/>
        <v>0</v>
      </c>
      <c r="AA538" s="377">
        <f t="shared" si="223"/>
        <v>0</v>
      </c>
      <c r="AB538" s="377">
        <f t="shared" si="224"/>
        <v>0</v>
      </c>
      <c r="AC538" s="377">
        <f t="shared" si="225"/>
        <v>0</v>
      </c>
      <c r="AD538" s="376"/>
      <c r="AE538" s="332">
        <v>523</v>
      </c>
      <c r="AF538" s="350">
        <v>5231041.0876880791</v>
      </c>
      <c r="AG538" s="350">
        <v>32311.99849614923</v>
      </c>
      <c r="AH538" s="350">
        <v>30937.604746497043</v>
      </c>
      <c r="AI538" s="350">
        <v>29526.22823675289</v>
      </c>
      <c r="AJ538" s="350">
        <v>28077.941058065855</v>
      </c>
      <c r="AK538" s="348">
        <v>5351894.8602255443</v>
      </c>
      <c r="AL538" s="369"/>
      <c r="AM538" s="350">
        <v>6550017.2682105936</v>
      </c>
      <c r="AN538" s="350">
        <v>1367582.7389913648</v>
      </c>
      <c r="AO538" s="350">
        <v>1381463.2693629283</v>
      </c>
      <c r="AP538" s="350">
        <v>1394229.8811829356</v>
      </c>
      <c r="AQ538" s="350">
        <v>1405845.4374893482</v>
      </c>
      <c r="AR538" s="348">
        <v>12099138.595237169</v>
      </c>
      <c r="AS538" s="369"/>
      <c r="AT538" s="350">
        <f t="shared" si="243"/>
        <v>1318976.1805225145</v>
      </c>
      <c r="AU538" s="350">
        <f t="shared" si="226"/>
        <v>1335270.7404952156</v>
      </c>
      <c r="AV538" s="350">
        <f t="shared" si="227"/>
        <v>1350525.6646164313</v>
      </c>
      <c r="AW538" s="350">
        <f t="shared" si="228"/>
        <v>1364703.6529461828</v>
      </c>
      <c r="AX538" s="350">
        <f t="shared" si="229"/>
        <v>1377767.4964312825</v>
      </c>
      <c r="AY538" s="350">
        <f t="shared" si="230"/>
        <v>6747243.7350116251</v>
      </c>
      <c r="AZ538" s="365"/>
      <c r="BA538" s="377">
        <f t="shared" si="231"/>
        <v>0</v>
      </c>
      <c r="BB538" s="377">
        <f t="shared" si="232"/>
        <v>0</v>
      </c>
      <c r="BC538" s="377">
        <f t="shared" si="233"/>
        <v>0</v>
      </c>
      <c r="BD538" s="377">
        <f t="shared" si="234"/>
        <v>0</v>
      </c>
      <c r="BE538" s="377">
        <f t="shared" si="235"/>
        <v>0</v>
      </c>
      <c r="BF538" s="377">
        <f t="shared" si="236"/>
        <v>0</v>
      </c>
      <c r="BG538" s="328"/>
    </row>
    <row r="539" spans="2:59">
      <c r="B539" s="332">
        <v>524</v>
      </c>
      <c r="C539" s="350">
        <v>6660790.1321196212</v>
      </c>
      <c r="D539" s="350">
        <v>41143.519449459302</v>
      </c>
      <c r="E539" s="350">
        <v>39393.476165174179</v>
      </c>
      <c r="F539" s="350">
        <v>37596.341986484826</v>
      </c>
      <c r="G539" s="350">
        <v>35752.20870850698</v>
      </c>
      <c r="H539" s="348">
        <v>6814675.6784292469</v>
      </c>
      <c r="I539" s="369"/>
      <c r="J539" s="350">
        <v>8387457.9149494823</v>
      </c>
      <c r="K539" s="350">
        <v>1789142.4621256685</v>
      </c>
      <c r="L539" s="350">
        <v>1807362.5944962504</v>
      </c>
      <c r="M539" s="350">
        <v>1824125.8225407989</v>
      </c>
      <c r="N539" s="350">
        <v>1839383.5277939104</v>
      </c>
      <c r="O539" s="348">
        <v>15647472.32190611</v>
      </c>
      <c r="P539" s="369"/>
      <c r="Q539" s="350">
        <f t="shared" si="237"/>
        <v>1726667.7828298612</v>
      </c>
      <c r="R539" s="350">
        <f t="shared" si="238"/>
        <v>1747998.9426762091</v>
      </c>
      <c r="S539" s="350">
        <f t="shared" si="239"/>
        <v>1767969.1183310761</v>
      </c>
      <c r="T539" s="350">
        <f t="shared" si="240"/>
        <v>1786529.4805543141</v>
      </c>
      <c r="U539" s="350">
        <f t="shared" si="241"/>
        <v>1803631.3190854033</v>
      </c>
      <c r="V539" s="350">
        <f t="shared" si="242"/>
        <v>8832796.6434768625</v>
      </c>
      <c r="W539" s="365"/>
      <c r="X539" s="377">
        <f t="shared" si="220"/>
        <v>0</v>
      </c>
      <c r="Y539" s="377">
        <f t="shared" si="221"/>
        <v>0</v>
      </c>
      <c r="Z539" s="377">
        <f t="shared" si="222"/>
        <v>0</v>
      </c>
      <c r="AA539" s="377">
        <f t="shared" si="223"/>
        <v>0</v>
      </c>
      <c r="AB539" s="377">
        <f t="shared" si="224"/>
        <v>0</v>
      </c>
      <c r="AC539" s="377">
        <f t="shared" si="225"/>
        <v>0</v>
      </c>
      <c r="AD539" s="376"/>
      <c r="AE539" s="332">
        <v>524</v>
      </c>
      <c r="AF539" s="350">
        <v>6766131.177136072</v>
      </c>
      <c r="AG539" s="350">
        <v>41794.20821888309</v>
      </c>
      <c r="AH539" s="350">
        <v>40016.487829520782</v>
      </c>
      <c r="AI539" s="350">
        <v>38190.931798666919</v>
      </c>
      <c r="AJ539" s="350">
        <v>36317.633373194934</v>
      </c>
      <c r="AK539" s="348">
        <v>6922450.4383563371</v>
      </c>
      <c r="AL539" s="369"/>
      <c r="AM539" s="350">
        <v>8579037.8616773952</v>
      </c>
      <c r="AN539" s="350">
        <v>1877097.4433063017</v>
      </c>
      <c r="AO539" s="350">
        <v>1896287.3145383215</v>
      </c>
      <c r="AP539" s="350">
        <v>1913949.1231740329</v>
      </c>
      <c r="AQ539" s="350">
        <v>1930031.8193523083</v>
      </c>
      <c r="AR539" s="348">
        <v>16196403.562048361</v>
      </c>
      <c r="AS539" s="369"/>
      <c r="AT539" s="350">
        <f t="shared" si="243"/>
        <v>1812906.6845413232</v>
      </c>
      <c r="AU539" s="350">
        <f t="shared" si="226"/>
        <v>1835303.2350874187</v>
      </c>
      <c r="AV539" s="350">
        <f t="shared" si="227"/>
        <v>1856270.8267088006</v>
      </c>
      <c r="AW539" s="350">
        <f t="shared" si="228"/>
        <v>1875758.1913753659</v>
      </c>
      <c r="AX539" s="350">
        <f t="shared" si="229"/>
        <v>1893714.1859791134</v>
      </c>
      <c r="AY539" s="350">
        <f t="shared" si="230"/>
        <v>9273953.1236920245</v>
      </c>
      <c r="AZ539" s="365"/>
      <c r="BA539" s="377">
        <f t="shared" si="231"/>
        <v>0</v>
      </c>
      <c r="BB539" s="377">
        <f t="shared" si="232"/>
        <v>0</v>
      </c>
      <c r="BC539" s="377">
        <f t="shared" si="233"/>
        <v>0</v>
      </c>
      <c r="BD539" s="377">
        <f t="shared" si="234"/>
        <v>0</v>
      </c>
      <c r="BE539" s="377">
        <f t="shared" si="235"/>
        <v>0</v>
      </c>
      <c r="BF539" s="377">
        <f t="shared" si="236"/>
        <v>0</v>
      </c>
      <c r="BG539" s="328"/>
    </row>
    <row r="540" spans="2:59">
      <c r="B540" s="332">
        <v>525</v>
      </c>
      <c r="C540" s="350">
        <v>5463640.3556358991</v>
      </c>
      <c r="D540" s="350">
        <v>33748.757846754648</v>
      </c>
      <c r="E540" s="350">
        <v>32313.251409458328</v>
      </c>
      <c r="F540" s="350">
        <v>30839.117766389762</v>
      </c>
      <c r="G540" s="350">
        <v>29326.432214246146</v>
      </c>
      <c r="H540" s="348">
        <v>5589867.9148727478</v>
      </c>
      <c r="I540" s="369"/>
      <c r="J540" s="350">
        <v>7836084.1923281346</v>
      </c>
      <c r="K540" s="350">
        <v>2435501.6366200484</v>
      </c>
      <c r="L540" s="350">
        <v>2461505.1781693883</v>
      </c>
      <c r="M540" s="350">
        <v>2485533.0069774464</v>
      </c>
      <c r="N540" s="350">
        <v>2507518.270377995</v>
      </c>
      <c r="O540" s="348">
        <v>17726142.284473013</v>
      </c>
      <c r="P540" s="369"/>
      <c r="Q540" s="350">
        <f t="shared" si="237"/>
        <v>2372443.8366922354</v>
      </c>
      <c r="R540" s="350">
        <f t="shared" si="238"/>
        <v>2401752.8787732939</v>
      </c>
      <c r="S540" s="350">
        <f t="shared" si="239"/>
        <v>2429191.9267599299</v>
      </c>
      <c r="T540" s="350">
        <f t="shared" si="240"/>
        <v>2454693.8892110568</v>
      </c>
      <c r="U540" s="350">
        <f t="shared" si="241"/>
        <v>2478191.8381637488</v>
      </c>
      <c r="V540" s="350">
        <f t="shared" si="242"/>
        <v>12136274.369600266</v>
      </c>
      <c r="W540" s="365"/>
      <c r="X540" s="377">
        <f t="shared" si="220"/>
        <v>0</v>
      </c>
      <c r="Y540" s="377">
        <f t="shared" si="221"/>
        <v>0</v>
      </c>
      <c r="Z540" s="377">
        <f t="shared" si="222"/>
        <v>0</v>
      </c>
      <c r="AA540" s="377">
        <f t="shared" si="223"/>
        <v>0</v>
      </c>
      <c r="AB540" s="377">
        <f t="shared" si="224"/>
        <v>0</v>
      </c>
      <c r="AC540" s="377">
        <f t="shared" si="225"/>
        <v>0</v>
      </c>
      <c r="AD540" s="376"/>
      <c r="AE540" s="332">
        <v>525</v>
      </c>
      <c r="AF540" s="350">
        <v>8319687.8262260603</v>
      </c>
      <c r="AG540" s="350">
        <v>51390.485378171623</v>
      </c>
      <c r="AH540" s="350">
        <v>49204.586480467296</v>
      </c>
      <c r="AI540" s="350">
        <v>46959.868503776423</v>
      </c>
      <c r="AJ540" s="350">
        <v>44656.446105172028</v>
      </c>
      <c r="AK540" s="348">
        <v>8511899.2126936484</v>
      </c>
      <c r="AL540" s="369"/>
      <c r="AM540" s="350">
        <v>9910277.9417139329</v>
      </c>
      <c r="AN540" s="350">
        <v>1661630.6646136215</v>
      </c>
      <c r="AO540" s="350">
        <v>1677841.1036316741</v>
      </c>
      <c r="AP540" s="350">
        <v>1692694.0167023251</v>
      </c>
      <c r="AQ540" s="350">
        <v>1706144.6470489649</v>
      </c>
      <c r="AR540" s="348">
        <v>16648588.373710517</v>
      </c>
      <c r="AS540" s="369"/>
      <c r="AT540" s="350">
        <f t="shared" si="243"/>
        <v>1590590.1154878726</v>
      </c>
      <c r="AU540" s="350">
        <f t="shared" si="226"/>
        <v>1610240.17923545</v>
      </c>
      <c r="AV540" s="350">
        <f t="shared" si="227"/>
        <v>1628636.5171512067</v>
      </c>
      <c r="AW540" s="350">
        <f t="shared" si="228"/>
        <v>1645734.1481985487</v>
      </c>
      <c r="AX540" s="350">
        <f t="shared" si="229"/>
        <v>1661488.2009437929</v>
      </c>
      <c r="AY540" s="350">
        <f t="shared" si="230"/>
        <v>8136689.1610168684</v>
      </c>
      <c r="AZ540" s="365"/>
      <c r="BA540" s="377">
        <f t="shared" si="231"/>
        <v>0</v>
      </c>
      <c r="BB540" s="377">
        <f t="shared" si="232"/>
        <v>0</v>
      </c>
      <c r="BC540" s="377">
        <f t="shared" si="233"/>
        <v>0</v>
      </c>
      <c r="BD540" s="377">
        <f t="shared" si="234"/>
        <v>0</v>
      </c>
      <c r="BE540" s="377">
        <f t="shared" si="235"/>
        <v>0</v>
      </c>
      <c r="BF540" s="377">
        <f t="shared" si="236"/>
        <v>0</v>
      </c>
      <c r="BG540" s="328"/>
    </row>
    <row r="541" spans="2:59">
      <c r="B541" s="332">
        <v>526</v>
      </c>
      <c r="C541" s="350">
        <v>4754346.1971766651</v>
      </c>
      <c r="D541" s="350">
        <v>29367.467125218089</v>
      </c>
      <c r="E541" s="350">
        <v>28118.319281118853</v>
      </c>
      <c r="F541" s="350">
        <v>26835.558845976477</v>
      </c>
      <c r="G541" s="350">
        <v>25519.25134141204</v>
      </c>
      <c r="H541" s="348">
        <v>4864186.7937703906</v>
      </c>
      <c r="I541" s="369"/>
      <c r="J541" s="350">
        <v>6274335.574643529</v>
      </c>
      <c r="K541" s="350">
        <v>1568134.7106633179</v>
      </c>
      <c r="L541" s="350">
        <v>1584465.3515680407</v>
      </c>
      <c r="M541" s="350">
        <v>1599521.31807377</v>
      </c>
      <c r="N541" s="350">
        <v>1613259.7959546193</v>
      </c>
      <c r="O541" s="348">
        <v>12639716.750903277</v>
      </c>
      <c r="P541" s="369"/>
      <c r="Q541" s="350">
        <f t="shared" si="237"/>
        <v>1519989.377466864</v>
      </c>
      <c r="R541" s="350">
        <f t="shared" si="238"/>
        <v>1538767.2435380998</v>
      </c>
      <c r="S541" s="350">
        <f t="shared" si="239"/>
        <v>1556347.0322869217</v>
      </c>
      <c r="T541" s="350">
        <f t="shared" si="240"/>
        <v>1572685.7592277937</v>
      </c>
      <c r="U541" s="350">
        <f t="shared" si="241"/>
        <v>1587740.5446132072</v>
      </c>
      <c r="V541" s="350">
        <f t="shared" si="242"/>
        <v>7775529.9571328862</v>
      </c>
      <c r="W541" s="365"/>
      <c r="X541" s="377">
        <f t="shared" si="220"/>
        <v>0</v>
      </c>
      <c r="Y541" s="377">
        <f t="shared" si="221"/>
        <v>0</v>
      </c>
      <c r="Z541" s="377">
        <f t="shared" si="222"/>
        <v>0</v>
      </c>
      <c r="AA541" s="377">
        <f t="shared" si="223"/>
        <v>0</v>
      </c>
      <c r="AB541" s="377">
        <f t="shared" si="224"/>
        <v>0</v>
      </c>
      <c r="AC541" s="377">
        <f t="shared" si="225"/>
        <v>0</v>
      </c>
      <c r="AD541" s="376"/>
      <c r="AE541" s="332">
        <v>526</v>
      </c>
      <c r="AF541" s="350">
        <v>6192410.9342280673</v>
      </c>
      <c r="AG541" s="350">
        <v>38250.353885625867</v>
      </c>
      <c r="AH541" s="350">
        <v>36623.371657687661</v>
      </c>
      <c r="AI541" s="350">
        <v>34952.609913561879</v>
      </c>
      <c r="AJ541" s="350">
        <v>33238.153993438071</v>
      </c>
      <c r="AK541" s="348">
        <v>6335475.4236783795</v>
      </c>
      <c r="AL541" s="369"/>
      <c r="AM541" s="350">
        <v>8594340.9652270861</v>
      </c>
      <c r="AN541" s="350">
        <v>2469853.6978059164</v>
      </c>
      <c r="AO541" s="350">
        <v>2496006.7929656124</v>
      </c>
      <c r="AP541" s="350">
        <v>2520154.9477806105</v>
      </c>
      <c r="AQ541" s="350">
        <v>2542230.4878062047</v>
      </c>
      <c r="AR541" s="348">
        <v>18622586.891585432</v>
      </c>
      <c r="AS541" s="369"/>
      <c r="AT541" s="350">
        <f t="shared" si="243"/>
        <v>2401930.0309990188</v>
      </c>
      <c r="AU541" s="350">
        <f t="shared" si="226"/>
        <v>2431603.3439202905</v>
      </c>
      <c r="AV541" s="350">
        <f t="shared" si="227"/>
        <v>2459383.4213079247</v>
      </c>
      <c r="AW541" s="350">
        <f t="shared" si="228"/>
        <v>2485202.3378670486</v>
      </c>
      <c r="AX541" s="350">
        <f t="shared" si="229"/>
        <v>2508992.3338127667</v>
      </c>
      <c r="AY541" s="350">
        <f t="shared" si="230"/>
        <v>12287111.467907052</v>
      </c>
      <c r="AZ541" s="365"/>
      <c r="BA541" s="377">
        <f t="shared" si="231"/>
        <v>0</v>
      </c>
      <c r="BB541" s="377">
        <f t="shared" si="232"/>
        <v>0</v>
      </c>
      <c r="BC541" s="377">
        <f t="shared" si="233"/>
        <v>0</v>
      </c>
      <c r="BD541" s="377">
        <f t="shared" si="234"/>
        <v>0</v>
      </c>
      <c r="BE541" s="377">
        <f t="shared" si="235"/>
        <v>0</v>
      </c>
      <c r="BF541" s="377">
        <f t="shared" si="236"/>
        <v>0</v>
      </c>
      <c r="BG541" s="328"/>
    </row>
    <row r="542" spans="2:59">
      <c r="B542" s="332">
        <v>527</v>
      </c>
      <c r="C542" s="350">
        <v>5997439.6545703392</v>
      </c>
      <c r="D542" s="350">
        <v>37046.021595077087</v>
      </c>
      <c r="E542" s="350">
        <v>35470.265748967358</v>
      </c>
      <c r="F542" s="350">
        <v>33852.108807514778</v>
      </c>
      <c r="G542" s="350">
        <v>32191.633423921696</v>
      </c>
      <c r="H542" s="348">
        <v>6135999.6841458194</v>
      </c>
      <c r="I542" s="369"/>
      <c r="J542" s="350">
        <v>8041968.055436329</v>
      </c>
      <c r="K542" s="350">
        <v>2106832.4150888068</v>
      </c>
      <c r="L542" s="350">
        <v>2128903.125402933</v>
      </c>
      <c r="M542" s="350">
        <v>2149262.0899860281</v>
      </c>
      <c r="N542" s="350">
        <v>2167851.7142055715</v>
      </c>
      <c r="O542" s="348">
        <v>16594817.40011967</v>
      </c>
      <c r="P542" s="369"/>
      <c r="Q542" s="350">
        <f t="shared" si="237"/>
        <v>2044528.4008659897</v>
      </c>
      <c r="R542" s="350">
        <f t="shared" si="238"/>
        <v>2069786.3934937296</v>
      </c>
      <c r="S542" s="350">
        <f t="shared" si="239"/>
        <v>2093432.8596539656</v>
      </c>
      <c r="T542" s="350">
        <f t="shared" si="240"/>
        <v>2115409.9811785133</v>
      </c>
      <c r="U542" s="350">
        <f t="shared" si="241"/>
        <v>2135660.0807816498</v>
      </c>
      <c r="V542" s="350">
        <f t="shared" si="242"/>
        <v>10458817.71597385</v>
      </c>
      <c r="W542" s="365"/>
      <c r="X542" s="377">
        <f t="shared" si="220"/>
        <v>0</v>
      </c>
      <c r="Y542" s="377">
        <f t="shared" si="221"/>
        <v>0</v>
      </c>
      <c r="Z542" s="377">
        <f t="shared" si="222"/>
        <v>0</v>
      </c>
      <c r="AA542" s="377">
        <f t="shared" si="223"/>
        <v>0</v>
      </c>
      <c r="AB542" s="377">
        <f t="shared" si="224"/>
        <v>0</v>
      </c>
      <c r="AC542" s="377">
        <f t="shared" si="225"/>
        <v>0</v>
      </c>
      <c r="AD542" s="376"/>
      <c r="AE542" s="332">
        <v>527</v>
      </c>
      <c r="AF542" s="350">
        <v>6695885.7992558889</v>
      </c>
      <c r="AG542" s="350">
        <v>41360.304430635726</v>
      </c>
      <c r="AH542" s="350">
        <v>39601.040177762719</v>
      </c>
      <c r="AI542" s="350">
        <v>37794.436908817697</v>
      </c>
      <c r="AJ542" s="350">
        <v>35940.586902585972</v>
      </c>
      <c r="AK542" s="348">
        <v>6850582.1676756907</v>
      </c>
      <c r="AL542" s="369"/>
      <c r="AM542" s="350">
        <v>8880047.8373785876</v>
      </c>
      <c r="AN542" s="350">
        <v>2252505.3615387017</v>
      </c>
      <c r="AO542" s="350">
        <v>2276007.5285777934</v>
      </c>
      <c r="AP542" s="350">
        <v>2297679.0019747363</v>
      </c>
      <c r="AQ542" s="350">
        <v>2317458.2575798808</v>
      </c>
      <c r="AR542" s="348">
        <v>18023697.987049699</v>
      </c>
      <c r="AS542" s="369"/>
      <c r="AT542" s="350">
        <f t="shared" si="243"/>
        <v>2184162.0381226987</v>
      </c>
      <c r="AU542" s="350">
        <f t="shared" si="226"/>
        <v>2211145.057108066</v>
      </c>
      <c r="AV542" s="350">
        <f t="shared" si="227"/>
        <v>2236406.4884000309</v>
      </c>
      <c r="AW542" s="350">
        <f t="shared" si="228"/>
        <v>2259884.5650659185</v>
      </c>
      <c r="AX542" s="350">
        <f t="shared" si="229"/>
        <v>2281517.670677295</v>
      </c>
      <c r="AY542" s="350">
        <f t="shared" si="230"/>
        <v>11173115.819374008</v>
      </c>
      <c r="AZ542" s="365"/>
      <c r="BA542" s="377">
        <f t="shared" si="231"/>
        <v>0</v>
      </c>
      <c r="BB542" s="377">
        <f t="shared" si="232"/>
        <v>0</v>
      </c>
      <c r="BC542" s="377">
        <f t="shared" si="233"/>
        <v>0</v>
      </c>
      <c r="BD542" s="377">
        <f t="shared" si="234"/>
        <v>0</v>
      </c>
      <c r="BE542" s="377">
        <f t="shared" si="235"/>
        <v>0</v>
      </c>
      <c r="BF542" s="377">
        <f t="shared" si="236"/>
        <v>0</v>
      </c>
      <c r="BG542" s="328"/>
    </row>
    <row r="543" spans="2:59">
      <c r="B543" s="332">
        <v>528</v>
      </c>
      <c r="C543" s="350">
        <v>5825469.0541972043</v>
      </c>
      <c r="D543" s="350">
        <v>35983.763874769618</v>
      </c>
      <c r="E543" s="350">
        <v>34453.191255921258</v>
      </c>
      <c r="F543" s="350">
        <v>32881.433350848856</v>
      </c>
      <c r="G543" s="350">
        <v>31268.570442757555</v>
      </c>
      <c r="H543" s="348">
        <v>5960056.0131215015</v>
      </c>
      <c r="I543" s="369"/>
      <c r="J543" s="350">
        <v>7880374.6133725103</v>
      </c>
      <c r="K543" s="350">
        <v>2116275.5145269809</v>
      </c>
      <c r="L543" s="350">
        <v>2138511.4274932379</v>
      </c>
      <c r="M543" s="350">
        <v>2159028.3376528071</v>
      </c>
      <c r="N543" s="350">
        <v>2177768.355257757</v>
      </c>
      <c r="O543" s="348">
        <v>16471958.24830329</v>
      </c>
      <c r="P543" s="369"/>
      <c r="Q543" s="350">
        <f t="shared" si="237"/>
        <v>2054905.559175306</v>
      </c>
      <c r="R543" s="350">
        <f t="shared" si="238"/>
        <v>2080291.7506522113</v>
      </c>
      <c r="S543" s="350">
        <f t="shared" si="239"/>
        <v>2104058.2362373169</v>
      </c>
      <c r="T543" s="350">
        <f t="shared" si="240"/>
        <v>2126146.9043019582</v>
      </c>
      <c r="U543" s="350">
        <f t="shared" si="241"/>
        <v>2146499.7848149994</v>
      </c>
      <c r="V543" s="350">
        <f t="shared" si="242"/>
        <v>10511902.23518179</v>
      </c>
      <c r="W543" s="365"/>
      <c r="X543" s="377">
        <f t="shared" si="220"/>
        <v>0</v>
      </c>
      <c r="Y543" s="377">
        <f t="shared" si="221"/>
        <v>0</v>
      </c>
      <c r="Z543" s="377">
        <f t="shared" si="222"/>
        <v>0</v>
      </c>
      <c r="AA543" s="377">
        <f t="shared" si="223"/>
        <v>0</v>
      </c>
      <c r="AB543" s="377">
        <f t="shared" si="224"/>
        <v>0</v>
      </c>
      <c r="AC543" s="377">
        <f t="shared" si="225"/>
        <v>0</v>
      </c>
      <c r="AD543" s="376"/>
      <c r="AE543" s="332">
        <v>528</v>
      </c>
      <c r="AF543" s="350">
        <v>6053044.3581724009</v>
      </c>
      <c r="AG543" s="350">
        <v>37389.490336584</v>
      </c>
      <c r="AH543" s="350">
        <v>35799.125016799044</v>
      </c>
      <c r="AI543" s="350">
        <v>34165.96548385638</v>
      </c>
      <c r="AJ543" s="350">
        <v>32490.095157278924</v>
      </c>
      <c r="AK543" s="348">
        <v>6192889.0341669191</v>
      </c>
      <c r="AL543" s="369"/>
      <c r="AM543" s="350">
        <v>7904781.2979768664</v>
      </c>
      <c r="AN543" s="350">
        <v>1912002.6875480311</v>
      </c>
      <c r="AO543" s="350">
        <v>1931829.0141490833</v>
      </c>
      <c r="AP543" s="350">
        <v>1950100.6149219107</v>
      </c>
      <c r="AQ543" s="350">
        <v>1966765.3347548859</v>
      </c>
      <c r="AR543" s="348">
        <v>15665478.949350776</v>
      </c>
      <c r="AS543" s="369"/>
      <c r="AT543" s="350">
        <f t="shared" si="243"/>
        <v>1851736.9398044655</v>
      </c>
      <c r="AU543" s="350">
        <f t="shared" si="226"/>
        <v>1874613.1972114472</v>
      </c>
      <c r="AV543" s="350">
        <f t="shared" si="227"/>
        <v>1896029.8891322843</v>
      </c>
      <c r="AW543" s="350">
        <f t="shared" si="228"/>
        <v>1915934.6494380543</v>
      </c>
      <c r="AX543" s="350">
        <f t="shared" si="229"/>
        <v>1934275.2395976069</v>
      </c>
      <c r="AY543" s="350">
        <f t="shared" si="230"/>
        <v>9472589.9151838571</v>
      </c>
      <c r="AZ543" s="365"/>
      <c r="BA543" s="377">
        <f t="shared" si="231"/>
        <v>0</v>
      </c>
      <c r="BB543" s="377">
        <f t="shared" si="232"/>
        <v>0</v>
      </c>
      <c r="BC543" s="377">
        <f t="shared" si="233"/>
        <v>0</v>
      </c>
      <c r="BD543" s="377">
        <f t="shared" si="234"/>
        <v>0</v>
      </c>
      <c r="BE543" s="377">
        <f t="shared" si="235"/>
        <v>0</v>
      </c>
      <c r="BF543" s="377">
        <f t="shared" si="236"/>
        <v>0</v>
      </c>
      <c r="BG543" s="328"/>
    </row>
    <row r="544" spans="2:59">
      <c r="B544" s="332">
        <v>529</v>
      </c>
      <c r="C544" s="350">
        <v>5498024.4452045271</v>
      </c>
      <c r="D544" s="350">
        <v>33961.147432653874</v>
      </c>
      <c r="E544" s="350">
        <v>32516.606985300958</v>
      </c>
      <c r="F544" s="350">
        <v>31033.196241266578</v>
      </c>
      <c r="G544" s="350">
        <v>29510.990971109055</v>
      </c>
      <c r="H544" s="348">
        <v>5625046.386834858</v>
      </c>
      <c r="I544" s="369"/>
      <c r="J544" s="350">
        <v>7997146.0495479694</v>
      </c>
      <c r="K544" s="350">
        <v>2563956.764106567</v>
      </c>
      <c r="L544" s="350">
        <v>2591416.3926707041</v>
      </c>
      <c r="M544" s="350">
        <v>2616796.6337986663</v>
      </c>
      <c r="N544" s="350">
        <v>2640027.0616476582</v>
      </c>
      <c r="O544" s="348">
        <v>18409342.901771564</v>
      </c>
      <c r="P544" s="369"/>
      <c r="Q544" s="350">
        <f t="shared" si="237"/>
        <v>2499121.6043434422</v>
      </c>
      <c r="R544" s="350">
        <f t="shared" si="238"/>
        <v>2529995.6166739133</v>
      </c>
      <c r="S544" s="350">
        <f t="shared" si="239"/>
        <v>2558899.7856854033</v>
      </c>
      <c r="T544" s="350">
        <f t="shared" si="240"/>
        <v>2585763.4375573997</v>
      </c>
      <c r="U544" s="350">
        <f t="shared" si="241"/>
        <v>2610516.0706765493</v>
      </c>
      <c r="V544" s="350">
        <f t="shared" si="242"/>
        <v>12784296.514936706</v>
      </c>
      <c r="W544" s="365"/>
      <c r="X544" s="377">
        <f t="shared" si="220"/>
        <v>0</v>
      </c>
      <c r="Y544" s="377">
        <f t="shared" si="221"/>
        <v>0</v>
      </c>
      <c r="Z544" s="377">
        <f t="shared" si="222"/>
        <v>0</v>
      </c>
      <c r="AA544" s="377">
        <f t="shared" si="223"/>
        <v>0</v>
      </c>
      <c r="AB544" s="377">
        <f t="shared" si="224"/>
        <v>0</v>
      </c>
      <c r="AC544" s="377">
        <f t="shared" si="225"/>
        <v>0</v>
      </c>
      <c r="AD544" s="376"/>
      <c r="AE544" s="332">
        <v>529</v>
      </c>
      <c r="AF544" s="350">
        <v>5198706.6062520724</v>
      </c>
      <c r="AG544" s="350">
        <v>32112.269283929894</v>
      </c>
      <c r="AH544" s="350">
        <v>30746.371034205447</v>
      </c>
      <c r="AI544" s="350">
        <v>29343.718624843379</v>
      </c>
      <c r="AJ544" s="350">
        <v>27904.38370137749</v>
      </c>
      <c r="AK544" s="348">
        <v>5318813.3488964289</v>
      </c>
      <c r="AL544" s="369"/>
      <c r="AM544" s="350">
        <v>6809695.5209417678</v>
      </c>
      <c r="AN544" s="350">
        <v>1663003.2533767037</v>
      </c>
      <c r="AO544" s="350">
        <v>1680269.6200735527</v>
      </c>
      <c r="AP544" s="350">
        <v>1696183.8702505438</v>
      </c>
      <c r="AQ544" s="350">
        <v>1710700.6286580397</v>
      </c>
      <c r="AR544" s="348">
        <v>13559852.893300608</v>
      </c>
      <c r="AS544" s="369"/>
      <c r="AT544" s="350">
        <f t="shared" si="243"/>
        <v>1610988.9146896955</v>
      </c>
      <c r="AU544" s="350">
        <f t="shared" si="226"/>
        <v>1630890.9840927739</v>
      </c>
      <c r="AV544" s="350">
        <f t="shared" si="227"/>
        <v>1649523.2490393473</v>
      </c>
      <c r="AW544" s="350">
        <f t="shared" si="228"/>
        <v>1666840.1516257005</v>
      </c>
      <c r="AX544" s="350">
        <f t="shared" si="229"/>
        <v>1682796.2449566622</v>
      </c>
      <c r="AY544" s="350">
        <f t="shared" si="230"/>
        <v>8241039.5444041789</v>
      </c>
      <c r="AZ544" s="365"/>
      <c r="BA544" s="377">
        <f t="shared" si="231"/>
        <v>0</v>
      </c>
      <c r="BB544" s="377">
        <f t="shared" si="232"/>
        <v>0</v>
      </c>
      <c r="BC544" s="377">
        <f t="shared" si="233"/>
        <v>0</v>
      </c>
      <c r="BD544" s="377">
        <f t="shared" si="234"/>
        <v>0</v>
      </c>
      <c r="BE544" s="377">
        <f t="shared" si="235"/>
        <v>0</v>
      </c>
      <c r="BF544" s="377">
        <f t="shared" si="236"/>
        <v>0</v>
      </c>
      <c r="BG544" s="328"/>
    </row>
    <row r="545" spans="2:59">
      <c r="B545" s="332">
        <v>530</v>
      </c>
      <c r="C545" s="350">
        <v>7522040.0250433758</v>
      </c>
      <c r="D545" s="350">
        <v>46463.436609059143</v>
      </c>
      <c r="E545" s="350">
        <v>44487.110171978609</v>
      </c>
      <c r="F545" s="350">
        <v>42457.603919065201</v>
      </c>
      <c r="G545" s="350">
        <v>40375.02151468087</v>
      </c>
      <c r="H545" s="348">
        <v>7695823.1972581604</v>
      </c>
      <c r="I545" s="369"/>
      <c r="J545" s="350">
        <v>9905791.2521609068</v>
      </c>
      <c r="K545" s="350">
        <v>2459663.3966937638</v>
      </c>
      <c r="L545" s="350">
        <v>2485256.8964829072</v>
      </c>
      <c r="M545" s="350">
        <v>2508850.8985072374</v>
      </c>
      <c r="N545" s="350">
        <v>2530378.2594804019</v>
      </c>
      <c r="O545" s="348">
        <v>19889940.703325219</v>
      </c>
      <c r="P545" s="369"/>
      <c r="Q545" s="350">
        <f t="shared" si="237"/>
        <v>2383751.227117531</v>
      </c>
      <c r="R545" s="350">
        <f t="shared" si="238"/>
        <v>2413199.9600847047</v>
      </c>
      <c r="S545" s="350">
        <f t="shared" si="239"/>
        <v>2440769.7863109284</v>
      </c>
      <c r="T545" s="350">
        <f t="shared" si="240"/>
        <v>2466393.2945881723</v>
      </c>
      <c r="U545" s="350">
        <f t="shared" si="241"/>
        <v>2490003.2379657212</v>
      </c>
      <c r="V545" s="350">
        <f t="shared" si="242"/>
        <v>12194117.50606706</v>
      </c>
      <c r="W545" s="365"/>
      <c r="X545" s="377">
        <f t="shared" si="220"/>
        <v>0</v>
      </c>
      <c r="Y545" s="377">
        <f t="shared" si="221"/>
        <v>0</v>
      </c>
      <c r="Z545" s="377">
        <f t="shared" si="222"/>
        <v>0</v>
      </c>
      <c r="AA545" s="377">
        <f t="shared" si="223"/>
        <v>0</v>
      </c>
      <c r="AB545" s="377">
        <f t="shared" si="224"/>
        <v>0</v>
      </c>
      <c r="AC545" s="377">
        <f t="shared" si="225"/>
        <v>0</v>
      </c>
      <c r="AD545" s="376"/>
      <c r="AE545" s="332">
        <v>530</v>
      </c>
      <c r="AF545" s="350">
        <v>4921409.2457725769</v>
      </c>
      <c r="AG545" s="350">
        <v>30399.411031699638</v>
      </c>
      <c r="AH545" s="350">
        <v>29106.369361125078</v>
      </c>
      <c r="AI545" s="350">
        <v>27778.53398612317</v>
      </c>
      <c r="AJ545" s="350">
        <v>26415.972730677298</v>
      </c>
      <c r="AK545" s="348">
        <v>5035109.5328822024</v>
      </c>
      <c r="AL545" s="369"/>
      <c r="AM545" s="350">
        <v>6774768.871632807</v>
      </c>
      <c r="AN545" s="350">
        <v>1906655.340874159</v>
      </c>
      <c r="AO545" s="350">
        <v>1926797.7586753583</v>
      </c>
      <c r="AP545" s="350">
        <v>1945392.1262440605</v>
      </c>
      <c r="AQ545" s="350">
        <v>1962386.2270962226</v>
      </c>
      <c r="AR545" s="348">
        <v>14516000.324522607</v>
      </c>
      <c r="AS545" s="369"/>
      <c r="AT545" s="350">
        <f t="shared" si="243"/>
        <v>1853359.6258602301</v>
      </c>
      <c r="AU545" s="350">
        <f t="shared" si="226"/>
        <v>1876255.9298424593</v>
      </c>
      <c r="AV545" s="350">
        <f t="shared" si="227"/>
        <v>1897691.3893142331</v>
      </c>
      <c r="AW545" s="350">
        <f t="shared" si="228"/>
        <v>1917613.5922579372</v>
      </c>
      <c r="AX545" s="350">
        <f t="shared" si="229"/>
        <v>1935970.2543655452</v>
      </c>
      <c r="AY545" s="350">
        <f t="shared" si="230"/>
        <v>9480890.7916404046</v>
      </c>
      <c r="AZ545" s="365"/>
      <c r="BA545" s="377">
        <f t="shared" si="231"/>
        <v>0</v>
      </c>
      <c r="BB545" s="377">
        <f t="shared" si="232"/>
        <v>0</v>
      </c>
      <c r="BC545" s="377">
        <f t="shared" si="233"/>
        <v>0</v>
      </c>
      <c r="BD545" s="377">
        <f t="shared" si="234"/>
        <v>0</v>
      </c>
      <c r="BE545" s="377">
        <f t="shared" si="235"/>
        <v>0</v>
      </c>
      <c r="BF545" s="377">
        <f t="shared" si="236"/>
        <v>0</v>
      </c>
      <c r="BG545" s="328"/>
    </row>
    <row r="546" spans="2:59">
      <c r="B546" s="332">
        <v>531</v>
      </c>
      <c r="C546" s="350">
        <v>7000230.0002050344</v>
      </c>
      <c r="D546" s="350">
        <v>43240.230280678967</v>
      </c>
      <c r="E546" s="350">
        <v>41401.003213422271</v>
      </c>
      <c r="F546" s="350">
        <v>39512.285457340695</v>
      </c>
      <c r="G546" s="350">
        <v>37574.173485518368</v>
      </c>
      <c r="H546" s="348">
        <v>7161957.6926419949</v>
      </c>
      <c r="I546" s="369"/>
      <c r="J546" s="350">
        <v>9119469.2102878839</v>
      </c>
      <c r="K546" s="350">
        <v>2188660.4062635466</v>
      </c>
      <c r="L546" s="350">
        <v>2211331.7305026175</v>
      </c>
      <c r="M546" s="350">
        <v>2232223.2185093141</v>
      </c>
      <c r="N546" s="350">
        <v>2251275.18183744</v>
      </c>
      <c r="O546" s="348">
        <v>18002959.747400805</v>
      </c>
      <c r="P546" s="369"/>
      <c r="Q546" s="350">
        <f t="shared" si="237"/>
        <v>2119239.2100828495</v>
      </c>
      <c r="R546" s="350">
        <f t="shared" si="238"/>
        <v>2145420.1759828674</v>
      </c>
      <c r="S546" s="350">
        <f t="shared" si="239"/>
        <v>2169930.7272891952</v>
      </c>
      <c r="T546" s="350">
        <f t="shared" si="240"/>
        <v>2192710.9330519736</v>
      </c>
      <c r="U546" s="350">
        <f t="shared" si="241"/>
        <v>2213701.0083519216</v>
      </c>
      <c r="V546" s="350">
        <f t="shared" si="242"/>
        <v>10841002.05475881</v>
      </c>
      <c r="W546" s="365"/>
      <c r="X546" s="377">
        <f t="shared" si="220"/>
        <v>0</v>
      </c>
      <c r="Y546" s="377">
        <f t="shared" si="221"/>
        <v>0</v>
      </c>
      <c r="Z546" s="377">
        <f t="shared" si="222"/>
        <v>0</v>
      </c>
      <c r="AA546" s="377">
        <f t="shared" si="223"/>
        <v>0</v>
      </c>
      <c r="AB546" s="377">
        <f t="shared" si="224"/>
        <v>0</v>
      </c>
      <c r="AC546" s="377">
        <f t="shared" si="225"/>
        <v>0</v>
      </c>
      <c r="AD546" s="376"/>
      <c r="AE546" s="332">
        <v>531</v>
      </c>
      <c r="AF546" s="350">
        <v>5032585.7966722334</v>
      </c>
      <c r="AG546" s="350">
        <v>31086.145562218418</v>
      </c>
      <c r="AH546" s="350">
        <v>29763.893576889506</v>
      </c>
      <c r="AI546" s="350">
        <v>28406.061883803239</v>
      </c>
      <c r="AJ546" s="350">
        <v>27012.719839115689</v>
      </c>
      <c r="AK546" s="348">
        <v>5148854.6175342603</v>
      </c>
      <c r="AL546" s="369"/>
      <c r="AM546" s="350">
        <v>6863375.7418382633</v>
      </c>
      <c r="AN546" s="350">
        <v>1884493.5701031303</v>
      </c>
      <c r="AO546" s="350">
        <v>1904345.7427266906</v>
      </c>
      <c r="AP546" s="350">
        <v>1922667.5071173699</v>
      </c>
      <c r="AQ546" s="350">
        <v>1939407.2850265726</v>
      </c>
      <c r="AR546" s="348">
        <v>14514289.846812027</v>
      </c>
      <c r="AS546" s="369"/>
      <c r="AT546" s="350">
        <f t="shared" si="243"/>
        <v>1830789.94516603</v>
      </c>
      <c r="AU546" s="350">
        <f t="shared" si="226"/>
        <v>1853407.4245409118</v>
      </c>
      <c r="AV546" s="350">
        <f t="shared" si="227"/>
        <v>1874581.8491498011</v>
      </c>
      <c r="AW546" s="350">
        <f t="shared" si="228"/>
        <v>1894261.4452335667</v>
      </c>
      <c r="AX546" s="350">
        <f t="shared" si="229"/>
        <v>1912394.565187457</v>
      </c>
      <c r="AY546" s="350">
        <f t="shared" si="230"/>
        <v>9365435.2292777672</v>
      </c>
      <c r="AZ546" s="365"/>
      <c r="BA546" s="377">
        <f t="shared" si="231"/>
        <v>0</v>
      </c>
      <c r="BB546" s="377">
        <f t="shared" si="232"/>
        <v>0</v>
      </c>
      <c r="BC546" s="377">
        <f t="shared" si="233"/>
        <v>0</v>
      </c>
      <c r="BD546" s="377">
        <f t="shared" si="234"/>
        <v>0</v>
      </c>
      <c r="BE546" s="377">
        <f t="shared" si="235"/>
        <v>0</v>
      </c>
      <c r="BF546" s="377">
        <f t="shared" si="236"/>
        <v>0</v>
      </c>
      <c r="BG546" s="328"/>
    </row>
    <row r="547" spans="2:59">
      <c r="B547" s="332">
        <v>532</v>
      </c>
      <c r="C547" s="350">
        <v>8212923.6748558618</v>
      </c>
      <c r="D547" s="350">
        <v>50731.006119514939</v>
      </c>
      <c r="E547" s="350">
        <v>48573.158231134541</v>
      </c>
      <c r="F547" s="350">
        <v>46357.246072023918</v>
      </c>
      <c r="G547" s="350">
        <v>44083.382827894311</v>
      </c>
      <c r="H547" s="348">
        <v>8402668.46810643</v>
      </c>
      <c r="I547" s="369"/>
      <c r="J547" s="350">
        <v>10967034.199416656</v>
      </c>
      <c r="K547" s="350">
        <v>2838865.6622579759</v>
      </c>
      <c r="L547" s="350">
        <v>2868561.1167218592</v>
      </c>
      <c r="M547" s="350">
        <v>2895949.7929190011</v>
      </c>
      <c r="N547" s="350">
        <v>2920954.1090421984</v>
      </c>
      <c r="O547" s="348">
        <v>22491364.88035769</v>
      </c>
      <c r="P547" s="369"/>
      <c r="Q547" s="350">
        <f t="shared" si="237"/>
        <v>2754110.5245607942</v>
      </c>
      <c r="R547" s="350">
        <f t="shared" si="238"/>
        <v>2788134.6561384611</v>
      </c>
      <c r="S547" s="350">
        <f t="shared" si="239"/>
        <v>2819987.9584907247</v>
      </c>
      <c r="T547" s="350">
        <f t="shared" si="240"/>
        <v>2849592.546846977</v>
      </c>
      <c r="U547" s="350">
        <f t="shared" si="241"/>
        <v>2876870.7262143041</v>
      </c>
      <c r="V547" s="350">
        <f t="shared" si="242"/>
        <v>14088696.41225126</v>
      </c>
      <c r="W547" s="365"/>
      <c r="X547" s="377">
        <f t="shared" si="220"/>
        <v>0</v>
      </c>
      <c r="Y547" s="377">
        <f t="shared" si="221"/>
        <v>0</v>
      </c>
      <c r="Z547" s="377">
        <f t="shared" si="222"/>
        <v>0</v>
      </c>
      <c r="AA547" s="377">
        <f t="shared" si="223"/>
        <v>0</v>
      </c>
      <c r="AB547" s="377">
        <f t="shared" si="224"/>
        <v>0</v>
      </c>
      <c r="AC547" s="377">
        <f t="shared" si="225"/>
        <v>0</v>
      </c>
      <c r="AD547" s="376"/>
      <c r="AE547" s="332">
        <v>532</v>
      </c>
      <c r="AF547" s="350">
        <v>5236528.3192815594</v>
      </c>
      <c r="AG547" s="350">
        <v>32345.892976431092</v>
      </c>
      <c r="AH547" s="350">
        <v>30970.057522024574</v>
      </c>
      <c r="AI547" s="350">
        <v>29557.200513532738</v>
      </c>
      <c r="AJ547" s="350">
        <v>28107.39411772829</v>
      </c>
      <c r="AK547" s="348">
        <v>5357508.8644112758</v>
      </c>
      <c r="AL547" s="369"/>
      <c r="AM547" s="350">
        <v>7060670.1814602083</v>
      </c>
      <c r="AN547" s="350">
        <v>1879023.104474437</v>
      </c>
      <c r="AO547" s="350">
        <v>1898744.8036872966</v>
      </c>
      <c r="AP547" s="350">
        <v>1916940.0809390715</v>
      </c>
      <c r="AQ547" s="350">
        <v>1933557.5483379122</v>
      </c>
      <c r="AR547" s="348">
        <v>14688935.718898926</v>
      </c>
      <c r="AS547" s="369"/>
      <c r="AT547" s="350">
        <f t="shared" si="243"/>
        <v>1824141.8621786488</v>
      </c>
      <c r="AU547" s="350">
        <f t="shared" si="226"/>
        <v>1846677.2114980058</v>
      </c>
      <c r="AV547" s="350">
        <f t="shared" si="227"/>
        <v>1867774.7461652721</v>
      </c>
      <c r="AW547" s="350">
        <f t="shared" si="228"/>
        <v>1887382.8804255386</v>
      </c>
      <c r="AX547" s="350">
        <f t="shared" si="229"/>
        <v>1905450.1542201838</v>
      </c>
      <c r="AY547" s="350">
        <f t="shared" si="230"/>
        <v>9331426.8544876501</v>
      </c>
      <c r="AZ547" s="365"/>
      <c r="BA547" s="377">
        <f t="shared" si="231"/>
        <v>0</v>
      </c>
      <c r="BB547" s="377">
        <f t="shared" si="232"/>
        <v>0</v>
      </c>
      <c r="BC547" s="377">
        <f t="shared" si="233"/>
        <v>0</v>
      </c>
      <c r="BD547" s="377">
        <f t="shared" si="234"/>
        <v>0</v>
      </c>
      <c r="BE547" s="377">
        <f t="shared" si="235"/>
        <v>0</v>
      </c>
      <c r="BF547" s="377">
        <f t="shared" si="236"/>
        <v>0</v>
      </c>
      <c r="BG547" s="328"/>
    </row>
    <row r="548" spans="2:59">
      <c r="B548" s="332">
        <v>533</v>
      </c>
      <c r="C548" s="350">
        <v>5725432.2648629304</v>
      </c>
      <c r="D548" s="350">
        <v>35365.839348401176</v>
      </c>
      <c r="E548" s="350">
        <v>33861.550204618026</v>
      </c>
      <c r="F548" s="350">
        <v>32316.783021316878</v>
      </c>
      <c r="G548" s="350">
        <v>30731.616703057171</v>
      </c>
      <c r="H548" s="348">
        <v>5857708.0541403228</v>
      </c>
      <c r="I548" s="369"/>
      <c r="J548" s="350">
        <v>7624533.1326756217</v>
      </c>
      <c r="K548" s="350">
        <v>1957928.0959577621</v>
      </c>
      <c r="L548" s="350">
        <v>1978388.2972004118</v>
      </c>
      <c r="M548" s="350">
        <v>1997257.4164378648</v>
      </c>
      <c r="N548" s="350">
        <v>2014481.9578807368</v>
      </c>
      <c r="O548" s="348">
        <v>15572588.900152396</v>
      </c>
      <c r="P548" s="369"/>
      <c r="Q548" s="350">
        <f t="shared" si="237"/>
        <v>1899100.8678126913</v>
      </c>
      <c r="R548" s="350">
        <f t="shared" si="238"/>
        <v>1922562.2566093609</v>
      </c>
      <c r="S548" s="350">
        <f t="shared" si="239"/>
        <v>1944526.7469957937</v>
      </c>
      <c r="T548" s="350">
        <f t="shared" si="240"/>
        <v>1964940.6334165479</v>
      </c>
      <c r="U548" s="350">
        <f t="shared" si="241"/>
        <v>1983750.3411776796</v>
      </c>
      <c r="V548" s="350">
        <f t="shared" si="242"/>
        <v>9714880.8460120745</v>
      </c>
      <c r="W548" s="365"/>
      <c r="X548" s="377">
        <f t="shared" si="220"/>
        <v>0</v>
      </c>
      <c r="Y548" s="377">
        <f t="shared" si="221"/>
        <v>0</v>
      </c>
      <c r="Z548" s="377">
        <f t="shared" si="222"/>
        <v>0</v>
      </c>
      <c r="AA548" s="377">
        <f t="shared" si="223"/>
        <v>0</v>
      </c>
      <c r="AB548" s="377">
        <f t="shared" si="224"/>
        <v>0</v>
      </c>
      <c r="AC548" s="377">
        <f t="shared" si="225"/>
        <v>0</v>
      </c>
      <c r="AD548" s="376"/>
      <c r="AE548" s="332">
        <v>533</v>
      </c>
      <c r="AF548" s="350">
        <v>5776043.6362933125</v>
      </c>
      <c r="AG548" s="350">
        <v>35678.464412921254</v>
      </c>
      <c r="AH548" s="350">
        <v>34160.877734022048</v>
      </c>
      <c r="AI548" s="350">
        <v>32602.455199986201</v>
      </c>
      <c r="AJ548" s="350">
        <v>31003.276412868618</v>
      </c>
      <c r="AK548" s="348">
        <v>5909488.7100531105</v>
      </c>
      <c r="AL548" s="369"/>
      <c r="AM548" s="350">
        <v>7179819.6588820964</v>
      </c>
      <c r="AN548" s="350">
        <v>1456796.6596095932</v>
      </c>
      <c r="AO548" s="350">
        <v>1471514.7692412152</v>
      </c>
      <c r="AP548" s="350">
        <v>1485045.868686239</v>
      </c>
      <c r="AQ548" s="350">
        <v>1497350.4362427203</v>
      </c>
      <c r="AR548" s="348">
        <v>13090527.392661864</v>
      </c>
      <c r="AS548" s="369"/>
      <c r="AT548" s="350">
        <f t="shared" si="243"/>
        <v>1403776.0225887839</v>
      </c>
      <c r="AU548" s="350">
        <f t="shared" si="226"/>
        <v>1421118.1951966719</v>
      </c>
      <c r="AV548" s="350">
        <f t="shared" si="227"/>
        <v>1437353.8915071932</v>
      </c>
      <c r="AW548" s="350">
        <f t="shared" si="228"/>
        <v>1452443.4134862528</v>
      </c>
      <c r="AX548" s="350">
        <f t="shared" si="229"/>
        <v>1466347.1598298517</v>
      </c>
      <c r="AY548" s="350">
        <f t="shared" si="230"/>
        <v>7181038.6826087534</v>
      </c>
      <c r="AZ548" s="365"/>
      <c r="BA548" s="377">
        <f t="shared" si="231"/>
        <v>0</v>
      </c>
      <c r="BB548" s="377">
        <f t="shared" si="232"/>
        <v>0</v>
      </c>
      <c r="BC548" s="377">
        <f t="shared" si="233"/>
        <v>0</v>
      </c>
      <c r="BD548" s="377">
        <f t="shared" si="234"/>
        <v>0</v>
      </c>
      <c r="BE548" s="377">
        <f t="shared" si="235"/>
        <v>0</v>
      </c>
      <c r="BF548" s="377">
        <f t="shared" si="236"/>
        <v>0</v>
      </c>
      <c r="BG548" s="328"/>
    </row>
    <row r="549" spans="2:59">
      <c r="B549" s="332">
        <v>534</v>
      </c>
      <c r="C549" s="350">
        <v>6775719.1692926148</v>
      </c>
      <c r="D549" s="350">
        <v>41853.432985608641</v>
      </c>
      <c r="E549" s="350">
        <v>40073.1934654867</v>
      </c>
      <c r="F549" s="350">
        <v>38245.050518061187</v>
      </c>
      <c r="G549" s="350">
        <v>36369.097522322001</v>
      </c>
      <c r="H549" s="348">
        <v>6932259.9437840935</v>
      </c>
      <c r="I549" s="369"/>
      <c r="J549" s="350">
        <v>8902428.7762015238</v>
      </c>
      <c r="K549" s="350">
        <v>2194836.2946704836</v>
      </c>
      <c r="L549" s="350">
        <v>2217653.0070592333</v>
      </c>
      <c r="M549" s="350">
        <v>2238685.3709449051</v>
      </c>
      <c r="N549" s="350">
        <v>2257873.4840431437</v>
      </c>
      <c r="O549" s="348">
        <v>17811476.93291929</v>
      </c>
      <c r="P549" s="369"/>
      <c r="Q549" s="350">
        <f t="shared" si="237"/>
        <v>2126709.606908909</v>
      </c>
      <c r="R549" s="350">
        <f t="shared" si="238"/>
        <v>2152982.8616848751</v>
      </c>
      <c r="S549" s="350">
        <f t="shared" si="239"/>
        <v>2177579.8135937466</v>
      </c>
      <c r="T549" s="350">
        <f t="shared" si="240"/>
        <v>2200440.3204268441</v>
      </c>
      <c r="U549" s="350">
        <f t="shared" si="241"/>
        <v>2221504.3865208216</v>
      </c>
      <c r="V549" s="350">
        <f t="shared" si="242"/>
        <v>10879216.989135196</v>
      </c>
      <c r="W549" s="365"/>
      <c r="X549" s="377">
        <f t="shared" si="220"/>
        <v>0</v>
      </c>
      <c r="Y549" s="377">
        <f t="shared" si="221"/>
        <v>0</v>
      </c>
      <c r="Z549" s="377">
        <f t="shared" si="222"/>
        <v>0</v>
      </c>
      <c r="AA549" s="377">
        <f t="shared" si="223"/>
        <v>0</v>
      </c>
      <c r="AB549" s="377">
        <f t="shared" si="224"/>
        <v>0</v>
      </c>
      <c r="AC549" s="377">
        <f t="shared" si="225"/>
        <v>0</v>
      </c>
      <c r="AD549" s="376"/>
      <c r="AE549" s="332">
        <v>534</v>
      </c>
      <c r="AF549" s="350">
        <v>5006196.2412112039</v>
      </c>
      <c r="AG549" s="350">
        <v>30923.137996023099</v>
      </c>
      <c r="AH549" s="350">
        <v>29607.819552119647</v>
      </c>
      <c r="AI549" s="350">
        <v>28257.107971082678</v>
      </c>
      <c r="AJ549" s="350">
        <v>26871.072245384406</v>
      </c>
      <c r="AK549" s="348">
        <v>5121855.3789758142</v>
      </c>
      <c r="AL549" s="369"/>
      <c r="AM549" s="350">
        <v>7426029.9725834392</v>
      </c>
      <c r="AN549" s="350">
        <v>2480651.3636298552</v>
      </c>
      <c r="AO549" s="350">
        <v>2507323.1919617346</v>
      </c>
      <c r="AP549" s="350">
        <v>2531983.8480687332</v>
      </c>
      <c r="AQ549" s="350">
        <v>2554565.1360850669</v>
      </c>
      <c r="AR549" s="348">
        <v>17500553.51232883</v>
      </c>
      <c r="AS549" s="369"/>
      <c r="AT549" s="350">
        <f t="shared" si="243"/>
        <v>2419833.7313722353</v>
      </c>
      <c r="AU549" s="350">
        <f t="shared" si="226"/>
        <v>2449728.2256338322</v>
      </c>
      <c r="AV549" s="350">
        <f t="shared" si="227"/>
        <v>2477715.3724096147</v>
      </c>
      <c r="AW549" s="350">
        <f t="shared" si="228"/>
        <v>2503726.7400976503</v>
      </c>
      <c r="AX549" s="350">
        <f t="shared" si="229"/>
        <v>2527694.0638396824</v>
      </c>
      <c r="AY549" s="350">
        <f t="shared" si="230"/>
        <v>12378698.133353015</v>
      </c>
      <c r="AZ549" s="365"/>
      <c r="BA549" s="377">
        <f t="shared" si="231"/>
        <v>0</v>
      </c>
      <c r="BB549" s="377">
        <f t="shared" si="232"/>
        <v>0</v>
      </c>
      <c r="BC549" s="377">
        <f t="shared" si="233"/>
        <v>0</v>
      </c>
      <c r="BD549" s="377">
        <f t="shared" si="234"/>
        <v>0</v>
      </c>
      <c r="BE549" s="377">
        <f t="shared" si="235"/>
        <v>0</v>
      </c>
      <c r="BF549" s="377">
        <f t="shared" si="236"/>
        <v>0</v>
      </c>
      <c r="BG549" s="328"/>
    </row>
    <row r="550" spans="2:59">
      <c r="B550" s="332">
        <v>535</v>
      </c>
      <c r="C550" s="350">
        <v>3488011.6120537766</v>
      </c>
      <c r="D550" s="350">
        <v>21545.352841616834</v>
      </c>
      <c r="E550" s="350">
        <v>20628.919329059321</v>
      </c>
      <c r="F550" s="350">
        <v>19687.826041423959</v>
      </c>
      <c r="G550" s="350">
        <v>18722.121048446388</v>
      </c>
      <c r="H550" s="348">
        <v>3568595.831314323</v>
      </c>
      <c r="I550" s="369"/>
      <c r="J550" s="350">
        <v>5525724.590256949</v>
      </c>
      <c r="K550" s="350">
        <v>2084432.1263117595</v>
      </c>
      <c r="L550" s="350">
        <v>2107083.3336120886</v>
      </c>
      <c r="M550" s="350">
        <v>2128046.1012515733</v>
      </c>
      <c r="N550" s="350">
        <v>2147262.992281104</v>
      </c>
      <c r="O550" s="348">
        <v>13992549.143713472</v>
      </c>
      <c r="P550" s="369"/>
      <c r="Q550" s="350">
        <f t="shared" si="237"/>
        <v>2037712.9782031723</v>
      </c>
      <c r="R550" s="350">
        <f t="shared" si="238"/>
        <v>2062886.7734701426</v>
      </c>
      <c r="S550" s="350">
        <f t="shared" si="239"/>
        <v>2086454.4142830293</v>
      </c>
      <c r="T550" s="350">
        <f t="shared" si="240"/>
        <v>2108358.2752101491</v>
      </c>
      <c r="U550" s="350">
        <f t="shared" si="241"/>
        <v>2128540.8712326577</v>
      </c>
      <c r="V550" s="350">
        <f t="shared" si="242"/>
        <v>10423953.312399149</v>
      </c>
      <c r="W550" s="365"/>
      <c r="X550" s="377">
        <f t="shared" si="220"/>
        <v>0</v>
      </c>
      <c r="Y550" s="377">
        <f t="shared" si="221"/>
        <v>0</v>
      </c>
      <c r="Z550" s="377">
        <f t="shared" si="222"/>
        <v>0</v>
      </c>
      <c r="AA550" s="377">
        <f t="shared" si="223"/>
        <v>0</v>
      </c>
      <c r="AB550" s="377">
        <f t="shared" si="224"/>
        <v>0</v>
      </c>
      <c r="AC550" s="377">
        <f t="shared" si="225"/>
        <v>0</v>
      </c>
      <c r="AD550" s="376"/>
      <c r="AE550" s="332">
        <v>535</v>
      </c>
      <c r="AF550" s="350">
        <v>6525220.3259984786</v>
      </c>
      <c r="AG550" s="350">
        <v>40306.108445018057</v>
      </c>
      <c r="AH550" s="350">
        <v>38591.684512799431</v>
      </c>
      <c r="AI550" s="350">
        <v>36831.128146555136</v>
      </c>
      <c r="AJ550" s="350">
        <v>35024.52927305286</v>
      </c>
      <c r="AK550" s="348">
        <v>6675973.7763759037</v>
      </c>
      <c r="AL550" s="369"/>
      <c r="AM550" s="350">
        <v>8286633.1513675088</v>
      </c>
      <c r="AN550" s="350">
        <v>1823479.3320255522</v>
      </c>
      <c r="AO550" s="350">
        <v>1842136.9355749076</v>
      </c>
      <c r="AP550" s="350">
        <v>1859310.2241489589</v>
      </c>
      <c r="AQ550" s="350">
        <v>1874949.5972369402</v>
      </c>
      <c r="AR550" s="348">
        <v>15686509.240353869</v>
      </c>
      <c r="AS550" s="369"/>
      <c r="AT550" s="350">
        <f t="shared" si="243"/>
        <v>1761412.8253690302</v>
      </c>
      <c r="AU550" s="350">
        <f t="shared" si="226"/>
        <v>1783173.2235805341</v>
      </c>
      <c r="AV550" s="350">
        <f t="shared" si="227"/>
        <v>1803545.2510621082</v>
      </c>
      <c r="AW550" s="350">
        <f t="shared" si="228"/>
        <v>1822479.0960024039</v>
      </c>
      <c r="AX550" s="350">
        <f t="shared" si="229"/>
        <v>1839925.0679638872</v>
      </c>
      <c r="AY550" s="350">
        <f t="shared" si="230"/>
        <v>9010535.4639779665</v>
      </c>
      <c r="AZ550" s="365"/>
      <c r="BA550" s="377">
        <f t="shared" si="231"/>
        <v>0</v>
      </c>
      <c r="BB550" s="377">
        <f t="shared" si="232"/>
        <v>0</v>
      </c>
      <c r="BC550" s="377">
        <f t="shared" si="233"/>
        <v>0</v>
      </c>
      <c r="BD550" s="377">
        <f t="shared" si="234"/>
        <v>0</v>
      </c>
      <c r="BE550" s="377">
        <f t="shared" si="235"/>
        <v>0</v>
      </c>
      <c r="BF550" s="377">
        <f t="shared" si="236"/>
        <v>0</v>
      </c>
      <c r="BG550" s="328"/>
    </row>
    <row r="551" spans="2:59">
      <c r="B551" s="332">
        <v>536</v>
      </c>
      <c r="C551" s="350">
        <v>5307400.474987301</v>
      </c>
      <c r="D551" s="350">
        <v>32783.6683542561</v>
      </c>
      <c r="E551" s="350">
        <v>31389.212084949831</v>
      </c>
      <c r="F551" s="350">
        <v>29957.233204906795</v>
      </c>
      <c r="G551" s="350">
        <v>28487.804857619507</v>
      </c>
      <c r="H551" s="348">
        <v>5430018.393489033</v>
      </c>
      <c r="I551" s="369"/>
      <c r="J551" s="350">
        <v>7643921.0747931451</v>
      </c>
      <c r="K551" s="350">
        <v>2398169.5165271387</v>
      </c>
      <c r="L551" s="350">
        <v>2423798.6297385013</v>
      </c>
      <c r="M551" s="350">
        <v>2447482.4659015676</v>
      </c>
      <c r="N551" s="350">
        <v>2469155.1836114451</v>
      </c>
      <c r="O551" s="348">
        <v>17382526.8705718</v>
      </c>
      <c r="P551" s="369"/>
      <c r="Q551" s="350">
        <f t="shared" si="237"/>
        <v>2336520.599805844</v>
      </c>
      <c r="R551" s="350">
        <f t="shared" si="238"/>
        <v>2365385.8481728826</v>
      </c>
      <c r="S551" s="350">
        <f t="shared" si="239"/>
        <v>2392409.4176535513</v>
      </c>
      <c r="T551" s="350">
        <f t="shared" si="240"/>
        <v>2417525.2326966608</v>
      </c>
      <c r="U551" s="350">
        <f t="shared" si="241"/>
        <v>2440667.3787538256</v>
      </c>
      <c r="V551" s="350">
        <f t="shared" si="242"/>
        <v>11952508.477082767</v>
      </c>
      <c r="W551" s="365"/>
      <c r="X551" s="377">
        <f t="shared" si="220"/>
        <v>0</v>
      </c>
      <c r="Y551" s="377">
        <f t="shared" si="221"/>
        <v>0</v>
      </c>
      <c r="Z551" s="377">
        <f t="shared" si="222"/>
        <v>0</v>
      </c>
      <c r="AA551" s="377">
        <f t="shared" si="223"/>
        <v>0</v>
      </c>
      <c r="AB551" s="377">
        <f t="shared" si="224"/>
        <v>0</v>
      </c>
      <c r="AC551" s="377">
        <f t="shared" si="225"/>
        <v>0</v>
      </c>
      <c r="AD551" s="376"/>
      <c r="AE551" s="332">
        <v>536</v>
      </c>
      <c r="AF551" s="350">
        <v>5678775.7380254557</v>
      </c>
      <c r="AG551" s="350">
        <v>35077.643251344933</v>
      </c>
      <c r="AH551" s="350">
        <v>33585.612554359715</v>
      </c>
      <c r="AI551" s="350">
        <v>32053.433673253388</v>
      </c>
      <c r="AJ551" s="350">
        <v>30481.184869592536</v>
      </c>
      <c r="AK551" s="348">
        <v>5809973.6123740049</v>
      </c>
      <c r="AL551" s="369"/>
      <c r="AM551" s="350">
        <v>7500462.041077178</v>
      </c>
      <c r="AN551" s="350">
        <v>1879268.9597785689</v>
      </c>
      <c r="AO551" s="350">
        <v>1898846.0634117464</v>
      </c>
      <c r="AP551" s="350">
        <v>1916895.6234024554</v>
      </c>
      <c r="AQ551" s="350">
        <v>1933366.3272263291</v>
      </c>
      <c r="AR551" s="348">
        <v>15128839.014896279</v>
      </c>
      <c r="AS551" s="369"/>
      <c r="AT551" s="350">
        <f t="shared" si="243"/>
        <v>1821686.3030517222</v>
      </c>
      <c r="AU551" s="350">
        <f t="shared" si="226"/>
        <v>1844191.3165272239</v>
      </c>
      <c r="AV551" s="350">
        <f t="shared" si="227"/>
        <v>1865260.4508573867</v>
      </c>
      <c r="AW551" s="350">
        <f t="shared" si="228"/>
        <v>1884842.1897292021</v>
      </c>
      <c r="AX551" s="350">
        <f t="shared" si="229"/>
        <v>1902885.1423567366</v>
      </c>
      <c r="AY551" s="350">
        <f t="shared" si="230"/>
        <v>9318865.4025222734</v>
      </c>
      <c r="AZ551" s="365"/>
      <c r="BA551" s="377">
        <f t="shared" si="231"/>
        <v>0</v>
      </c>
      <c r="BB551" s="377">
        <f t="shared" si="232"/>
        <v>0</v>
      </c>
      <c r="BC551" s="377">
        <f t="shared" si="233"/>
        <v>0</v>
      </c>
      <c r="BD551" s="377">
        <f t="shared" si="234"/>
        <v>0</v>
      </c>
      <c r="BE551" s="377">
        <f t="shared" si="235"/>
        <v>0</v>
      </c>
      <c r="BF551" s="377">
        <f t="shared" si="236"/>
        <v>0</v>
      </c>
      <c r="BG551" s="328"/>
    </row>
    <row r="552" spans="2:59">
      <c r="B552" s="332">
        <v>537</v>
      </c>
      <c r="C552" s="350">
        <v>6093504.0111656915</v>
      </c>
      <c r="D552" s="350">
        <v>37639.408512481779</v>
      </c>
      <c r="E552" s="350">
        <v>36038.41290070043</v>
      </c>
      <c r="F552" s="350">
        <v>34394.337031439158</v>
      </c>
      <c r="G552" s="350">
        <v>32707.264881801693</v>
      </c>
      <c r="H552" s="348">
        <v>6234283.434492114</v>
      </c>
      <c r="I552" s="369"/>
      <c r="J552" s="350">
        <v>8139660.1181889698</v>
      </c>
      <c r="K552" s="350">
        <v>2109073.6167568085</v>
      </c>
      <c r="L552" s="350">
        <v>2131137.9129173458</v>
      </c>
      <c r="M552" s="350">
        <v>2151488.4551728307</v>
      </c>
      <c r="N552" s="350">
        <v>2170067.6042961511</v>
      </c>
      <c r="O552" s="348">
        <v>16701427.707332106</v>
      </c>
      <c r="P552" s="369"/>
      <c r="Q552" s="350">
        <f t="shared" si="237"/>
        <v>2046156.1070232783</v>
      </c>
      <c r="R552" s="350">
        <f t="shared" si="238"/>
        <v>2071434.2082443268</v>
      </c>
      <c r="S552" s="350">
        <f t="shared" si="239"/>
        <v>2095099.5000166453</v>
      </c>
      <c r="T552" s="350">
        <f t="shared" si="240"/>
        <v>2117094.1181413918</v>
      </c>
      <c r="U552" s="350">
        <f t="shared" si="241"/>
        <v>2137360.3394143493</v>
      </c>
      <c r="V552" s="350">
        <f t="shared" si="242"/>
        <v>10467144.272839993</v>
      </c>
      <c r="W552" s="365"/>
      <c r="X552" s="377">
        <f t="shared" si="220"/>
        <v>0</v>
      </c>
      <c r="Y552" s="377">
        <f t="shared" si="221"/>
        <v>0</v>
      </c>
      <c r="Z552" s="377">
        <f t="shared" si="222"/>
        <v>0</v>
      </c>
      <c r="AA552" s="377">
        <f t="shared" si="223"/>
        <v>0</v>
      </c>
      <c r="AB552" s="377">
        <f t="shared" si="224"/>
        <v>0</v>
      </c>
      <c r="AC552" s="377">
        <f t="shared" si="225"/>
        <v>0</v>
      </c>
      <c r="AD552" s="376"/>
      <c r="AE552" s="332">
        <v>537</v>
      </c>
      <c r="AF552" s="350">
        <v>3942703.7547436981</v>
      </c>
      <c r="AG552" s="350">
        <v>24353.973837804289</v>
      </c>
      <c r="AH552" s="350">
        <v>23318.075379657017</v>
      </c>
      <c r="AI552" s="350">
        <v>22254.30253386006</v>
      </c>
      <c r="AJ552" s="350">
        <v>21162.709636455336</v>
      </c>
      <c r="AK552" s="348">
        <v>4033792.8161314749</v>
      </c>
      <c r="AL552" s="369"/>
      <c r="AM552" s="350">
        <v>5743176.3814366888</v>
      </c>
      <c r="AN552" s="350">
        <v>1847069.5414027323</v>
      </c>
      <c r="AO552" s="350">
        <v>1866857.4255936779</v>
      </c>
      <c r="AP552" s="350">
        <v>1885147.3607725236</v>
      </c>
      <c r="AQ552" s="350">
        <v>1901888.6089390134</v>
      </c>
      <c r="AR552" s="348">
        <v>13244139.318144638</v>
      </c>
      <c r="AS552" s="369"/>
      <c r="AT552" s="350">
        <f t="shared" si="243"/>
        <v>1800472.6266929908</v>
      </c>
      <c r="AU552" s="350">
        <f t="shared" si="226"/>
        <v>1822715.567564928</v>
      </c>
      <c r="AV552" s="350">
        <f t="shared" si="227"/>
        <v>1843539.3502140208</v>
      </c>
      <c r="AW552" s="350">
        <f t="shared" si="228"/>
        <v>1862893.0582386635</v>
      </c>
      <c r="AX552" s="350">
        <f t="shared" si="229"/>
        <v>1880725.899302558</v>
      </c>
      <c r="AY552" s="350">
        <f t="shared" si="230"/>
        <v>9210346.5020131636</v>
      </c>
      <c r="AZ552" s="365"/>
      <c r="BA552" s="377">
        <f t="shared" si="231"/>
        <v>0</v>
      </c>
      <c r="BB552" s="377">
        <f t="shared" si="232"/>
        <v>0</v>
      </c>
      <c r="BC552" s="377">
        <f t="shared" si="233"/>
        <v>0</v>
      </c>
      <c r="BD552" s="377">
        <f t="shared" si="234"/>
        <v>0</v>
      </c>
      <c r="BE552" s="377">
        <f t="shared" si="235"/>
        <v>0</v>
      </c>
      <c r="BF552" s="377">
        <f t="shared" si="236"/>
        <v>0</v>
      </c>
      <c r="BG552" s="328"/>
    </row>
    <row r="553" spans="2:59">
      <c r="B553" s="332">
        <v>538</v>
      </c>
      <c r="C553" s="350">
        <v>6040356.8277313709</v>
      </c>
      <c r="D553" s="350">
        <v>37311.119806196199</v>
      </c>
      <c r="E553" s="350">
        <v>35724.087983937061</v>
      </c>
      <c r="F553" s="350">
        <v>34094.351647664756</v>
      </c>
      <c r="G553" s="350">
        <v>32421.994042047674</v>
      </c>
      <c r="H553" s="348">
        <v>6179908.3812112166</v>
      </c>
      <c r="I553" s="369"/>
      <c r="J553" s="350">
        <v>8739030.0874554031</v>
      </c>
      <c r="K553" s="350">
        <v>2769323.6421542726</v>
      </c>
      <c r="L553" s="350">
        <v>2798948.7401740681</v>
      </c>
      <c r="M553" s="350">
        <v>2826327.6838634061</v>
      </c>
      <c r="N553" s="350">
        <v>2851384.4253901881</v>
      </c>
      <c r="O553" s="348">
        <v>19985014.579037338</v>
      </c>
      <c r="P553" s="369"/>
      <c r="Q553" s="350">
        <f t="shared" si="237"/>
        <v>2698673.2597240321</v>
      </c>
      <c r="R553" s="350">
        <f t="shared" si="238"/>
        <v>2732012.5223480766</v>
      </c>
      <c r="S553" s="350">
        <f t="shared" si="239"/>
        <v>2763224.6521901311</v>
      </c>
      <c r="T553" s="350">
        <f t="shared" si="240"/>
        <v>2792233.3322157413</v>
      </c>
      <c r="U553" s="350">
        <f t="shared" si="241"/>
        <v>2818962.4313481404</v>
      </c>
      <c r="V553" s="350">
        <f t="shared" si="242"/>
        <v>13805106.197826121</v>
      </c>
      <c r="W553" s="365"/>
      <c r="X553" s="377">
        <f t="shared" si="220"/>
        <v>0</v>
      </c>
      <c r="Y553" s="377">
        <f t="shared" si="221"/>
        <v>0</v>
      </c>
      <c r="Z553" s="377">
        <f t="shared" si="222"/>
        <v>0</v>
      </c>
      <c r="AA553" s="377">
        <f t="shared" si="223"/>
        <v>0</v>
      </c>
      <c r="AB553" s="377">
        <f t="shared" si="224"/>
        <v>0</v>
      </c>
      <c r="AC553" s="377">
        <f t="shared" si="225"/>
        <v>0</v>
      </c>
      <c r="AD553" s="376"/>
      <c r="AE553" s="332">
        <v>538</v>
      </c>
      <c r="AF553" s="350">
        <v>6205950.7923009982</v>
      </c>
      <c r="AG553" s="350">
        <v>38333.98922061098</v>
      </c>
      <c r="AH553" s="350">
        <v>36703.449556210042</v>
      </c>
      <c r="AI553" s="350">
        <v>35029.034650637303</v>
      </c>
      <c r="AJ553" s="350">
        <v>33310.830030680983</v>
      </c>
      <c r="AK553" s="348">
        <v>6349328.0957591375</v>
      </c>
      <c r="AL553" s="369"/>
      <c r="AM553" s="350">
        <v>8468797.3795226403</v>
      </c>
      <c r="AN553" s="350">
        <v>2329135.6600662046</v>
      </c>
      <c r="AO553" s="350">
        <v>2353676.5960476687</v>
      </c>
      <c r="AP553" s="350">
        <v>2376326.0567203024</v>
      </c>
      <c r="AQ553" s="350">
        <v>2397020.2914474616</v>
      </c>
      <c r="AR553" s="348">
        <v>17924955.983804274</v>
      </c>
      <c r="AS553" s="369"/>
      <c r="AT553" s="350">
        <f t="shared" si="243"/>
        <v>2262846.587221642</v>
      </c>
      <c r="AU553" s="350">
        <f t="shared" si="226"/>
        <v>2290801.6708455938</v>
      </c>
      <c r="AV553" s="350">
        <f t="shared" si="227"/>
        <v>2316973.1464914586</v>
      </c>
      <c r="AW553" s="350">
        <f t="shared" si="228"/>
        <v>2341297.0220696651</v>
      </c>
      <c r="AX553" s="350">
        <f t="shared" si="229"/>
        <v>2363709.4614167805</v>
      </c>
      <c r="AY553" s="350">
        <f t="shared" si="230"/>
        <v>11575627.888045136</v>
      </c>
      <c r="AZ553" s="365"/>
      <c r="BA553" s="377">
        <f t="shared" si="231"/>
        <v>0</v>
      </c>
      <c r="BB553" s="377">
        <f t="shared" si="232"/>
        <v>0</v>
      </c>
      <c r="BC553" s="377">
        <f t="shared" si="233"/>
        <v>0</v>
      </c>
      <c r="BD553" s="377">
        <f t="shared" si="234"/>
        <v>0</v>
      </c>
      <c r="BE553" s="377">
        <f t="shared" si="235"/>
        <v>0</v>
      </c>
      <c r="BF553" s="377">
        <f t="shared" si="236"/>
        <v>0</v>
      </c>
      <c r="BG553" s="328"/>
    </row>
    <row r="554" spans="2:59">
      <c r="B554" s="332">
        <v>539</v>
      </c>
      <c r="C554" s="350">
        <v>5869205.9282038333</v>
      </c>
      <c r="D554" s="350">
        <v>36253.925355713538</v>
      </c>
      <c r="E554" s="350">
        <v>34711.86139408061</v>
      </c>
      <c r="F554" s="350">
        <v>33128.302932378901</v>
      </c>
      <c r="G554" s="350">
        <v>31503.330856571207</v>
      </c>
      <c r="H554" s="348">
        <v>6004803.3487425772</v>
      </c>
      <c r="I554" s="369"/>
      <c r="J554" s="350">
        <v>7451144.4598107943</v>
      </c>
      <c r="K554" s="350">
        <v>1637735.6395136931</v>
      </c>
      <c r="L554" s="350">
        <v>1654489.8515731583</v>
      </c>
      <c r="M554" s="350">
        <v>1669910.9262282006</v>
      </c>
      <c r="N554" s="350">
        <v>1683954.3169971032</v>
      </c>
      <c r="O554" s="348">
        <v>14097235.19412295</v>
      </c>
      <c r="P554" s="369"/>
      <c r="Q554" s="350">
        <f t="shared" si="237"/>
        <v>1581938.531606961</v>
      </c>
      <c r="R554" s="350">
        <f t="shared" si="238"/>
        <v>1601481.7141579795</v>
      </c>
      <c r="S554" s="350">
        <f t="shared" si="239"/>
        <v>1619777.9901790777</v>
      </c>
      <c r="T554" s="350">
        <f t="shared" si="240"/>
        <v>1636782.6232958217</v>
      </c>
      <c r="U554" s="350">
        <f t="shared" si="241"/>
        <v>1652450.986140532</v>
      </c>
      <c r="V554" s="350">
        <f t="shared" si="242"/>
        <v>8092431.8453803724</v>
      </c>
      <c r="W554" s="365"/>
      <c r="X554" s="377">
        <f t="shared" si="220"/>
        <v>0</v>
      </c>
      <c r="Y554" s="377">
        <f t="shared" si="221"/>
        <v>0</v>
      </c>
      <c r="Z554" s="377">
        <f t="shared" si="222"/>
        <v>0</v>
      </c>
      <c r="AA554" s="377">
        <f t="shared" si="223"/>
        <v>0</v>
      </c>
      <c r="AB554" s="377">
        <f t="shared" si="224"/>
        <v>0</v>
      </c>
      <c r="AC554" s="377">
        <f t="shared" si="225"/>
        <v>0</v>
      </c>
      <c r="AD554" s="376"/>
      <c r="AE554" s="332">
        <v>539</v>
      </c>
      <c r="AF554" s="350">
        <v>5984297.6208322886</v>
      </c>
      <c r="AG554" s="350">
        <v>36964.84361018506</v>
      </c>
      <c r="AH554" s="350">
        <v>35392.540676934361</v>
      </c>
      <c r="AI554" s="350">
        <v>33777.929560755576</v>
      </c>
      <c r="AJ554" s="350">
        <v>32121.092733744004</v>
      </c>
      <c r="AK554" s="348">
        <v>6122554.0274139075</v>
      </c>
      <c r="AL554" s="369"/>
      <c r="AM554" s="350">
        <v>7660432.5318967048</v>
      </c>
      <c r="AN554" s="350">
        <v>1733806.6341724999</v>
      </c>
      <c r="AO554" s="350">
        <v>1751620.0572764557</v>
      </c>
      <c r="AP554" s="350">
        <v>1768022.6185391939</v>
      </c>
      <c r="AQ554" s="350">
        <v>1782967.1157327716</v>
      </c>
      <c r="AR554" s="348">
        <v>14696848.957617626</v>
      </c>
      <c r="AS554" s="369"/>
      <c r="AT554" s="350">
        <f t="shared" si="243"/>
        <v>1676134.9110644162</v>
      </c>
      <c r="AU554" s="350">
        <f t="shared" si="226"/>
        <v>1696841.7905623149</v>
      </c>
      <c r="AV554" s="350">
        <f t="shared" si="227"/>
        <v>1716227.5165995213</v>
      </c>
      <c r="AW554" s="350">
        <f t="shared" si="228"/>
        <v>1734244.6889784383</v>
      </c>
      <c r="AX554" s="350">
        <f t="shared" si="229"/>
        <v>1750846.0229990275</v>
      </c>
      <c r="AY554" s="350">
        <f t="shared" si="230"/>
        <v>8574294.9302037172</v>
      </c>
      <c r="AZ554" s="365"/>
      <c r="BA554" s="377">
        <f t="shared" si="231"/>
        <v>0</v>
      </c>
      <c r="BB554" s="377">
        <f t="shared" si="232"/>
        <v>0</v>
      </c>
      <c r="BC554" s="377">
        <f t="shared" si="233"/>
        <v>0</v>
      </c>
      <c r="BD554" s="377">
        <f t="shared" si="234"/>
        <v>0</v>
      </c>
      <c r="BE554" s="377">
        <f t="shared" si="235"/>
        <v>0</v>
      </c>
      <c r="BF554" s="377">
        <f t="shared" si="236"/>
        <v>0</v>
      </c>
      <c r="BG554" s="328"/>
    </row>
    <row r="555" spans="2:59">
      <c r="B555" s="332">
        <v>540</v>
      </c>
      <c r="C555" s="350">
        <v>6913568.5700605949</v>
      </c>
      <c r="D555" s="350">
        <v>42704.924984168487</v>
      </c>
      <c r="E555" s="350">
        <v>40888.467175636739</v>
      </c>
      <c r="F555" s="350">
        <v>39023.131362988934</v>
      </c>
      <c r="G555" s="350">
        <v>37109.012824989768</v>
      </c>
      <c r="H555" s="348">
        <v>7073294.1064083781</v>
      </c>
      <c r="I555" s="369"/>
      <c r="J555" s="350">
        <v>8835204.9616018869</v>
      </c>
      <c r="K555" s="350">
        <v>1988081.1079561824</v>
      </c>
      <c r="L555" s="350">
        <v>2008489.7803466802</v>
      </c>
      <c r="M555" s="350">
        <v>2027280.5706533859</v>
      </c>
      <c r="N555" s="350">
        <v>2044399.3637214364</v>
      </c>
      <c r="O555" s="348">
        <v>16903455.784279574</v>
      </c>
      <c r="P555" s="369"/>
      <c r="Q555" s="350">
        <f t="shared" si="237"/>
        <v>1921636.391541292</v>
      </c>
      <c r="R555" s="350">
        <f t="shared" si="238"/>
        <v>1945376.182972014</v>
      </c>
      <c r="S555" s="350">
        <f t="shared" si="239"/>
        <v>1967601.3131710435</v>
      </c>
      <c r="T555" s="350">
        <f t="shared" si="240"/>
        <v>1988257.4392903971</v>
      </c>
      <c r="U555" s="350">
        <f t="shared" si="241"/>
        <v>2007290.3508964465</v>
      </c>
      <c r="V555" s="350">
        <f t="shared" si="242"/>
        <v>9830161.6778711956</v>
      </c>
      <c r="W555" s="365"/>
      <c r="X555" s="377">
        <f t="shared" si="220"/>
        <v>0</v>
      </c>
      <c r="Y555" s="377">
        <f t="shared" si="221"/>
        <v>0</v>
      </c>
      <c r="Z555" s="377">
        <f t="shared" si="222"/>
        <v>0</v>
      </c>
      <c r="AA555" s="377">
        <f t="shared" si="223"/>
        <v>0</v>
      </c>
      <c r="AB555" s="377">
        <f t="shared" si="224"/>
        <v>0</v>
      </c>
      <c r="AC555" s="377">
        <f t="shared" si="225"/>
        <v>0</v>
      </c>
      <c r="AD555" s="376"/>
      <c r="AE555" s="332">
        <v>540</v>
      </c>
      <c r="AF555" s="350">
        <v>5647952.0128098577</v>
      </c>
      <c r="AG555" s="350">
        <v>34887.245939200511</v>
      </c>
      <c r="AH555" s="350">
        <v>33403.313808937681</v>
      </c>
      <c r="AI555" s="350">
        <v>31879.451414164283</v>
      </c>
      <c r="AJ555" s="350">
        <v>30315.736591652614</v>
      </c>
      <c r="AK555" s="348">
        <v>5778437.7605638131</v>
      </c>
      <c r="AL555" s="369"/>
      <c r="AM555" s="350">
        <v>7831912.9227737114</v>
      </c>
      <c r="AN555" s="350">
        <v>2245828.6901620911</v>
      </c>
      <c r="AO555" s="350">
        <v>2269603.8631295431</v>
      </c>
      <c r="AP555" s="350">
        <v>2291555.9154262985</v>
      </c>
      <c r="AQ555" s="350">
        <v>2311623.3141346136</v>
      </c>
      <c r="AR555" s="348">
        <v>16950524.705626257</v>
      </c>
      <c r="AS555" s="369"/>
      <c r="AT555" s="350">
        <f t="shared" si="243"/>
        <v>2183960.9099638537</v>
      </c>
      <c r="AU555" s="350">
        <f t="shared" si="226"/>
        <v>2210941.4442228908</v>
      </c>
      <c r="AV555" s="350">
        <f t="shared" si="227"/>
        <v>2236200.5493206056</v>
      </c>
      <c r="AW555" s="350">
        <f t="shared" si="228"/>
        <v>2259676.4640121344</v>
      </c>
      <c r="AX555" s="350">
        <f t="shared" si="229"/>
        <v>2281307.5775429611</v>
      </c>
      <c r="AY555" s="350">
        <f t="shared" si="230"/>
        <v>11172086.945062444</v>
      </c>
      <c r="AZ555" s="365"/>
      <c r="BA555" s="377">
        <f t="shared" si="231"/>
        <v>0</v>
      </c>
      <c r="BB555" s="377">
        <f t="shared" si="232"/>
        <v>0</v>
      </c>
      <c r="BC555" s="377">
        <f t="shared" si="233"/>
        <v>0</v>
      </c>
      <c r="BD555" s="377">
        <f t="shared" si="234"/>
        <v>0</v>
      </c>
      <c r="BE555" s="377">
        <f t="shared" si="235"/>
        <v>0</v>
      </c>
      <c r="BF555" s="377">
        <f t="shared" si="236"/>
        <v>0</v>
      </c>
      <c r="BG555" s="328"/>
    </row>
    <row r="556" spans="2:59">
      <c r="B556" s="332">
        <v>541</v>
      </c>
      <c r="C556" s="350">
        <v>7505851.8217856036</v>
      </c>
      <c r="D556" s="350">
        <v>46363.442517911513</v>
      </c>
      <c r="E556" s="350">
        <v>44391.369338451368</v>
      </c>
      <c r="F556" s="350">
        <v>42366.230791590533</v>
      </c>
      <c r="G556" s="350">
        <v>40288.130318589276</v>
      </c>
      <c r="H556" s="348">
        <v>7679260.9947521454</v>
      </c>
      <c r="I556" s="369"/>
      <c r="J556" s="350">
        <v>9321479.9121844433</v>
      </c>
      <c r="K556" s="350">
        <v>1884421.7035627491</v>
      </c>
      <c r="L556" s="350">
        <v>1903448.6970536304</v>
      </c>
      <c r="M556" s="350">
        <v>1920940.1762114542</v>
      </c>
      <c r="N556" s="350">
        <v>1936845.0245971063</v>
      </c>
      <c r="O556" s="348">
        <v>16967135.513609383</v>
      </c>
      <c r="P556" s="369"/>
      <c r="Q556" s="350">
        <f t="shared" si="237"/>
        <v>1815628.0903988397</v>
      </c>
      <c r="R556" s="350">
        <f t="shared" si="238"/>
        <v>1838058.2610448375</v>
      </c>
      <c r="S556" s="350">
        <f t="shared" si="239"/>
        <v>1859057.327715179</v>
      </c>
      <c r="T556" s="350">
        <f t="shared" si="240"/>
        <v>1878573.9454198636</v>
      </c>
      <c r="U556" s="350">
        <f t="shared" si="241"/>
        <v>1896556.894278517</v>
      </c>
      <c r="V556" s="350">
        <f t="shared" si="242"/>
        <v>9287874.518857237</v>
      </c>
      <c r="W556" s="365"/>
      <c r="X556" s="377">
        <f t="shared" si="220"/>
        <v>0</v>
      </c>
      <c r="Y556" s="377">
        <f t="shared" si="221"/>
        <v>0</v>
      </c>
      <c r="Z556" s="377">
        <f t="shared" si="222"/>
        <v>0</v>
      </c>
      <c r="AA556" s="377">
        <f t="shared" si="223"/>
        <v>0</v>
      </c>
      <c r="AB556" s="377">
        <f t="shared" si="224"/>
        <v>0</v>
      </c>
      <c r="AC556" s="377">
        <f t="shared" si="225"/>
        <v>0</v>
      </c>
      <c r="AD556" s="376"/>
      <c r="AE556" s="332">
        <v>541</v>
      </c>
      <c r="AF556" s="350">
        <v>5605246.7472656537</v>
      </c>
      <c r="AG556" s="350">
        <v>34623.456675664478</v>
      </c>
      <c r="AH556" s="350">
        <v>33150.744845350957</v>
      </c>
      <c r="AI556" s="350">
        <v>31638.404671034303</v>
      </c>
      <c r="AJ556" s="350">
        <v>30086.513400949189</v>
      </c>
      <c r="AK556" s="348">
        <v>5734745.8668586528</v>
      </c>
      <c r="AL556" s="369"/>
      <c r="AM556" s="350">
        <v>7425861.2737979963</v>
      </c>
      <c r="AN556" s="350">
        <v>1877729.7560146998</v>
      </c>
      <c r="AO556" s="350">
        <v>1897313.782635292</v>
      </c>
      <c r="AP556" s="350">
        <v>1915371.6605523496</v>
      </c>
      <c r="AQ556" s="350">
        <v>1931852.106463586</v>
      </c>
      <c r="AR556" s="348">
        <v>15048128.579463921</v>
      </c>
      <c r="AS556" s="369"/>
      <c r="AT556" s="350">
        <f t="shared" si="243"/>
        <v>1820614.5265323427</v>
      </c>
      <c r="AU556" s="350">
        <f t="shared" si="226"/>
        <v>1843106.2993390353</v>
      </c>
      <c r="AV556" s="350">
        <f t="shared" si="227"/>
        <v>1864163.0377899411</v>
      </c>
      <c r="AW556" s="350">
        <f t="shared" si="228"/>
        <v>1883733.2558813153</v>
      </c>
      <c r="AX556" s="350">
        <f t="shared" si="229"/>
        <v>1901765.5930626369</v>
      </c>
      <c r="AY556" s="350">
        <f t="shared" si="230"/>
        <v>9313382.7126052678</v>
      </c>
      <c r="AZ556" s="365"/>
      <c r="BA556" s="377">
        <f t="shared" si="231"/>
        <v>0</v>
      </c>
      <c r="BB556" s="377">
        <f t="shared" si="232"/>
        <v>0</v>
      </c>
      <c r="BC556" s="377">
        <f t="shared" si="233"/>
        <v>0</v>
      </c>
      <c r="BD556" s="377">
        <f t="shared" si="234"/>
        <v>0</v>
      </c>
      <c r="BE556" s="377">
        <f t="shared" si="235"/>
        <v>0</v>
      </c>
      <c r="BF556" s="377">
        <f t="shared" si="236"/>
        <v>0</v>
      </c>
      <c r="BG556" s="328"/>
    </row>
    <row r="557" spans="2:59">
      <c r="B557" s="332">
        <v>542</v>
      </c>
      <c r="C557" s="350">
        <v>5249575.1868995549</v>
      </c>
      <c r="D557" s="350">
        <v>32426.483122787035</v>
      </c>
      <c r="E557" s="350">
        <v>31047.219759288539</v>
      </c>
      <c r="F557" s="350">
        <v>29630.842602096847</v>
      </c>
      <c r="G557" s="350">
        <v>28177.423997791018</v>
      </c>
      <c r="H557" s="348">
        <v>5370857.1563815176</v>
      </c>
      <c r="I557" s="369"/>
      <c r="J557" s="350">
        <v>6832621.139814659</v>
      </c>
      <c r="K557" s="350">
        <v>1635029.2996114986</v>
      </c>
      <c r="L557" s="350">
        <v>1651959.120406406</v>
      </c>
      <c r="M557" s="350">
        <v>1667559.2803007013</v>
      </c>
      <c r="N557" s="350">
        <v>1681785.1930323183</v>
      </c>
      <c r="O557" s="348">
        <v>13468954.033165583</v>
      </c>
      <c r="P557" s="369"/>
      <c r="Q557" s="350">
        <f t="shared" si="237"/>
        <v>1583045.9529151041</v>
      </c>
      <c r="R557" s="350">
        <f t="shared" si="238"/>
        <v>1602602.8164887116</v>
      </c>
      <c r="S557" s="350">
        <f t="shared" si="239"/>
        <v>1620911.9006471175</v>
      </c>
      <c r="T557" s="350">
        <f t="shared" si="240"/>
        <v>1637928.4376986045</v>
      </c>
      <c r="U557" s="350">
        <f t="shared" si="241"/>
        <v>1653607.7690345272</v>
      </c>
      <c r="V557" s="350">
        <f t="shared" si="242"/>
        <v>8098096.8767840657</v>
      </c>
      <c r="W557" s="365"/>
      <c r="X557" s="377">
        <f t="shared" si="220"/>
        <v>0</v>
      </c>
      <c r="Y557" s="377">
        <f t="shared" si="221"/>
        <v>0</v>
      </c>
      <c r="Z557" s="377">
        <f t="shared" si="222"/>
        <v>0</v>
      </c>
      <c r="AA557" s="377">
        <f t="shared" si="223"/>
        <v>0</v>
      </c>
      <c r="AB557" s="377">
        <f t="shared" si="224"/>
        <v>0</v>
      </c>
      <c r="AC557" s="377">
        <f t="shared" si="225"/>
        <v>0</v>
      </c>
      <c r="AD557" s="376"/>
      <c r="AE557" s="332">
        <v>542</v>
      </c>
      <c r="AF557" s="350">
        <v>5409842.6044871733</v>
      </c>
      <c r="AG557" s="350">
        <v>33416.45060139415</v>
      </c>
      <c r="AH557" s="350">
        <v>31995.078882538848</v>
      </c>
      <c r="AI557" s="350">
        <v>30535.460300808652</v>
      </c>
      <c r="AJ557" s="350">
        <v>29037.669411489624</v>
      </c>
      <c r="AK557" s="348">
        <v>5534827.2636834048</v>
      </c>
      <c r="AL557" s="369"/>
      <c r="AM557" s="350">
        <v>7961903.04832826</v>
      </c>
      <c r="AN557" s="350">
        <v>2617004.9103158624</v>
      </c>
      <c r="AO557" s="350">
        <v>2645099.9840025124</v>
      </c>
      <c r="AP557" s="350">
        <v>2671073.0694558676</v>
      </c>
      <c r="AQ557" s="350">
        <v>2694852.2461836915</v>
      </c>
      <c r="AR557" s="348">
        <v>18589933.258286193</v>
      </c>
      <c r="AS557" s="369"/>
      <c r="AT557" s="350">
        <f t="shared" si="243"/>
        <v>2552060.4438410867</v>
      </c>
      <c r="AU557" s="350">
        <f t="shared" si="226"/>
        <v>2583588.4597144681</v>
      </c>
      <c r="AV557" s="350">
        <f t="shared" si="227"/>
        <v>2613104.9051199737</v>
      </c>
      <c r="AW557" s="350">
        <f t="shared" si="228"/>
        <v>2640537.6091550589</v>
      </c>
      <c r="AX557" s="350">
        <f t="shared" si="229"/>
        <v>2665814.5767722018</v>
      </c>
      <c r="AY557" s="350">
        <f t="shared" si="230"/>
        <v>13055105.994602788</v>
      </c>
      <c r="AZ557" s="365"/>
      <c r="BA557" s="377">
        <f t="shared" si="231"/>
        <v>0</v>
      </c>
      <c r="BB557" s="377">
        <f t="shared" si="232"/>
        <v>0</v>
      </c>
      <c r="BC557" s="377">
        <f t="shared" si="233"/>
        <v>0</v>
      </c>
      <c r="BD557" s="377">
        <f t="shared" si="234"/>
        <v>0</v>
      </c>
      <c r="BE557" s="377">
        <f t="shared" si="235"/>
        <v>0</v>
      </c>
      <c r="BF557" s="377">
        <f t="shared" si="236"/>
        <v>0</v>
      </c>
      <c r="BG557" s="328"/>
    </row>
    <row r="558" spans="2:59">
      <c r="B558" s="332">
        <v>543</v>
      </c>
      <c r="C558" s="350">
        <v>5248773.801297172</v>
      </c>
      <c r="D558" s="350">
        <v>32421.532985721053</v>
      </c>
      <c r="E558" s="350">
        <v>31042.480176746827</v>
      </c>
      <c r="F558" s="350">
        <v>29626.319239766497</v>
      </c>
      <c r="G558" s="350">
        <v>28173.122510319015</v>
      </c>
      <c r="H558" s="348">
        <v>5370037.2562097246</v>
      </c>
      <c r="I558" s="369"/>
      <c r="J558" s="350">
        <v>6988355.9180691158</v>
      </c>
      <c r="K558" s="350">
        <v>1793494.3525829033</v>
      </c>
      <c r="L558" s="350">
        <v>1812234.839145347</v>
      </c>
      <c r="M558" s="350">
        <v>1829517.8596753615</v>
      </c>
      <c r="N558" s="350">
        <v>1845294.411927419</v>
      </c>
      <c r="O558" s="348">
        <v>14268897.381400146</v>
      </c>
      <c r="P558" s="369"/>
      <c r="Q558" s="350">
        <f t="shared" si="237"/>
        <v>1739582.1167719439</v>
      </c>
      <c r="R558" s="350">
        <f t="shared" si="238"/>
        <v>1761072.8195971823</v>
      </c>
      <c r="S558" s="350">
        <f t="shared" si="239"/>
        <v>1781192.3589686002</v>
      </c>
      <c r="T558" s="350">
        <f t="shared" si="240"/>
        <v>1799891.540435595</v>
      </c>
      <c r="U558" s="350">
        <f t="shared" si="241"/>
        <v>1817121.2894170999</v>
      </c>
      <c r="V558" s="350">
        <f t="shared" si="242"/>
        <v>8898860.1251904219</v>
      </c>
      <c r="W558" s="365"/>
      <c r="X558" s="377">
        <f t="shared" si="220"/>
        <v>0</v>
      </c>
      <c r="Y558" s="377">
        <f t="shared" si="221"/>
        <v>0</v>
      </c>
      <c r="Z558" s="377">
        <f t="shared" si="222"/>
        <v>0</v>
      </c>
      <c r="AA558" s="377">
        <f t="shared" si="223"/>
        <v>0</v>
      </c>
      <c r="AB558" s="377">
        <f t="shared" si="224"/>
        <v>0</v>
      </c>
      <c r="AC558" s="377">
        <f t="shared" si="225"/>
        <v>0</v>
      </c>
      <c r="AD558" s="376"/>
      <c r="AE558" s="332">
        <v>543</v>
      </c>
      <c r="AF558" s="350">
        <v>5461486.4763269732</v>
      </c>
      <c r="AG558" s="350">
        <v>33735.453392857053</v>
      </c>
      <c r="AH558" s="350">
        <v>32300.5128616984</v>
      </c>
      <c r="AI558" s="350">
        <v>30826.960352407059</v>
      </c>
      <c r="AJ558" s="350">
        <v>29314.871131992179</v>
      </c>
      <c r="AK558" s="348">
        <v>5587664.2740659276</v>
      </c>
      <c r="AL558" s="369"/>
      <c r="AM558" s="350">
        <v>7426849.5555720534</v>
      </c>
      <c r="AN558" s="350">
        <v>2023378.521189518</v>
      </c>
      <c r="AO558" s="350">
        <v>2044674.4419788774</v>
      </c>
      <c r="AP558" s="350">
        <v>2064327.0441437564</v>
      </c>
      <c r="AQ558" s="350">
        <v>2082280.958963288</v>
      </c>
      <c r="AR558" s="348">
        <v>15641510.521847494</v>
      </c>
      <c r="AS558" s="369"/>
      <c r="AT558" s="350">
        <f t="shared" si="243"/>
        <v>1965363.0792450802</v>
      </c>
      <c r="AU558" s="350">
        <f t="shared" si="226"/>
        <v>1989643.0677966611</v>
      </c>
      <c r="AV558" s="350">
        <f t="shared" si="227"/>
        <v>2012373.929117179</v>
      </c>
      <c r="AW558" s="350">
        <f t="shared" si="228"/>
        <v>2033500.0837913493</v>
      </c>
      <c r="AX558" s="350">
        <f t="shared" si="229"/>
        <v>2052966.0878312958</v>
      </c>
      <c r="AY558" s="350">
        <f t="shared" si="230"/>
        <v>10053846.247781567</v>
      </c>
      <c r="AZ558" s="365"/>
      <c r="BA558" s="377">
        <f t="shared" si="231"/>
        <v>0</v>
      </c>
      <c r="BB558" s="377">
        <f t="shared" si="232"/>
        <v>0</v>
      </c>
      <c r="BC558" s="377">
        <f t="shared" si="233"/>
        <v>0</v>
      </c>
      <c r="BD558" s="377">
        <f t="shared" si="234"/>
        <v>0</v>
      </c>
      <c r="BE558" s="377">
        <f t="shared" si="235"/>
        <v>0</v>
      </c>
      <c r="BF558" s="377">
        <f t="shared" si="236"/>
        <v>0</v>
      </c>
      <c r="BG558" s="328"/>
    </row>
    <row r="559" spans="2:59">
      <c r="B559" s="332">
        <v>544</v>
      </c>
      <c r="C559" s="350">
        <v>5609765.2310994938</v>
      </c>
      <c r="D559" s="350">
        <v>34651.367227388233</v>
      </c>
      <c r="E559" s="350">
        <v>33177.468219258306</v>
      </c>
      <c r="F559" s="350">
        <v>31663.90892204714</v>
      </c>
      <c r="G559" s="350">
        <v>30110.76664626646</v>
      </c>
      <c r="H559" s="348">
        <v>5739368.7421144545</v>
      </c>
      <c r="I559" s="369"/>
      <c r="J559" s="350">
        <v>6309144.2158240657</v>
      </c>
      <c r="K559" s="350">
        <v>742670.44187816698</v>
      </c>
      <c r="L559" s="350">
        <v>749285.37229811749</v>
      </c>
      <c r="M559" s="350">
        <v>755289.60386773502</v>
      </c>
      <c r="N559" s="350">
        <v>760663.48402657593</v>
      </c>
      <c r="O559" s="348">
        <v>9317053.1178946607</v>
      </c>
      <c r="P559" s="369"/>
      <c r="Q559" s="350">
        <f t="shared" si="237"/>
        <v>699378.98472457193</v>
      </c>
      <c r="R559" s="350">
        <f t="shared" si="238"/>
        <v>708019.07465077878</v>
      </c>
      <c r="S559" s="350">
        <f t="shared" si="239"/>
        <v>716107.90407885914</v>
      </c>
      <c r="T559" s="350">
        <f t="shared" si="240"/>
        <v>723625.69494568789</v>
      </c>
      <c r="U559" s="350">
        <f t="shared" si="241"/>
        <v>730552.71738030948</v>
      </c>
      <c r="V559" s="350">
        <f t="shared" si="242"/>
        <v>3577684.3757802062</v>
      </c>
      <c r="W559" s="365"/>
      <c r="X559" s="377">
        <f t="shared" si="220"/>
        <v>0</v>
      </c>
      <c r="Y559" s="377">
        <f t="shared" si="221"/>
        <v>0</v>
      </c>
      <c r="Z559" s="377">
        <f t="shared" si="222"/>
        <v>0</v>
      </c>
      <c r="AA559" s="377">
        <f t="shared" si="223"/>
        <v>0</v>
      </c>
      <c r="AB559" s="377">
        <f t="shared" si="224"/>
        <v>0</v>
      </c>
      <c r="AC559" s="377">
        <f t="shared" si="225"/>
        <v>0</v>
      </c>
      <c r="AD559" s="376"/>
      <c r="AE559" s="332">
        <v>544</v>
      </c>
      <c r="AF559" s="350">
        <v>4437048.9364032811</v>
      </c>
      <c r="AG559" s="350">
        <v>27407.530577009249</v>
      </c>
      <c r="AH559" s="350">
        <v>26241.748809505239</v>
      </c>
      <c r="AI559" s="350">
        <v>25044.597700108421</v>
      </c>
      <c r="AJ559" s="350">
        <v>23816.138397632876</v>
      </c>
      <c r="AK559" s="348">
        <v>4539558.9518875377</v>
      </c>
      <c r="AL559" s="369"/>
      <c r="AM559" s="350">
        <v>6075611.4468213972</v>
      </c>
      <c r="AN559" s="350">
        <v>1686212.753099639</v>
      </c>
      <c r="AO559" s="350">
        <v>1703998.1450784253</v>
      </c>
      <c r="AP559" s="350">
        <v>1720414.2916868636</v>
      </c>
      <c r="AQ559" s="350">
        <v>1735415.0293120916</v>
      </c>
      <c r="AR559" s="348">
        <v>12921651.665998416</v>
      </c>
      <c r="AS559" s="369"/>
      <c r="AT559" s="350">
        <f t="shared" si="243"/>
        <v>1638562.5104181161</v>
      </c>
      <c r="AU559" s="350">
        <f t="shared" si="226"/>
        <v>1658805.2225226297</v>
      </c>
      <c r="AV559" s="350">
        <f t="shared" si="227"/>
        <v>1677756.39626892</v>
      </c>
      <c r="AW559" s="350">
        <f t="shared" si="228"/>
        <v>1695369.6939867553</v>
      </c>
      <c r="AX559" s="350">
        <f t="shared" si="229"/>
        <v>1711598.8909144588</v>
      </c>
      <c r="AY559" s="350">
        <f t="shared" si="230"/>
        <v>8382092.7141108783</v>
      </c>
      <c r="AZ559" s="365"/>
      <c r="BA559" s="377">
        <f t="shared" si="231"/>
        <v>0</v>
      </c>
      <c r="BB559" s="377">
        <f t="shared" si="232"/>
        <v>0</v>
      </c>
      <c r="BC559" s="377">
        <f t="shared" si="233"/>
        <v>0</v>
      </c>
      <c r="BD559" s="377">
        <f t="shared" si="234"/>
        <v>0</v>
      </c>
      <c r="BE559" s="377">
        <f t="shared" si="235"/>
        <v>0</v>
      </c>
      <c r="BF559" s="377">
        <f t="shared" si="236"/>
        <v>0</v>
      </c>
      <c r="BG559" s="328"/>
    </row>
    <row r="560" spans="2:59">
      <c r="B560" s="332">
        <v>545</v>
      </c>
      <c r="C560" s="350">
        <v>6112842.2391854841</v>
      </c>
      <c r="D560" s="350">
        <v>37758.860220892035</v>
      </c>
      <c r="E560" s="350">
        <v>36152.783719998733</v>
      </c>
      <c r="F560" s="350">
        <v>34503.490242938293</v>
      </c>
      <c r="G560" s="350">
        <v>32811.064033328563</v>
      </c>
      <c r="H560" s="348">
        <v>6254068.4374026423</v>
      </c>
      <c r="I560" s="369"/>
      <c r="J560" s="350">
        <v>7906996.6866972391</v>
      </c>
      <c r="K560" s="350">
        <v>1854078.1941627327</v>
      </c>
      <c r="L560" s="350">
        <v>1873222.8259480901</v>
      </c>
      <c r="M560" s="350">
        <v>1890859.3248865667</v>
      </c>
      <c r="N560" s="350">
        <v>1906937.1611248343</v>
      </c>
      <c r="O560" s="348">
        <v>15432094.192819461</v>
      </c>
      <c r="P560" s="369"/>
      <c r="Q560" s="350">
        <f t="shared" si="237"/>
        <v>1794154.4475117549</v>
      </c>
      <c r="R560" s="350">
        <f t="shared" si="238"/>
        <v>1816319.3339418406</v>
      </c>
      <c r="S560" s="350">
        <f t="shared" si="239"/>
        <v>1837070.0422280913</v>
      </c>
      <c r="T560" s="350">
        <f t="shared" si="240"/>
        <v>1856355.8346436284</v>
      </c>
      <c r="U560" s="350">
        <f t="shared" si="241"/>
        <v>1874126.0970915058</v>
      </c>
      <c r="V560" s="350">
        <f t="shared" si="242"/>
        <v>9178025.755416818</v>
      </c>
      <c r="W560" s="365"/>
      <c r="X560" s="377">
        <f t="shared" si="220"/>
        <v>0</v>
      </c>
      <c r="Y560" s="377">
        <f t="shared" si="221"/>
        <v>0</v>
      </c>
      <c r="Z560" s="377">
        <f t="shared" si="222"/>
        <v>0</v>
      </c>
      <c r="AA560" s="377">
        <f t="shared" si="223"/>
        <v>0</v>
      </c>
      <c r="AB560" s="377">
        <f t="shared" si="224"/>
        <v>0</v>
      </c>
      <c r="AC560" s="377">
        <f t="shared" si="225"/>
        <v>0</v>
      </c>
      <c r="AD560" s="376"/>
      <c r="AE560" s="332">
        <v>545</v>
      </c>
      <c r="AF560" s="350">
        <v>5414660.2623621523</v>
      </c>
      <c r="AG560" s="350">
        <v>33446.20914303208</v>
      </c>
      <c r="AH560" s="350">
        <v>32023.571641941911</v>
      </c>
      <c r="AI560" s="350">
        <v>30562.653217781</v>
      </c>
      <c r="AJ560" s="350">
        <v>29063.528492232752</v>
      </c>
      <c r="AK560" s="348">
        <v>5539756.2248571403</v>
      </c>
      <c r="AL560" s="369"/>
      <c r="AM560" s="350">
        <v>7441994.7012709137</v>
      </c>
      <c r="AN560" s="350">
        <v>2085826.2274089858</v>
      </c>
      <c r="AO560" s="350">
        <v>2107851.1953238091</v>
      </c>
      <c r="AP560" s="350">
        <v>2128182.576442136</v>
      </c>
      <c r="AQ560" s="350">
        <v>2146763.2531511839</v>
      </c>
      <c r="AR560" s="348">
        <v>15910617.953597028</v>
      </c>
      <c r="AS560" s="369"/>
      <c r="AT560" s="350">
        <f t="shared" si="243"/>
        <v>2027334.4389087614</v>
      </c>
      <c r="AU560" s="350">
        <f t="shared" si="226"/>
        <v>2052380.0182659538</v>
      </c>
      <c r="AV560" s="350">
        <f t="shared" si="227"/>
        <v>2075827.623681867</v>
      </c>
      <c r="AW560" s="350">
        <f t="shared" si="228"/>
        <v>2097619.9232243551</v>
      </c>
      <c r="AX560" s="350">
        <f t="shared" si="229"/>
        <v>2117699.7246589512</v>
      </c>
      <c r="AY560" s="350">
        <f t="shared" si="230"/>
        <v>10370861.728739887</v>
      </c>
      <c r="AZ560" s="365"/>
      <c r="BA560" s="377">
        <f t="shared" si="231"/>
        <v>0</v>
      </c>
      <c r="BB560" s="377">
        <f t="shared" si="232"/>
        <v>0</v>
      </c>
      <c r="BC560" s="377">
        <f t="shared" si="233"/>
        <v>0</v>
      </c>
      <c r="BD560" s="377">
        <f t="shared" si="234"/>
        <v>0</v>
      </c>
      <c r="BE560" s="377">
        <f t="shared" si="235"/>
        <v>0</v>
      </c>
      <c r="BF560" s="377">
        <f t="shared" si="236"/>
        <v>0</v>
      </c>
      <c r="BG560" s="328"/>
    </row>
    <row r="561" spans="2:59">
      <c r="B561" s="332">
        <v>546</v>
      </c>
      <c r="C561" s="350">
        <v>5608194.1029839618</v>
      </c>
      <c r="D561" s="350">
        <v>34641.662411759418</v>
      </c>
      <c r="E561" s="350">
        <v>33168.176198828631</v>
      </c>
      <c r="F561" s="350">
        <v>31655.040804486711</v>
      </c>
      <c r="G561" s="350">
        <v>30102.333517585499</v>
      </c>
      <c r="H561" s="348">
        <v>5737761.315916623</v>
      </c>
      <c r="I561" s="369"/>
      <c r="J561" s="350">
        <v>7358997.2027327297</v>
      </c>
      <c r="K561" s="350">
        <v>1807074.0883989634</v>
      </c>
      <c r="L561" s="350">
        <v>1825849.9204317017</v>
      </c>
      <c r="M561" s="350">
        <v>1843156.583516282</v>
      </c>
      <c r="N561" s="350">
        <v>1858944.763810294</v>
      </c>
      <c r="O561" s="348">
        <v>14694022.558889972</v>
      </c>
      <c r="P561" s="369"/>
      <c r="Q561" s="350">
        <f t="shared" si="237"/>
        <v>1750803.0997487679</v>
      </c>
      <c r="R561" s="350">
        <f t="shared" si="238"/>
        <v>1772432.4259872041</v>
      </c>
      <c r="S561" s="350">
        <f t="shared" si="239"/>
        <v>1792681.744232873</v>
      </c>
      <c r="T561" s="350">
        <f t="shared" si="240"/>
        <v>1811501.5427117953</v>
      </c>
      <c r="U561" s="350">
        <f t="shared" si="241"/>
        <v>1828842.4302927086</v>
      </c>
      <c r="V561" s="350">
        <f t="shared" si="242"/>
        <v>8956261.24297335</v>
      </c>
      <c r="W561" s="365"/>
      <c r="X561" s="377">
        <f t="shared" si="220"/>
        <v>0</v>
      </c>
      <c r="Y561" s="377">
        <f t="shared" si="221"/>
        <v>0</v>
      </c>
      <c r="Z561" s="377">
        <f t="shared" si="222"/>
        <v>0</v>
      </c>
      <c r="AA561" s="377">
        <f t="shared" si="223"/>
        <v>0</v>
      </c>
      <c r="AB561" s="377">
        <f t="shared" si="224"/>
        <v>0</v>
      </c>
      <c r="AC561" s="377">
        <f t="shared" si="225"/>
        <v>0</v>
      </c>
      <c r="AD561" s="376"/>
      <c r="AE561" s="332">
        <v>546</v>
      </c>
      <c r="AF561" s="350">
        <v>7328636.4901332203</v>
      </c>
      <c r="AG561" s="350">
        <v>45268.788235168911</v>
      </c>
      <c r="AH561" s="350">
        <v>43343.276273652227</v>
      </c>
      <c r="AI561" s="350">
        <v>41365.951833405248</v>
      </c>
      <c r="AJ561" s="350">
        <v>39336.915913404679</v>
      </c>
      <c r="AK561" s="348">
        <v>7497951.4223888516</v>
      </c>
      <c r="AL561" s="369"/>
      <c r="AM561" s="350">
        <v>9372765.7847397048</v>
      </c>
      <c r="AN561" s="350">
        <v>2114651.1449323785</v>
      </c>
      <c r="AO561" s="350">
        <v>2136367.4831753327</v>
      </c>
      <c r="AP561" s="350">
        <v>2156362.9901716281</v>
      </c>
      <c r="AQ561" s="350">
        <v>2174580.1008935329</v>
      </c>
      <c r="AR561" s="348">
        <v>17954727.503912576</v>
      </c>
      <c r="AS561" s="369"/>
      <c r="AT561" s="350">
        <f t="shared" si="243"/>
        <v>2044129.2946064845</v>
      </c>
      <c r="AU561" s="350">
        <f t="shared" si="226"/>
        <v>2069382.3566972096</v>
      </c>
      <c r="AV561" s="350">
        <f t="shared" si="227"/>
        <v>2093024.2069016804</v>
      </c>
      <c r="AW561" s="350">
        <f t="shared" si="228"/>
        <v>2114997.038338223</v>
      </c>
      <c r="AX561" s="350">
        <f t="shared" si="229"/>
        <v>2135243.184980128</v>
      </c>
      <c r="AY561" s="350">
        <f t="shared" si="230"/>
        <v>10456776.081523724</v>
      </c>
      <c r="AZ561" s="365"/>
      <c r="BA561" s="377">
        <f t="shared" si="231"/>
        <v>0</v>
      </c>
      <c r="BB561" s="377">
        <f t="shared" si="232"/>
        <v>0</v>
      </c>
      <c r="BC561" s="377">
        <f t="shared" si="233"/>
        <v>0</v>
      </c>
      <c r="BD561" s="377">
        <f t="shared" si="234"/>
        <v>0</v>
      </c>
      <c r="BE561" s="377">
        <f t="shared" si="235"/>
        <v>0</v>
      </c>
      <c r="BF561" s="377">
        <f t="shared" si="236"/>
        <v>0</v>
      </c>
      <c r="BG561" s="328"/>
    </row>
    <row r="562" spans="2:59">
      <c r="B562" s="332">
        <v>547</v>
      </c>
      <c r="C562" s="350">
        <v>5181315.3302742252</v>
      </c>
      <c r="D562" s="350">
        <v>32004.843845318108</v>
      </c>
      <c r="E562" s="350">
        <v>30643.514946244199</v>
      </c>
      <c r="F562" s="350">
        <v>29245.55484152821</v>
      </c>
      <c r="G562" s="350">
        <v>27811.034937021312</v>
      </c>
      <c r="H562" s="348">
        <v>5301020.2788443379</v>
      </c>
      <c r="I562" s="369"/>
      <c r="J562" s="350">
        <v>6907971.0464861542</v>
      </c>
      <c r="K562" s="350">
        <v>1779991.570833256</v>
      </c>
      <c r="L562" s="350">
        <v>1798600.278029786</v>
      </c>
      <c r="M562" s="350">
        <v>1815762.5504413671</v>
      </c>
      <c r="N562" s="350">
        <v>1831429.7495537295</v>
      </c>
      <c r="O562" s="348">
        <v>14133755.195344293</v>
      </c>
      <c r="P562" s="369"/>
      <c r="Q562" s="350">
        <f t="shared" si="237"/>
        <v>1726655.716211929</v>
      </c>
      <c r="R562" s="350">
        <f t="shared" si="238"/>
        <v>1747986.7269879379</v>
      </c>
      <c r="S562" s="350">
        <f t="shared" si="239"/>
        <v>1767956.7630835418</v>
      </c>
      <c r="T562" s="350">
        <f t="shared" si="240"/>
        <v>1786516.9955998389</v>
      </c>
      <c r="U562" s="350">
        <f t="shared" si="241"/>
        <v>1803618.7146167082</v>
      </c>
      <c r="V562" s="350">
        <f t="shared" si="242"/>
        <v>8832734.9164999556</v>
      </c>
      <c r="W562" s="365"/>
      <c r="X562" s="377">
        <f t="shared" si="220"/>
        <v>0</v>
      </c>
      <c r="Y562" s="377">
        <f t="shared" si="221"/>
        <v>0</v>
      </c>
      <c r="Z562" s="377">
        <f t="shared" si="222"/>
        <v>0</v>
      </c>
      <c r="AA562" s="377">
        <f t="shared" si="223"/>
        <v>0</v>
      </c>
      <c r="AB562" s="377">
        <f t="shared" si="224"/>
        <v>0</v>
      </c>
      <c r="AC562" s="377">
        <f t="shared" si="225"/>
        <v>0</v>
      </c>
      <c r="AD562" s="376"/>
      <c r="AE562" s="332">
        <v>547</v>
      </c>
      <c r="AF562" s="350">
        <v>6379119.204496799</v>
      </c>
      <c r="AG562" s="350">
        <v>39403.645791961564</v>
      </c>
      <c r="AH562" s="350">
        <v>37727.608189507817</v>
      </c>
      <c r="AI562" s="350">
        <v>36006.471068394931</v>
      </c>
      <c r="AJ562" s="350">
        <v>34240.322341914165</v>
      </c>
      <c r="AK562" s="348">
        <v>6526497.2518885778</v>
      </c>
      <c r="AL562" s="369"/>
      <c r="AM562" s="350">
        <v>8779237.9375913367</v>
      </c>
      <c r="AN562" s="350">
        <v>2469173.3151320023</v>
      </c>
      <c r="AO562" s="350">
        <v>2495256.4059322802</v>
      </c>
      <c r="AP562" s="350">
        <v>2519334.7152987863</v>
      </c>
      <c r="AQ562" s="350">
        <v>2541340.6224576328</v>
      </c>
      <c r="AR562" s="348">
        <v>18804342.996412039</v>
      </c>
      <c r="AS562" s="369"/>
      <c r="AT562" s="350">
        <f t="shared" si="243"/>
        <v>2400118.7330945376</v>
      </c>
      <c r="AU562" s="350">
        <f t="shared" si="226"/>
        <v>2429769.669340041</v>
      </c>
      <c r="AV562" s="350">
        <f t="shared" si="227"/>
        <v>2457528.7977427724</v>
      </c>
      <c r="AW562" s="350">
        <f t="shared" si="228"/>
        <v>2483328.2442303915</v>
      </c>
      <c r="AX562" s="350">
        <f t="shared" si="229"/>
        <v>2507100.3001157185</v>
      </c>
      <c r="AY562" s="350">
        <f t="shared" si="230"/>
        <v>12277845.744523462</v>
      </c>
      <c r="AZ562" s="365"/>
      <c r="BA562" s="377">
        <f t="shared" si="231"/>
        <v>0</v>
      </c>
      <c r="BB562" s="377">
        <f t="shared" si="232"/>
        <v>0</v>
      </c>
      <c r="BC562" s="377">
        <f t="shared" si="233"/>
        <v>0</v>
      </c>
      <c r="BD562" s="377">
        <f t="shared" si="234"/>
        <v>0</v>
      </c>
      <c r="BE562" s="377">
        <f t="shared" si="235"/>
        <v>0</v>
      </c>
      <c r="BF562" s="377">
        <f t="shared" si="236"/>
        <v>0</v>
      </c>
      <c r="BG562" s="328"/>
    </row>
    <row r="563" spans="2:59">
      <c r="B563" s="332">
        <v>548</v>
      </c>
      <c r="C563" s="350">
        <v>6240150.9463578006</v>
      </c>
      <c r="D563" s="350">
        <v>38545.242641856195</v>
      </c>
      <c r="E563" s="350">
        <v>36905.71729426345</v>
      </c>
      <c r="F563" s="350">
        <v>35222.074914992416</v>
      </c>
      <c r="G563" s="350">
        <v>33494.401502151071</v>
      </c>
      <c r="H563" s="348">
        <v>6384318.3827110641</v>
      </c>
      <c r="I563" s="369"/>
      <c r="J563" s="350">
        <v>8901714.1535717305</v>
      </c>
      <c r="K563" s="350">
        <v>2732989.2569101648</v>
      </c>
      <c r="L563" s="350">
        <v>2762132.6565080276</v>
      </c>
      <c r="M563" s="350">
        <v>2789058.7893832526</v>
      </c>
      <c r="N563" s="350">
        <v>2813692.6573524261</v>
      </c>
      <c r="O563" s="348">
        <v>19999587.513725601</v>
      </c>
      <c r="P563" s="369"/>
      <c r="Q563" s="350">
        <f t="shared" si="237"/>
        <v>2661563.2072139299</v>
      </c>
      <c r="R563" s="350">
        <f t="shared" si="238"/>
        <v>2694444.0142683089</v>
      </c>
      <c r="S563" s="350">
        <f t="shared" si="239"/>
        <v>2725226.9392137639</v>
      </c>
      <c r="T563" s="350">
        <f t="shared" si="240"/>
        <v>2753836.7144682603</v>
      </c>
      <c r="U563" s="350">
        <f t="shared" si="241"/>
        <v>2780198.255850275</v>
      </c>
      <c r="V563" s="350">
        <f t="shared" si="242"/>
        <v>13615269.131014537</v>
      </c>
      <c r="W563" s="365"/>
      <c r="X563" s="377">
        <f t="shared" si="220"/>
        <v>0</v>
      </c>
      <c r="Y563" s="377">
        <f t="shared" si="221"/>
        <v>0</v>
      </c>
      <c r="Z563" s="377">
        <f t="shared" si="222"/>
        <v>0</v>
      </c>
      <c r="AA563" s="377">
        <f t="shared" si="223"/>
        <v>0</v>
      </c>
      <c r="AB563" s="377">
        <f t="shared" si="224"/>
        <v>0</v>
      </c>
      <c r="AC563" s="377">
        <f t="shared" si="225"/>
        <v>0</v>
      </c>
      <c r="AD563" s="376"/>
      <c r="AE563" s="332">
        <v>548</v>
      </c>
      <c r="AF563" s="350">
        <v>3682368.4833461638</v>
      </c>
      <c r="AG563" s="350">
        <v>22745.889948407457</v>
      </c>
      <c r="AH563" s="350">
        <v>21778.391482501196</v>
      </c>
      <c r="AI563" s="350">
        <v>20784.859164460679</v>
      </c>
      <c r="AJ563" s="350">
        <v>19765.343742534162</v>
      </c>
      <c r="AK563" s="348">
        <v>3767442.9676840673</v>
      </c>
      <c r="AL563" s="369"/>
      <c r="AM563" s="350">
        <v>5103494.9843125362</v>
      </c>
      <c r="AN563" s="350">
        <v>1461428.9103885565</v>
      </c>
      <c r="AO563" s="350">
        <v>1476897.7792043579</v>
      </c>
      <c r="AP563" s="350">
        <v>1491180.2732796231</v>
      </c>
      <c r="AQ563" s="350">
        <v>1504236.3525919353</v>
      </c>
      <c r="AR563" s="348">
        <v>11037238.299777009</v>
      </c>
      <c r="AS563" s="369"/>
      <c r="AT563" s="350">
        <f t="shared" si="243"/>
        <v>1421126.5009663724</v>
      </c>
      <c r="AU563" s="350">
        <f t="shared" si="226"/>
        <v>1438683.0204401491</v>
      </c>
      <c r="AV563" s="350">
        <f t="shared" si="227"/>
        <v>1455119.3877218566</v>
      </c>
      <c r="AW563" s="350">
        <f t="shared" si="228"/>
        <v>1470395.4141151626</v>
      </c>
      <c r="AX563" s="350">
        <f t="shared" si="229"/>
        <v>1484471.0088494013</v>
      </c>
      <c r="AY563" s="350">
        <f t="shared" si="230"/>
        <v>7269795.3320929408</v>
      </c>
      <c r="AZ563" s="365"/>
      <c r="BA563" s="377">
        <f t="shared" si="231"/>
        <v>0</v>
      </c>
      <c r="BB563" s="377">
        <f t="shared" si="232"/>
        <v>0</v>
      </c>
      <c r="BC563" s="377">
        <f t="shared" si="233"/>
        <v>0</v>
      </c>
      <c r="BD563" s="377">
        <f t="shared" si="234"/>
        <v>0</v>
      </c>
      <c r="BE563" s="377">
        <f t="shared" si="235"/>
        <v>0</v>
      </c>
      <c r="BF563" s="377">
        <f t="shared" si="236"/>
        <v>0</v>
      </c>
      <c r="BG563" s="328"/>
    </row>
    <row r="564" spans="2:59">
      <c r="B564" s="332">
        <v>549</v>
      </c>
      <c r="C564" s="350">
        <v>6057460.0865411805</v>
      </c>
      <c r="D564" s="350">
        <v>37416.76617059618</v>
      </c>
      <c r="E564" s="350">
        <v>35825.240670766005</v>
      </c>
      <c r="F564" s="350">
        <v>34190.88973917476</v>
      </c>
      <c r="G564" s="350">
        <v>32513.796856192475</v>
      </c>
      <c r="H564" s="348">
        <v>6197406.7799779093</v>
      </c>
      <c r="I564" s="369"/>
      <c r="J564" s="350">
        <v>7884981.7216526838</v>
      </c>
      <c r="K564" s="350">
        <v>1887515.5041323861</v>
      </c>
      <c r="L564" s="350">
        <v>1907060.6028454835</v>
      </c>
      <c r="M564" s="350">
        <v>1925070.71615639</v>
      </c>
      <c r="N564" s="350">
        <v>1941494.3721415692</v>
      </c>
      <c r="O564" s="348">
        <v>15546122.916928511</v>
      </c>
      <c r="P564" s="369"/>
      <c r="Q564" s="350">
        <f t="shared" si="237"/>
        <v>1827521.6351115033</v>
      </c>
      <c r="R564" s="350">
        <f t="shared" si="238"/>
        <v>1850098.7379617898</v>
      </c>
      <c r="S564" s="350">
        <f t="shared" si="239"/>
        <v>1871235.3621747175</v>
      </c>
      <c r="T564" s="350">
        <f t="shared" si="240"/>
        <v>1890879.8264172152</v>
      </c>
      <c r="U564" s="350">
        <f t="shared" si="241"/>
        <v>1908980.5752853767</v>
      </c>
      <c r="V564" s="350">
        <f t="shared" si="242"/>
        <v>9348716.1369506009</v>
      </c>
      <c r="W564" s="365"/>
      <c r="X564" s="377">
        <f t="shared" si="220"/>
        <v>0</v>
      </c>
      <c r="Y564" s="377">
        <f t="shared" si="221"/>
        <v>0</v>
      </c>
      <c r="Z564" s="377">
        <f t="shared" si="222"/>
        <v>0</v>
      </c>
      <c r="AA564" s="377">
        <f t="shared" si="223"/>
        <v>0</v>
      </c>
      <c r="AB564" s="377">
        <f t="shared" si="224"/>
        <v>0</v>
      </c>
      <c r="AC564" s="377">
        <f t="shared" si="225"/>
        <v>0</v>
      </c>
      <c r="AD564" s="376"/>
      <c r="AE564" s="332">
        <v>549</v>
      </c>
      <c r="AF564" s="350">
        <v>6628665.2952020094</v>
      </c>
      <c r="AG564" s="350">
        <v>40945.08520572741</v>
      </c>
      <c r="AH564" s="350">
        <v>39203.482339768023</v>
      </c>
      <c r="AI564" s="350">
        <v>37415.015697701747</v>
      </c>
      <c r="AJ564" s="350">
        <v>35579.7766319191</v>
      </c>
      <c r="AK564" s="348">
        <v>6781808.6550771249</v>
      </c>
      <c r="AL564" s="369"/>
      <c r="AM564" s="350">
        <v>8838343.796548944</v>
      </c>
      <c r="AN564" s="350">
        <v>2277921.8345364309</v>
      </c>
      <c r="AO564" s="350">
        <v>2301736.7795203174</v>
      </c>
      <c r="AP564" s="350">
        <v>2323700.6720695966</v>
      </c>
      <c r="AQ564" s="350">
        <v>2343751.267274566</v>
      </c>
      <c r="AR564" s="348">
        <v>18085454.349949855</v>
      </c>
      <c r="AS564" s="369"/>
      <c r="AT564" s="350">
        <f t="shared" si="243"/>
        <v>2209678.5013469346</v>
      </c>
      <c r="AU564" s="350">
        <f t="shared" si="226"/>
        <v>2236976.7493307036</v>
      </c>
      <c r="AV564" s="350">
        <f t="shared" si="227"/>
        <v>2262533.2971805492</v>
      </c>
      <c r="AW564" s="350">
        <f t="shared" si="228"/>
        <v>2286285.6563718948</v>
      </c>
      <c r="AX564" s="350">
        <f t="shared" si="229"/>
        <v>2308171.4906426468</v>
      </c>
      <c r="AY564" s="350">
        <f t="shared" si="230"/>
        <v>11303645.694872729</v>
      </c>
      <c r="AZ564" s="365"/>
      <c r="BA564" s="377">
        <f t="shared" si="231"/>
        <v>0</v>
      </c>
      <c r="BB564" s="377">
        <f t="shared" si="232"/>
        <v>0</v>
      </c>
      <c r="BC564" s="377">
        <f t="shared" si="233"/>
        <v>0</v>
      </c>
      <c r="BD564" s="377">
        <f t="shared" si="234"/>
        <v>0</v>
      </c>
      <c r="BE564" s="377">
        <f t="shared" si="235"/>
        <v>0</v>
      </c>
      <c r="BF564" s="377">
        <f t="shared" si="236"/>
        <v>0</v>
      </c>
      <c r="BG564" s="328"/>
    </row>
    <row r="565" spans="2:59">
      <c r="B565" s="332">
        <v>550</v>
      </c>
      <c r="C565" s="350">
        <v>4974135.168871562</v>
      </c>
      <c r="D565" s="350">
        <v>30725.097624353853</v>
      </c>
      <c r="E565" s="350">
        <v>29418.20284539384</v>
      </c>
      <c r="F565" s="350">
        <v>28076.141596790356</v>
      </c>
      <c r="G565" s="350">
        <v>26698.982429166077</v>
      </c>
      <c r="H565" s="348">
        <v>5089053.5933672665</v>
      </c>
      <c r="I565" s="369"/>
      <c r="J565" s="350">
        <v>6868452.1583779752</v>
      </c>
      <c r="K565" s="350">
        <v>1948444.3761551159</v>
      </c>
      <c r="L565" s="350">
        <v>1969046.6427114289</v>
      </c>
      <c r="M565" s="350">
        <v>1988067.0448391046</v>
      </c>
      <c r="N565" s="350">
        <v>2005452.2113506831</v>
      </c>
      <c r="O565" s="348">
        <v>14779462.433434308</v>
      </c>
      <c r="P565" s="369"/>
      <c r="Q565" s="350">
        <f t="shared" si="237"/>
        <v>1894316.9895064132</v>
      </c>
      <c r="R565" s="350">
        <f t="shared" si="238"/>
        <v>1917719.2785307621</v>
      </c>
      <c r="S565" s="350">
        <f t="shared" si="239"/>
        <v>1939628.439866035</v>
      </c>
      <c r="T565" s="350">
        <f t="shared" si="240"/>
        <v>1959990.9032423142</v>
      </c>
      <c r="U565" s="350">
        <f t="shared" si="241"/>
        <v>1978753.228921517</v>
      </c>
      <c r="V565" s="350">
        <f t="shared" si="242"/>
        <v>9690408.8400670402</v>
      </c>
      <c r="W565" s="365"/>
      <c r="X565" s="377">
        <f t="shared" si="220"/>
        <v>0</v>
      </c>
      <c r="Y565" s="377">
        <f t="shared" si="221"/>
        <v>0</v>
      </c>
      <c r="Z565" s="377">
        <f t="shared" si="222"/>
        <v>0</v>
      </c>
      <c r="AA565" s="377">
        <f t="shared" si="223"/>
        <v>0</v>
      </c>
      <c r="AB565" s="377">
        <f t="shared" si="224"/>
        <v>0</v>
      </c>
      <c r="AC565" s="377">
        <f t="shared" si="225"/>
        <v>0</v>
      </c>
      <c r="AD565" s="376"/>
      <c r="AE565" s="332">
        <v>550</v>
      </c>
      <c r="AF565" s="350">
        <v>3685229.6116296309</v>
      </c>
      <c r="AG565" s="350">
        <v>22763.563059981563</v>
      </c>
      <c r="AH565" s="350">
        <v>21795.31286669206</v>
      </c>
      <c r="AI565" s="350">
        <v>20801.008593474504</v>
      </c>
      <c r="AJ565" s="350">
        <v>19780.701028005813</v>
      </c>
      <c r="AK565" s="348">
        <v>3770370.1971777845</v>
      </c>
      <c r="AL565" s="369"/>
      <c r="AM565" s="350">
        <v>5398092.7633018792</v>
      </c>
      <c r="AN565" s="350">
        <v>1756787.3329163259</v>
      </c>
      <c r="AO565" s="350">
        <v>1775629.5977229639</v>
      </c>
      <c r="AP565" s="350">
        <v>1793047.2664129357</v>
      </c>
      <c r="AQ565" s="350">
        <v>1808992.0689497381</v>
      </c>
      <c r="AR565" s="348">
        <v>12532549.029303843</v>
      </c>
      <c r="AS565" s="369"/>
      <c r="AT565" s="350">
        <f t="shared" si="243"/>
        <v>1712863.1516722483</v>
      </c>
      <c r="AU565" s="350">
        <f t="shared" si="226"/>
        <v>1734023.7698563444</v>
      </c>
      <c r="AV565" s="350">
        <f t="shared" si="227"/>
        <v>1753834.2848562719</v>
      </c>
      <c r="AW565" s="350">
        <f t="shared" si="228"/>
        <v>1772246.2578194612</v>
      </c>
      <c r="AX565" s="350">
        <f t="shared" si="229"/>
        <v>1789211.3679217321</v>
      </c>
      <c r="AY565" s="350">
        <f t="shared" si="230"/>
        <v>8762178.8321260586</v>
      </c>
      <c r="AZ565" s="365"/>
      <c r="BA565" s="377">
        <f t="shared" si="231"/>
        <v>0</v>
      </c>
      <c r="BB565" s="377">
        <f t="shared" si="232"/>
        <v>0</v>
      </c>
      <c r="BC565" s="377">
        <f t="shared" si="233"/>
        <v>0</v>
      </c>
      <c r="BD565" s="377">
        <f t="shared" si="234"/>
        <v>0</v>
      </c>
      <c r="BE565" s="377">
        <f t="shared" si="235"/>
        <v>0</v>
      </c>
      <c r="BF565" s="377">
        <f t="shared" si="236"/>
        <v>0</v>
      </c>
      <c r="BG565" s="328"/>
    </row>
    <row r="566" spans="2:59">
      <c r="B566" s="332">
        <v>551</v>
      </c>
      <c r="C566" s="350">
        <v>6641264.8644224983</v>
      </c>
      <c r="D566" s="350">
        <v>41022.912402049573</v>
      </c>
      <c r="E566" s="350">
        <v>39277.999149325755</v>
      </c>
      <c r="F566" s="350">
        <v>37486.133043226946</v>
      </c>
      <c r="G566" s="350">
        <v>35647.405609784379</v>
      </c>
      <c r="H566" s="348">
        <v>6794699.3146268846</v>
      </c>
      <c r="I566" s="369"/>
      <c r="J566" s="350">
        <v>8512549.1673223563</v>
      </c>
      <c r="K566" s="350">
        <v>1935424.959769058</v>
      </c>
      <c r="L566" s="350">
        <v>1955322.8179867433</v>
      </c>
      <c r="M566" s="350">
        <v>1973645.8314364313</v>
      </c>
      <c r="N566" s="350">
        <v>1990341.3016710021</v>
      </c>
      <c r="O566" s="348">
        <v>16367284.078185592</v>
      </c>
      <c r="P566" s="369"/>
      <c r="Q566" s="350">
        <f t="shared" si="237"/>
        <v>1871284.302899858</v>
      </c>
      <c r="R566" s="350">
        <f t="shared" si="238"/>
        <v>1894402.0473670084</v>
      </c>
      <c r="S566" s="350">
        <f t="shared" si="239"/>
        <v>1916044.8188374175</v>
      </c>
      <c r="T566" s="350">
        <f t="shared" si="240"/>
        <v>1936159.6983932042</v>
      </c>
      <c r="U566" s="350">
        <f t="shared" si="241"/>
        <v>1954693.8960612176</v>
      </c>
      <c r="V566" s="350">
        <f t="shared" si="242"/>
        <v>9572584.7635587081</v>
      </c>
      <c r="W566" s="365"/>
      <c r="X566" s="377">
        <f t="shared" si="220"/>
        <v>0</v>
      </c>
      <c r="Y566" s="377">
        <f t="shared" si="221"/>
        <v>0</v>
      </c>
      <c r="Z566" s="377">
        <f t="shared" si="222"/>
        <v>0</v>
      </c>
      <c r="AA566" s="377">
        <f t="shared" si="223"/>
        <v>0</v>
      </c>
      <c r="AB566" s="377">
        <f t="shared" si="224"/>
        <v>0</v>
      </c>
      <c r="AC566" s="377">
        <f t="shared" si="225"/>
        <v>0</v>
      </c>
      <c r="AD566" s="376"/>
      <c r="AE566" s="332">
        <v>551</v>
      </c>
      <c r="AF566" s="350">
        <v>4682355.5357622346</v>
      </c>
      <c r="AG566" s="350">
        <v>28922.782768057805</v>
      </c>
      <c r="AH566" s="350">
        <v>27692.549612912764</v>
      </c>
      <c r="AI566" s="350">
        <v>26429.212831061017</v>
      </c>
      <c r="AJ566" s="350">
        <v>25132.836951993493</v>
      </c>
      <c r="AK566" s="348">
        <v>4790532.9179262593</v>
      </c>
      <c r="AL566" s="369"/>
      <c r="AM566" s="350">
        <v>6967040.8545127502</v>
      </c>
      <c r="AN566" s="350">
        <v>2341832.9796436531</v>
      </c>
      <c r="AO566" s="350">
        <v>2367026.8030356024</v>
      </c>
      <c r="AP566" s="350">
        <v>2390322.0915456535</v>
      </c>
      <c r="AQ566" s="350">
        <v>2411654.4574570842</v>
      </c>
      <c r="AR566" s="348">
        <v>16477877.186194744</v>
      </c>
      <c r="AS566" s="369"/>
      <c r="AT566" s="350">
        <f t="shared" si="243"/>
        <v>2284685.3187505156</v>
      </c>
      <c r="AU566" s="350">
        <f t="shared" si="226"/>
        <v>2312910.1968755955</v>
      </c>
      <c r="AV566" s="350">
        <f t="shared" si="227"/>
        <v>2339334.2534226896</v>
      </c>
      <c r="AW566" s="350">
        <f t="shared" si="228"/>
        <v>2363892.8787145927</v>
      </c>
      <c r="AX566" s="350">
        <f t="shared" si="229"/>
        <v>2386521.6205050908</v>
      </c>
      <c r="AY566" s="350">
        <f t="shared" si="230"/>
        <v>11687344.268268485</v>
      </c>
      <c r="AZ566" s="365"/>
      <c r="BA566" s="377">
        <f t="shared" si="231"/>
        <v>0</v>
      </c>
      <c r="BB566" s="377">
        <f t="shared" si="232"/>
        <v>0</v>
      </c>
      <c r="BC566" s="377">
        <f t="shared" si="233"/>
        <v>0</v>
      </c>
      <c r="BD566" s="377">
        <f t="shared" si="234"/>
        <v>0</v>
      </c>
      <c r="BE566" s="377">
        <f t="shared" si="235"/>
        <v>0</v>
      </c>
      <c r="BF566" s="377">
        <f t="shared" si="236"/>
        <v>0</v>
      </c>
      <c r="BG566" s="328"/>
    </row>
    <row r="567" spans="2:59">
      <c r="B567" s="332">
        <v>552</v>
      </c>
      <c r="C567" s="350">
        <v>7749599.0088280505</v>
      </c>
      <c r="D567" s="350">
        <v>47869.062261502353</v>
      </c>
      <c r="E567" s="350">
        <v>45832.947411416637</v>
      </c>
      <c r="F567" s="350">
        <v>43742.043933953246</v>
      </c>
      <c r="G567" s="350">
        <v>41596.458629555251</v>
      </c>
      <c r="H567" s="348">
        <v>7928639.521064478</v>
      </c>
      <c r="I567" s="369"/>
      <c r="J567" s="350">
        <v>9356121.5842690933</v>
      </c>
      <c r="K567" s="350">
        <v>1674238.5301935463</v>
      </c>
      <c r="L567" s="350">
        <v>1690783.0238103</v>
      </c>
      <c r="M567" s="350">
        <v>1705961.0131774836</v>
      </c>
      <c r="N567" s="350">
        <v>1719727.2841982886</v>
      </c>
      <c r="O567" s="348">
        <v>16146831.435648713</v>
      </c>
      <c r="P567" s="369"/>
      <c r="Q567" s="350">
        <f t="shared" si="237"/>
        <v>1606522.5754410429</v>
      </c>
      <c r="R567" s="350">
        <f t="shared" si="238"/>
        <v>1626369.4679320441</v>
      </c>
      <c r="S567" s="350">
        <f t="shared" si="239"/>
        <v>1644950.0763988835</v>
      </c>
      <c r="T567" s="350">
        <f t="shared" si="240"/>
        <v>1662218.9692435304</v>
      </c>
      <c r="U567" s="350">
        <f t="shared" si="241"/>
        <v>1678130.8255687333</v>
      </c>
      <c r="V567" s="350">
        <f t="shared" si="242"/>
        <v>8218191.9145842353</v>
      </c>
      <c r="W567" s="365"/>
      <c r="X567" s="377">
        <f t="shared" si="220"/>
        <v>0</v>
      </c>
      <c r="Y567" s="377">
        <f t="shared" si="221"/>
        <v>0</v>
      </c>
      <c r="Z567" s="377">
        <f t="shared" si="222"/>
        <v>0</v>
      </c>
      <c r="AA567" s="377">
        <f t="shared" si="223"/>
        <v>0</v>
      </c>
      <c r="AB567" s="377">
        <f t="shared" si="224"/>
        <v>0</v>
      </c>
      <c r="AC567" s="377">
        <f t="shared" si="225"/>
        <v>0</v>
      </c>
      <c r="AD567" s="376"/>
      <c r="AE567" s="332">
        <v>552</v>
      </c>
      <c r="AF567" s="350">
        <v>4268127.4487731028</v>
      </c>
      <c r="AG567" s="350">
        <v>26364.107143169666</v>
      </c>
      <c r="AH567" s="350">
        <v>25242.707484864433</v>
      </c>
      <c r="AI567" s="350">
        <v>24091.132736967309</v>
      </c>
      <c r="AJ567" s="350">
        <v>22909.441720315546</v>
      </c>
      <c r="AK567" s="348">
        <v>4366734.8378584189</v>
      </c>
      <c r="AL567" s="369"/>
      <c r="AM567" s="350">
        <v>6153496.1343769729</v>
      </c>
      <c r="AN567" s="350">
        <v>1935024.5349118267</v>
      </c>
      <c r="AO567" s="350">
        <v>1955708.8029100907</v>
      </c>
      <c r="AP567" s="350">
        <v>1974823.5040938659</v>
      </c>
      <c r="AQ567" s="350">
        <v>1992315.5099825491</v>
      </c>
      <c r="AR567" s="348">
        <v>14011368.486275304</v>
      </c>
      <c r="AS567" s="369"/>
      <c r="AT567" s="350">
        <f t="shared" si="243"/>
        <v>1885368.6856038701</v>
      </c>
      <c r="AU567" s="350">
        <f t="shared" si="226"/>
        <v>1908660.427768657</v>
      </c>
      <c r="AV567" s="350">
        <f t="shared" si="227"/>
        <v>1930466.0954252263</v>
      </c>
      <c r="AW567" s="350">
        <f t="shared" si="228"/>
        <v>1950732.3713568985</v>
      </c>
      <c r="AX567" s="350">
        <f t="shared" si="229"/>
        <v>1969406.0682622336</v>
      </c>
      <c r="AY567" s="350">
        <f t="shared" si="230"/>
        <v>9644633.6484168842</v>
      </c>
      <c r="AZ567" s="365"/>
      <c r="BA567" s="377">
        <f t="shared" si="231"/>
        <v>0</v>
      </c>
      <c r="BB567" s="377">
        <f t="shared" si="232"/>
        <v>0</v>
      </c>
      <c r="BC567" s="377">
        <f t="shared" si="233"/>
        <v>0</v>
      </c>
      <c r="BD567" s="377">
        <f t="shared" si="234"/>
        <v>0</v>
      </c>
      <c r="BE567" s="377">
        <f t="shared" si="235"/>
        <v>0</v>
      </c>
      <c r="BF567" s="377">
        <f t="shared" si="236"/>
        <v>0</v>
      </c>
      <c r="BG567" s="328"/>
    </row>
    <row r="568" spans="2:59">
      <c r="B568" s="332">
        <v>553</v>
      </c>
      <c r="C568" s="350">
        <v>5277929.4022933189</v>
      </c>
      <c r="D568" s="350">
        <v>32601.626339941187</v>
      </c>
      <c r="E568" s="350">
        <v>31214.913244015515</v>
      </c>
      <c r="F568" s="350">
        <v>29790.885893893497</v>
      </c>
      <c r="G568" s="350">
        <v>28329.617026908032</v>
      </c>
      <c r="H568" s="348">
        <v>5399866.4447980775</v>
      </c>
      <c r="I568" s="369"/>
      <c r="J568" s="350">
        <v>6918104.4214843689</v>
      </c>
      <c r="K568" s="350">
        <v>1693039.2784811533</v>
      </c>
      <c r="L568" s="350">
        <v>1710622.3889747348</v>
      </c>
      <c r="M568" s="350">
        <v>1726828.9925823552</v>
      </c>
      <c r="N568" s="350">
        <v>1741612.8917898885</v>
      </c>
      <c r="O568" s="348">
        <v>13790207.973312501</v>
      </c>
      <c r="P568" s="369"/>
      <c r="Q568" s="350">
        <f t="shared" si="237"/>
        <v>1640175.01919105</v>
      </c>
      <c r="R568" s="350">
        <f t="shared" si="238"/>
        <v>1660437.652141212</v>
      </c>
      <c r="S568" s="350">
        <f t="shared" si="239"/>
        <v>1679407.4757307193</v>
      </c>
      <c r="T568" s="350">
        <f t="shared" si="240"/>
        <v>1697038.1066884617</v>
      </c>
      <c r="U568" s="350">
        <f t="shared" si="241"/>
        <v>1713283.2747629804</v>
      </c>
      <c r="V568" s="350">
        <f t="shared" si="242"/>
        <v>8390341.5285144225</v>
      </c>
      <c r="W568" s="365"/>
      <c r="X568" s="377">
        <f t="shared" si="220"/>
        <v>0</v>
      </c>
      <c r="Y568" s="377">
        <f t="shared" si="221"/>
        <v>0</v>
      </c>
      <c r="Z568" s="377">
        <f t="shared" si="222"/>
        <v>0</v>
      </c>
      <c r="AA568" s="377">
        <f t="shared" si="223"/>
        <v>0</v>
      </c>
      <c r="AB568" s="377">
        <f t="shared" si="224"/>
        <v>0</v>
      </c>
      <c r="AC568" s="377">
        <f t="shared" si="225"/>
        <v>0</v>
      </c>
      <c r="AD568" s="376"/>
      <c r="AE568" s="332">
        <v>553</v>
      </c>
      <c r="AF568" s="350">
        <v>7325680.0813855454</v>
      </c>
      <c r="AG568" s="350">
        <v>45250.526578757766</v>
      </c>
      <c r="AH568" s="350">
        <v>43325.791378434369</v>
      </c>
      <c r="AI568" s="350">
        <v>41349.264600789444</v>
      </c>
      <c r="AJ568" s="350">
        <v>39321.047204067116</v>
      </c>
      <c r="AK568" s="348">
        <v>7494926.7111475943</v>
      </c>
      <c r="AL568" s="369"/>
      <c r="AM568" s="350">
        <v>8851493.0678931735</v>
      </c>
      <c r="AN568" s="350">
        <v>1589913.3237068651</v>
      </c>
      <c r="AO568" s="350">
        <v>1605635.7315528407</v>
      </c>
      <c r="AP568" s="350">
        <v>1620060.5310732322</v>
      </c>
      <c r="AQ568" s="350">
        <v>1633144.7791915222</v>
      </c>
      <c r="AR568" s="348">
        <v>15300247.433417635</v>
      </c>
      <c r="AS568" s="369"/>
      <c r="AT568" s="350">
        <f t="shared" si="243"/>
        <v>1525812.9865076281</v>
      </c>
      <c r="AU568" s="350">
        <f t="shared" si="226"/>
        <v>1544662.7971281074</v>
      </c>
      <c r="AV568" s="350">
        <f t="shared" si="227"/>
        <v>1562309.9401744064</v>
      </c>
      <c r="AW568" s="350">
        <f t="shared" si="228"/>
        <v>1578711.2664724428</v>
      </c>
      <c r="AX568" s="350">
        <f t="shared" si="229"/>
        <v>1593823.7319874549</v>
      </c>
      <c r="AY568" s="350">
        <f t="shared" si="230"/>
        <v>7805320.7222700408</v>
      </c>
      <c r="AZ568" s="365"/>
      <c r="BA568" s="377">
        <f t="shared" si="231"/>
        <v>0</v>
      </c>
      <c r="BB568" s="377">
        <f t="shared" si="232"/>
        <v>0</v>
      </c>
      <c r="BC568" s="377">
        <f t="shared" si="233"/>
        <v>0</v>
      </c>
      <c r="BD568" s="377">
        <f t="shared" si="234"/>
        <v>0</v>
      </c>
      <c r="BE568" s="377">
        <f t="shared" si="235"/>
        <v>0</v>
      </c>
      <c r="BF568" s="377">
        <f t="shared" si="236"/>
        <v>0</v>
      </c>
      <c r="BG568" s="328"/>
    </row>
    <row r="569" spans="2:59">
      <c r="B569" s="332">
        <v>554</v>
      </c>
      <c r="C569" s="350">
        <v>5200090.2645591302</v>
      </c>
      <c r="D569" s="350">
        <v>32120.816103651752</v>
      </c>
      <c r="E569" s="350">
        <v>30754.554314185796</v>
      </c>
      <c r="F569" s="350">
        <v>29351.5285828015</v>
      </c>
      <c r="G569" s="350">
        <v>27911.810574105773</v>
      </c>
      <c r="H569" s="348">
        <v>5320228.9741338752</v>
      </c>
      <c r="I569" s="369"/>
      <c r="J569" s="350">
        <v>6812984.5808360633</v>
      </c>
      <c r="K569" s="350">
        <v>1664940.7410112061</v>
      </c>
      <c r="L569" s="350">
        <v>1682228.7815311272</v>
      </c>
      <c r="M569" s="350">
        <v>1698163.1400004479</v>
      </c>
      <c r="N569" s="350">
        <v>1712698.3874361611</v>
      </c>
      <c r="O569" s="348">
        <v>13571015.630815005</v>
      </c>
      <c r="P569" s="369"/>
      <c r="Q569" s="350">
        <f t="shared" si="237"/>
        <v>1612894.3162769331</v>
      </c>
      <c r="R569" s="350">
        <f t="shared" si="238"/>
        <v>1632819.9249075544</v>
      </c>
      <c r="S569" s="350">
        <f t="shared" si="239"/>
        <v>1651474.2272169413</v>
      </c>
      <c r="T569" s="350">
        <f t="shared" si="240"/>
        <v>1668811.6114176463</v>
      </c>
      <c r="U569" s="350">
        <f t="shared" si="241"/>
        <v>1684786.5768620553</v>
      </c>
      <c r="V569" s="350">
        <f t="shared" si="242"/>
        <v>8250786.6566811297</v>
      </c>
      <c r="W569" s="365"/>
      <c r="X569" s="377">
        <f t="shared" si="220"/>
        <v>0</v>
      </c>
      <c r="Y569" s="377">
        <f t="shared" si="221"/>
        <v>0</v>
      </c>
      <c r="Z569" s="377">
        <f t="shared" si="222"/>
        <v>0</v>
      </c>
      <c r="AA569" s="377">
        <f t="shared" si="223"/>
        <v>0</v>
      </c>
      <c r="AB569" s="377">
        <f t="shared" si="224"/>
        <v>0</v>
      </c>
      <c r="AC569" s="377">
        <f t="shared" si="225"/>
        <v>0</v>
      </c>
      <c r="AD569" s="376"/>
      <c r="AE569" s="332">
        <v>554</v>
      </c>
      <c r="AF569" s="350">
        <v>7171766.2391489735</v>
      </c>
      <c r="AG569" s="350">
        <v>44299.80496225346</v>
      </c>
      <c r="AH569" s="350">
        <v>42415.508791028631</v>
      </c>
      <c r="AI569" s="350">
        <v>40480.509192737103</v>
      </c>
      <c r="AJ569" s="350">
        <v>38494.905004475557</v>
      </c>
      <c r="AK569" s="348">
        <v>7337456.9670994673</v>
      </c>
      <c r="AL569" s="369"/>
      <c r="AM569" s="350">
        <v>9593067.4969693255</v>
      </c>
      <c r="AN569" s="350">
        <v>2495513.6867860961</v>
      </c>
      <c r="AO569" s="350">
        <v>2521633.5104072578</v>
      </c>
      <c r="AP569" s="350">
        <v>2545725.6532874522</v>
      </c>
      <c r="AQ569" s="350">
        <v>2567721.9080057796</v>
      </c>
      <c r="AR569" s="348">
        <v>19723662.255455911</v>
      </c>
      <c r="AS569" s="369"/>
      <c r="AT569" s="350">
        <f t="shared" si="243"/>
        <v>2421301.257820352</v>
      </c>
      <c r="AU569" s="350">
        <f t="shared" si="226"/>
        <v>2451213.8818238424</v>
      </c>
      <c r="AV569" s="350">
        <f t="shared" si="227"/>
        <v>2479218.0016162293</v>
      </c>
      <c r="AW569" s="350">
        <f t="shared" si="228"/>
        <v>2505245.1440947149</v>
      </c>
      <c r="AX569" s="350">
        <f t="shared" si="229"/>
        <v>2529227.0030013039</v>
      </c>
      <c r="AY569" s="350">
        <f t="shared" si="230"/>
        <v>12386205.288356444</v>
      </c>
      <c r="AZ569" s="365"/>
      <c r="BA569" s="377">
        <f t="shared" si="231"/>
        <v>0</v>
      </c>
      <c r="BB569" s="377">
        <f t="shared" si="232"/>
        <v>0</v>
      </c>
      <c r="BC569" s="377">
        <f t="shared" si="233"/>
        <v>0</v>
      </c>
      <c r="BD569" s="377">
        <f t="shared" si="234"/>
        <v>0</v>
      </c>
      <c r="BE569" s="377">
        <f t="shared" si="235"/>
        <v>0</v>
      </c>
      <c r="BF569" s="377">
        <f t="shared" si="236"/>
        <v>0</v>
      </c>
      <c r="BG569" s="328"/>
    </row>
    <row r="570" spans="2:59">
      <c r="B570" s="332">
        <v>555</v>
      </c>
      <c r="C570" s="350">
        <v>5397492.6165268207</v>
      </c>
      <c r="D570" s="350">
        <v>33340.16506172654</v>
      </c>
      <c r="E570" s="350">
        <v>31922.038155131853</v>
      </c>
      <c r="F570" s="350">
        <v>30465.751698424574</v>
      </c>
      <c r="G570" s="350">
        <v>28971.380076688114</v>
      </c>
      <c r="H570" s="348">
        <v>5522191.9515187908</v>
      </c>
      <c r="I570" s="369"/>
      <c r="J570" s="350">
        <v>7162284.8580034729</v>
      </c>
      <c r="K570" s="350">
        <v>1819934.5538726137</v>
      </c>
      <c r="L570" s="350">
        <v>1838927.5398663094</v>
      </c>
      <c r="M570" s="350">
        <v>1856441.4244965282</v>
      </c>
      <c r="N570" s="350">
        <v>1872426.496375608</v>
      </c>
      <c r="O570" s="348">
        <v>14550014.872614531</v>
      </c>
      <c r="P570" s="369"/>
      <c r="Q570" s="350">
        <f t="shared" si="237"/>
        <v>1764792.2414766522</v>
      </c>
      <c r="R570" s="350">
        <f t="shared" si="238"/>
        <v>1786594.3888108872</v>
      </c>
      <c r="S570" s="350">
        <f t="shared" si="239"/>
        <v>1807005.5017111776</v>
      </c>
      <c r="T570" s="350">
        <f t="shared" si="240"/>
        <v>1825975.6727981037</v>
      </c>
      <c r="U570" s="350">
        <f t="shared" si="241"/>
        <v>1843455.11629892</v>
      </c>
      <c r="V570" s="350">
        <f t="shared" si="242"/>
        <v>9027822.9210957401</v>
      </c>
      <c r="W570" s="365"/>
      <c r="X570" s="377">
        <f t="shared" si="220"/>
        <v>0</v>
      </c>
      <c r="Y570" s="377">
        <f t="shared" si="221"/>
        <v>0</v>
      </c>
      <c r="Z570" s="377">
        <f t="shared" si="222"/>
        <v>0</v>
      </c>
      <c r="AA570" s="377">
        <f t="shared" si="223"/>
        <v>0</v>
      </c>
      <c r="AB570" s="377">
        <f t="shared" si="224"/>
        <v>0</v>
      </c>
      <c r="AC570" s="377">
        <f t="shared" si="225"/>
        <v>0</v>
      </c>
      <c r="AD570" s="376"/>
      <c r="AE570" s="332">
        <v>555</v>
      </c>
      <c r="AF570" s="350">
        <v>5698134.0416549183</v>
      </c>
      <c r="AG570" s="350">
        <v>35197.218966250424</v>
      </c>
      <c r="AH570" s="350">
        <v>33700.102105523954</v>
      </c>
      <c r="AI570" s="350">
        <v>32162.700200061332</v>
      </c>
      <c r="AJ570" s="350">
        <v>30585.091778213126</v>
      </c>
      <c r="AK570" s="348">
        <v>5829779.1547049675</v>
      </c>
      <c r="AL570" s="369"/>
      <c r="AM570" s="350">
        <v>8081462.6517212223</v>
      </c>
      <c r="AN570" s="350">
        <v>2447969.3410116667</v>
      </c>
      <c r="AO570" s="350">
        <v>2474037.1625019</v>
      </c>
      <c r="AP570" s="350">
        <v>2498118.7260625903</v>
      </c>
      <c r="AQ570" s="350">
        <v>2520146.8751936359</v>
      </c>
      <c r="AR570" s="348">
        <v>18021734.756491017</v>
      </c>
      <c r="AS570" s="369"/>
      <c r="AT570" s="350">
        <f t="shared" si="243"/>
        <v>2383328.610066304</v>
      </c>
      <c r="AU570" s="350">
        <f t="shared" si="226"/>
        <v>2412772.1220454164</v>
      </c>
      <c r="AV570" s="350">
        <f t="shared" si="227"/>
        <v>2440337.0603963761</v>
      </c>
      <c r="AW570" s="350">
        <f t="shared" si="228"/>
        <v>2465956.0258625289</v>
      </c>
      <c r="AX570" s="350">
        <f t="shared" si="229"/>
        <v>2489561.7834154228</v>
      </c>
      <c r="AY570" s="350">
        <f t="shared" si="230"/>
        <v>12191955.601786049</v>
      </c>
      <c r="AZ570" s="365"/>
      <c r="BA570" s="377">
        <f t="shared" si="231"/>
        <v>0</v>
      </c>
      <c r="BB570" s="377">
        <f t="shared" si="232"/>
        <v>0</v>
      </c>
      <c r="BC570" s="377">
        <f t="shared" si="233"/>
        <v>0</v>
      </c>
      <c r="BD570" s="377">
        <f t="shared" si="234"/>
        <v>0</v>
      </c>
      <c r="BE570" s="377">
        <f t="shared" si="235"/>
        <v>0</v>
      </c>
      <c r="BF570" s="377">
        <f t="shared" si="236"/>
        <v>0</v>
      </c>
      <c r="BG570" s="328"/>
    </row>
    <row r="571" spans="2:59">
      <c r="B571" s="332">
        <v>556</v>
      </c>
      <c r="C571" s="350">
        <v>6448432.8294588272</v>
      </c>
      <c r="D571" s="350">
        <v>39831.794167780943</v>
      </c>
      <c r="E571" s="350">
        <v>38137.545235819765</v>
      </c>
      <c r="F571" s="350">
        <v>36397.706747150653</v>
      </c>
      <c r="G571" s="350">
        <v>34612.367570308037</v>
      </c>
      <c r="H571" s="348">
        <v>6597412.2431798875</v>
      </c>
      <c r="I571" s="369"/>
      <c r="J571" s="350">
        <v>8612690.1696387604</v>
      </c>
      <c r="K571" s="350">
        <v>2230826.2517776513</v>
      </c>
      <c r="L571" s="350">
        <v>2254163.2217492443</v>
      </c>
      <c r="M571" s="350">
        <v>2275687.4995992733</v>
      </c>
      <c r="N571" s="350">
        <v>2295338.1192904594</v>
      </c>
      <c r="O571" s="348">
        <v>17668705.26205539</v>
      </c>
      <c r="P571" s="369"/>
      <c r="Q571" s="350">
        <f t="shared" si="237"/>
        <v>2164257.3401799332</v>
      </c>
      <c r="R571" s="350">
        <f t="shared" si="238"/>
        <v>2190994.4576098705</v>
      </c>
      <c r="S571" s="350">
        <f t="shared" si="239"/>
        <v>2216025.6765134246</v>
      </c>
      <c r="T571" s="350">
        <f t="shared" si="240"/>
        <v>2239289.7928521228</v>
      </c>
      <c r="U571" s="350">
        <f t="shared" si="241"/>
        <v>2260725.7517201514</v>
      </c>
      <c r="V571" s="350">
        <f t="shared" si="242"/>
        <v>11071293.018875502</v>
      </c>
      <c r="W571" s="365"/>
      <c r="X571" s="377">
        <f t="shared" si="220"/>
        <v>0</v>
      </c>
      <c r="Y571" s="377">
        <f t="shared" si="221"/>
        <v>0</v>
      </c>
      <c r="Z571" s="377">
        <f t="shared" si="222"/>
        <v>0</v>
      </c>
      <c r="AA571" s="377">
        <f t="shared" si="223"/>
        <v>0</v>
      </c>
      <c r="AB571" s="377">
        <f t="shared" si="224"/>
        <v>0</v>
      </c>
      <c r="AC571" s="377">
        <f t="shared" si="225"/>
        <v>0</v>
      </c>
      <c r="AD571" s="376"/>
      <c r="AE571" s="332">
        <v>556</v>
      </c>
      <c r="AF571" s="350">
        <v>6001160.5077078491</v>
      </c>
      <c r="AG571" s="350">
        <v>37069.005203684916</v>
      </c>
      <c r="AH571" s="350">
        <v>35492.271747728184</v>
      </c>
      <c r="AI571" s="350">
        <v>33873.110890490789</v>
      </c>
      <c r="AJ571" s="350">
        <v>32211.605336459543</v>
      </c>
      <c r="AK571" s="348">
        <v>6139806.5008862121</v>
      </c>
      <c r="AL571" s="369"/>
      <c r="AM571" s="350">
        <v>7823339.567406795</v>
      </c>
      <c r="AN571" s="350">
        <v>1881759.1658669419</v>
      </c>
      <c r="AO571" s="350">
        <v>1901257.2658321371</v>
      </c>
      <c r="AP571" s="350">
        <v>1919225.1406049877</v>
      </c>
      <c r="AQ571" s="350">
        <v>1935611.4682031032</v>
      </c>
      <c r="AR571" s="348">
        <v>15461192.607913965</v>
      </c>
      <c r="AS571" s="369"/>
      <c r="AT571" s="350">
        <f t="shared" si="243"/>
        <v>1822179.0596989458</v>
      </c>
      <c r="AU571" s="350">
        <f t="shared" si="226"/>
        <v>1844690.1606632569</v>
      </c>
      <c r="AV571" s="350">
        <f t="shared" si="227"/>
        <v>1865764.994084409</v>
      </c>
      <c r="AW571" s="350">
        <f t="shared" si="228"/>
        <v>1885352.029714497</v>
      </c>
      <c r="AX571" s="350">
        <f t="shared" si="229"/>
        <v>1903399.8628666436</v>
      </c>
      <c r="AY571" s="350">
        <f t="shared" si="230"/>
        <v>9321386.1070277542</v>
      </c>
      <c r="AZ571" s="365"/>
      <c r="BA571" s="377">
        <f t="shared" si="231"/>
        <v>0</v>
      </c>
      <c r="BB571" s="377">
        <f t="shared" si="232"/>
        <v>0</v>
      </c>
      <c r="BC571" s="377">
        <f t="shared" si="233"/>
        <v>0</v>
      </c>
      <c r="BD571" s="377">
        <f t="shared" si="234"/>
        <v>0</v>
      </c>
      <c r="BE571" s="377">
        <f t="shared" si="235"/>
        <v>0</v>
      </c>
      <c r="BF571" s="377">
        <f t="shared" si="236"/>
        <v>0</v>
      </c>
      <c r="BG571" s="328"/>
    </row>
    <row r="572" spans="2:59">
      <c r="B572" s="332">
        <v>557</v>
      </c>
      <c r="C572" s="350">
        <v>5672807.0006208904</v>
      </c>
      <c r="D572" s="350">
        <v>35040.774522766966</v>
      </c>
      <c r="E572" s="350">
        <v>33550.312040453769</v>
      </c>
      <c r="F572" s="350">
        <v>32019.743572193314</v>
      </c>
      <c r="G572" s="350">
        <v>30449.147297296229</v>
      </c>
      <c r="H572" s="348">
        <v>5803866.9780536015</v>
      </c>
      <c r="I572" s="369"/>
      <c r="J572" s="350">
        <v>7689929.4491628148</v>
      </c>
      <c r="K572" s="350">
        <v>2077082.6440484943</v>
      </c>
      <c r="L572" s="350">
        <v>2098921.6778452722</v>
      </c>
      <c r="M572" s="350">
        <v>2119073.6378088584</v>
      </c>
      <c r="N572" s="350">
        <v>2137481.6979700411</v>
      </c>
      <c r="O572" s="348">
        <v>16122489.106835481</v>
      </c>
      <c r="P572" s="369"/>
      <c r="Q572" s="350">
        <f t="shared" si="237"/>
        <v>2017122.4485419244</v>
      </c>
      <c r="R572" s="350">
        <f t="shared" si="238"/>
        <v>2042041.8695257274</v>
      </c>
      <c r="S572" s="350">
        <f t="shared" si="239"/>
        <v>2065371.3658048185</v>
      </c>
      <c r="T572" s="350">
        <f t="shared" si="240"/>
        <v>2087053.8942366652</v>
      </c>
      <c r="U572" s="350">
        <f t="shared" si="241"/>
        <v>2107032.5506727449</v>
      </c>
      <c r="V572" s="350">
        <f t="shared" si="242"/>
        <v>10318622.128781879</v>
      </c>
      <c r="W572" s="365"/>
      <c r="X572" s="377">
        <f t="shared" si="220"/>
        <v>0</v>
      </c>
      <c r="Y572" s="377">
        <f t="shared" si="221"/>
        <v>0</v>
      </c>
      <c r="Z572" s="377">
        <f t="shared" si="222"/>
        <v>0</v>
      </c>
      <c r="AA572" s="377">
        <f t="shared" si="223"/>
        <v>0</v>
      </c>
      <c r="AB572" s="377">
        <f t="shared" si="224"/>
        <v>0</v>
      </c>
      <c r="AC572" s="377">
        <f t="shared" si="225"/>
        <v>0</v>
      </c>
      <c r="AD572" s="376"/>
      <c r="AE572" s="332">
        <v>557</v>
      </c>
      <c r="AF572" s="350">
        <v>6752201.1227229564</v>
      </c>
      <c r="AG572" s="350">
        <v>41708.162651721083</v>
      </c>
      <c r="AH572" s="350">
        <v>39934.102218259555</v>
      </c>
      <c r="AI572" s="350">
        <v>38112.304626933714</v>
      </c>
      <c r="AJ572" s="350">
        <v>36242.86293262754</v>
      </c>
      <c r="AK572" s="348">
        <v>6908198.5551524973</v>
      </c>
      <c r="AL572" s="369"/>
      <c r="AM572" s="350">
        <v>9255077.0875661336</v>
      </c>
      <c r="AN572" s="350">
        <v>2575504.5209907219</v>
      </c>
      <c r="AO572" s="350">
        <v>2602678.0514935646</v>
      </c>
      <c r="AP572" s="350">
        <v>2627760.2622872181</v>
      </c>
      <c r="AQ572" s="350">
        <v>2650680.6389006032</v>
      </c>
      <c r="AR572" s="348">
        <v>19711700.56123824</v>
      </c>
      <c r="AS572" s="369"/>
      <c r="AT572" s="350">
        <f t="shared" si="243"/>
        <v>2502875.9648431772</v>
      </c>
      <c r="AU572" s="350">
        <f t="shared" si="226"/>
        <v>2533796.358339001</v>
      </c>
      <c r="AV572" s="350">
        <f t="shared" si="227"/>
        <v>2562743.949275305</v>
      </c>
      <c r="AW572" s="350">
        <f t="shared" si="228"/>
        <v>2589647.9576602844</v>
      </c>
      <c r="AX572" s="350">
        <f t="shared" si="229"/>
        <v>2614437.7759679756</v>
      </c>
      <c r="AY572" s="350">
        <f t="shared" si="230"/>
        <v>12803502.006085742</v>
      </c>
      <c r="AZ572" s="365"/>
      <c r="BA572" s="377">
        <f t="shared" si="231"/>
        <v>0</v>
      </c>
      <c r="BB572" s="377">
        <f t="shared" si="232"/>
        <v>0</v>
      </c>
      <c r="BC572" s="377">
        <f t="shared" si="233"/>
        <v>0</v>
      </c>
      <c r="BD572" s="377">
        <f t="shared" si="234"/>
        <v>0</v>
      </c>
      <c r="BE572" s="377">
        <f t="shared" si="235"/>
        <v>0</v>
      </c>
      <c r="BF572" s="377">
        <f t="shared" si="236"/>
        <v>0</v>
      </c>
      <c r="BG572" s="328"/>
    </row>
    <row r="573" spans="2:59">
      <c r="B573" s="332">
        <v>558</v>
      </c>
      <c r="C573" s="350">
        <v>7209702.6969820634</v>
      </c>
      <c r="D573" s="350">
        <v>44534.137430286028</v>
      </c>
      <c r="E573" s="350">
        <v>42639.873906545479</v>
      </c>
      <c r="F573" s="350">
        <v>40694.638750067868</v>
      </c>
      <c r="G573" s="350">
        <v>38698.531320751965</v>
      </c>
      <c r="H573" s="348">
        <v>7376269.8783897143</v>
      </c>
      <c r="I573" s="369"/>
      <c r="J573" s="350">
        <v>10653994.865454562</v>
      </c>
      <c r="K573" s="350">
        <v>3531376.9039586587</v>
      </c>
      <c r="L573" s="350">
        <v>3569318.3982425616</v>
      </c>
      <c r="M573" s="350">
        <v>3604396.6779076457</v>
      </c>
      <c r="N573" s="350">
        <v>3636514.6769120391</v>
      </c>
      <c r="O573" s="348">
        <v>24995601.52247547</v>
      </c>
      <c r="P573" s="369"/>
      <c r="Q573" s="350">
        <f t="shared" si="237"/>
        <v>3444292.1684724987</v>
      </c>
      <c r="R573" s="350">
        <f t="shared" si="238"/>
        <v>3486842.7665283727</v>
      </c>
      <c r="S573" s="350">
        <f t="shared" si="239"/>
        <v>3526678.5243360163</v>
      </c>
      <c r="T573" s="350">
        <f t="shared" si="240"/>
        <v>3563702.0391575778</v>
      </c>
      <c r="U573" s="350">
        <f t="shared" si="241"/>
        <v>3597816.1455912869</v>
      </c>
      <c r="V573" s="350">
        <f t="shared" si="242"/>
        <v>17619331.644085757</v>
      </c>
      <c r="W573" s="365"/>
      <c r="X573" s="377">
        <f t="shared" si="220"/>
        <v>0</v>
      </c>
      <c r="Y573" s="377">
        <f t="shared" si="221"/>
        <v>0</v>
      </c>
      <c r="Z573" s="377">
        <f t="shared" si="222"/>
        <v>0</v>
      </c>
      <c r="AA573" s="377">
        <f t="shared" si="223"/>
        <v>0</v>
      </c>
      <c r="AB573" s="377">
        <f t="shared" si="224"/>
        <v>0</v>
      </c>
      <c r="AC573" s="377">
        <f t="shared" si="225"/>
        <v>0</v>
      </c>
      <c r="AD573" s="376"/>
      <c r="AE573" s="332">
        <v>558</v>
      </c>
      <c r="AF573" s="350">
        <v>5905581.7103015715</v>
      </c>
      <c r="AG573" s="350">
        <v>36478.617572184674</v>
      </c>
      <c r="AH573" s="350">
        <v>34926.996307000336</v>
      </c>
      <c r="AI573" s="350">
        <v>33333.623369841182</v>
      </c>
      <c r="AJ573" s="350">
        <v>31698.580147976107</v>
      </c>
      <c r="AK573" s="348">
        <v>6042019.5276985737</v>
      </c>
      <c r="AL573" s="369"/>
      <c r="AM573" s="350">
        <v>8263282.6543454453</v>
      </c>
      <c r="AN573" s="350">
        <v>2423306.4708034536</v>
      </c>
      <c r="AO573" s="350">
        <v>2449023.3851896576</v>
      </c>
      <c r="AP573" s="350">
        <v>2472773.4998478983</v>
      </c>
      <c r="AQ573" s="350">
        <v>2494490.3841077359</v>
      </c>
      <c r="AR573" s="348">
        <v>18102876.394294191</v>
      </c>
      <c r="AS573" s="369"/>
      <c r="AT573" s="350">
        <f t="shared" si="243"/>
        <v>2357700.9440438738</v>
      </c>
      <c r="AU573" s="350">
        <f t="shared" si="226"/>
        <v>2386827.8532312689</v>
      </c>
      <c r="AV573" s="350">
        <f t="shared" si="227"/>
        <v>2414096.388882657</v>
      </c>
      <c r="AW573" s="350">
        <f t="shared" si="228"/>
        <v>2439439.8764780569</v>
      </c>
      <c r="AX573" s="350">
        <f t="shared" si="229"/>
        <v>2462791.8039597599</v>
      </c>
      <c r="AY573" s="350">
        <f t="shared" si="230"/>
        <v>12060856.866595618</v>
      </c>
      <c r="AZ573" s="365"/>
      <c r="BA573" s="377">
        <f t="shared" si="231"/>
        <v>0</v>
      </c>
      <c r="BB573" s="377">
        <f t="shared" si="232"/>
        <v>0</v>
      </c>
      <c r="BC573" s="377">
        <f t="shared" si="233"/>
        <v>0</v>
      </c>
      <c r="BD573" s="377">
        <f t="shared" si="234"/>
        <v>0</v>
      </c>
      <c r="BE573" s="377">
        <f t="shared" si="235"/>
        <v>0</v>
      </c>
      <c r="BF573" s="377">
        <f t="shared" si="236"/>
        <v>0</v>
      </c>
      <c r="BG573" s="328"/>
    </row>
    <row r="574" spans="2:59">
      <c r="B574" s="332">
        <v>559</v>
      </c>
      <c r="C574" s="350">
        <v>6142320.5864278814</v>
      </c>
      <c r="D574" s="350">
        <v>37940.947169896201</v>
      </c>
      <c r="E574" s="350">
        <v>36327.12558431887</v>
      </c>
      <c r="F574" s="350">
        <v>34669.878614607442</v>
      </c>
      <c r="G574" s="350">
        <v>32969.290910633958</v>
      </c>
      <c r="H574" s="348">
        <v>6284227.8287073383</v>
      </c>
      <c r="I574" s="369"/>
      <c r="J574" s="350">
        <v>7621930.8966415711</v>
      </c>
      <c r="K574" s="350">
        <v>1535830.2826548796</v>
      </c>
      <c r="L574" s="350">
        <v>1551329.2363753272</v>
      </c>
      <c r="M574" s="350">
        <v>1565576.6721592334</v>
      </c>
      <c r="N574" s="350">
        <v>1578530.9340249561</v>
      </c>
      <c r="O574" s="348">
        <v>13853198.021855967</v>
      </c>
      <c r="P574" s="369"/>
      <c r="Q574" s="350">
        <f t="shared" si="237"/>
        <v>1479610.3102136897</v>
      </c>
      <c r="R574" s="350">
        <f t="shared" si="238"/>
        <v>1497889.3354849834</v>
      </c>
      <c r="S574" s="350">
        <f t="shared" si="239"/>
        <v>1515002.1107910085</v>
      </c>
      <c r="T574" s="350">
        <f t="shared" si="240"/>
        <v>1530906.7935446259</v>
      </c>
      <c r="U574" s="350">
        <f t="shared" si="241"/>
        <v>1545561.6431143221</v>
      </c>
      <c r="V574" s="350">
        <f t="shared" si="242"/>
        <v>7568970.1931486288</v>
      </c>
      <c r="W574" s="365"/>
      <c r="X574" s="377">
        <f t="shared" si="220"/>
        <v>0</v>
      </c>
      <c r="Y574" s="377">
        <f t="shared" si="221"/>
        <v>0</v>
      </c>
      <c r="Z574" s="377">
        <f t="shared" si="222"/>
        <v>0</v>
      </c>
      <c r="AA574" s="377">
        <f t="shared" si="223"/>
        <v>0</v>
      </c>
      <c r="AB574" s="377">
        <f t="shared" si="224"/>
        <v>0</v>
      </c>
      <c r="AC574" s="377">
        <f t="shared" si="225"/>
        <v>0</v>
      </c>
      <c r="AD574" s="376"/>
      <c r="AE574" s="332">
        <v>559</v>
      </c>
      <c r="AF574" s="350">
        <v>4969165.0384895988</v>
      </c>
      <c r="AG574" s="350">
        <v>30694.397264189614</v>
      </c>
      <c r="AH574" s="350">
        <v>29388.80832779843</v>
      </c>
      <c r="AI574" s="350">
        <v>28048.088059919854</v>
      </c>
      <c r="AJ574" s="350">
        <v>26672.304942681298</v>
      </c>
      <c r="AK574" s="348">
        <v>5083968.6370841889</v>
      </c>
      <c r="AL574" s="369"/>
      <c r="AM574" s="350">
        <v>7175081.3808229594</v>
      </c>
      <c r="AN574" s="350">
        <v>2263862.5100735528</v>
      </c>
      <c r="AO574" s="350">
        <v>2288069.9568666751</v>
      </c>
      <c r="AP574" s="350">
        <v>2310441.1554490835</v>
      </c>
      <c r="AQ574" s="350">
        <v>2330913.9441734115</v>
      </c>
      <c r="AR574" s="348">
        <v>16368368.947385684</v>
      </c>
      <c r="AS574" s="369"/>
      <c r="AT574" s="350">
        <f t="shared" si="243"/>
        <v>2205916.3423333606</v>
      </c>
      <c r="AU574" s="350">
        <f t="shared" si="226"/>
        <v>2233168.1128093633</v>
      </c>
      <c r="AV574" s="350">
        <f t="shared" si="227"/>
        <v>2258681.1485388768</v>
      </c>
      <c r="AW574" s="350">
        <f t="shared" si="228"/>
        <v>2282393.0673891637</v>
      </c>
      <c r="AX574" s="350">
        <f t="shared" si="229"/>
        <v>2304241.63923073</v>
      </c>
      <c r="AY574" s="350">
        <f t="shared" si="230"/>
        <v>11284400.310301494</v>
      </c>
      <c r="AZ574" s="365"/>
      <c r="BA574" s="377">
        <f t="shared" si="231"/>
        <v>0</v>
      </c>
      <c r="BB574" s="377">
        <f t="shared" si="232"/>
        <v>0</v>
      </c>
      <c r="BC574" s="377">
        <f t="shared" si="233"/>
        <v>0</v>
      </c>
      <c r="BD574" s="377">
        <f t="shared" si="234"/>
        <v>0</v>
      </c>
      <c r="BE574" s="377">
        <f t="shared" si="235"/>
        <v>0</v>
      </c>
      <c r="BF574" s="377">
        <f t="shared" si="236"/>
        <v>0</v>
      </c>
      <c r="BG574" s="328"/>
    </row>
    <row r="575" spans="2:59">
      <c r="B575" s="332">
        <v>560</v>
      </c>
      <c r="C575" s="350">
        <v>6321373.9842756074</v>
      </c>
      <c r="D575" s="350">
        <v>39046.95513752543</v>
      </c>
      <c r="E575" s="350">
        <v>37386.089404001301</v>
      </c>
      <c r="F575" s="350">
        <v>35680.532402792858</v>
      </c>
      <c r="G575" s="350">
        <v>33930.371251379926</v>
      </c>
      <c r="H575" s="348">
        <v>6467417.932471307</v>
      </c>
      <c r="I575" s="369"/>
      <c r="J575" s="350">
        <v>8728491.3676313665</v>
      </c>
      <c r="K575" s="350">
        <v>2475901.7356833434</v>
      </c>
      <c r="L575" s="350">
        <v>2502080.9428610737</v>
      </c>
      <c r="M575" s="350">
        <v>2526250.0625018952</v>
      </c>
      <c r="N575" s="350">
        <v>2548341.275600289</v>
      </c>
      <c r="O575" s="348">
        <v>18781065.384277966</v>
      </c>
      <c r="P575" s="369"/>
      <c r="Q575" s="350">
        <f t="shared" si="237"/>
        <v>2407117.3833557591</v>
      </c>
      <c r="R575" s="350">
        <f t="shared" si="238"/>
        <v>2436854.7805458182</v>
      </c>
      <c r="S575" s="350">
        <f t="shared" si="239"/>
        <v>2464694.8534570723</v>
      </c>
      <c r="T575" s="350">
        <f t="shared" si="240"/>
        <v>2490569.5300991023</v>
      </c>
      <c r="U575" s="350">
        <f t="shared" si="241"/>
        <v>2514410.9043489089</v>
      </c>
      <c r="V575" s="350">
        <f t="shared" si="242"/>
        <v>12313647.451806659</v>
      </c>
      <c r="W575" s="365"/>
      <c r="X575" s="377">
        <f t="shared" si="220"/>
        <v>0</v>
      </c>
      <c r="Y575" s="377">
        <f t="shared" si="221"/>
        <v>0</v>
      </c>
      <c r="Z575" s="377">
        <f t="shared" si="222"/>
        <v>0</v>
      </c>
      <c r="AA575" s="377">
        <f t="shared" si="223"/>
        <v>0</v>
      </c>
      <c r="AB575" s="377">
        <f t="shared" si="224"/>
        <v>0</v>
      </c>
      <c r="AC575" s="377">
        <f t="shared" si="225"/>
        <v>0</v>
      </c>
      <c r="AD575" s="376"/>
      <c r="AE575" s="332">
        <v>560</v>
      </c>
      <c r="AF575" s="350">
        <v>5347494.3654858368</v>
      </c>
      <c r="AG575" s="350">
        <v>33031.327225171575</v>
      </c>
      <c r="AH575" s="350">
        <v>31626.336763613283</v>
      </c>
      <c r="AI575" s="350">
        <v>30183.540232880565</v>
      </c>
      <c r="AJ575" s="350">
        <v>28703.011329013756</v>
      </c>
      <c r="AK575" s="348">
        <v>5471038.5810365165</v>
      </c>
      <c r="AL575" s="369"/>
      <c r="AM575" s="350">
        <v>6872406.3545514271</v>
      </c>
      <c r="AN575" s="350">
        <v>1576781.9960378648</v>
      </c>
      <c r="AO575" s="350">
        <v>1593013.7279282704</v>
      </c>
      <c r="AP575" s="350">
        <v>1607962.5726600098</v>
      </c>
      <c r="AQ575" s="350">
        <v>1621585.5853119958</v>
      </c>
      <c r="AR575" s="348">
        <v>13271750.236489568</v>
      </c>
      <c r="AS575" s="369"/>
      <c r="AT575" s="350">
        <f t="shared" si="243"/>
        <v>1524911.9890655903</v>
      </c>
      <c r="AU575" s="350">
        <f t="shared" si="226"/>
        <v>1543750.6688126933</v>
      </c>
      <c r="AV575" s="350">
        <f t="shared" si="227"/>
        <v>1561387.391164657</v>
      </c>
      <c r="AW575" s="350">
        <f t="shared" si="228"/>
        <v>1577779.0324271293</v>
      </c>
      <c r="AX575" s="350">
        <f t="shared" si="229"/>
        <v>1592882.573982982</v>
      </c>
      <c r="AY575" s="350">
        <f t="shared" si="230"/>
        <v>7800711.6554530514</v>
      </c>
      <c r="AZ575" s="365"/>
      <c r="BA575" s="377">
        <f t="shared" si="231"/>
        <v>0</v>
      </c>
      <c r="BB575" s="377">
        <f t="shared" si="232"/>
        <v>0</v>
      </c>
      <c r="BC575" s="377">
        <f t="shared" si="233"/>
        <v>0</v>
      </c>
      <c r="BD575" s="377">
        <f t="shared" si="234"/>
        <v>0</v>
      </c>
      <c r="BE575" s="377">
        <f t="shared" si="235"/>
        <v>0</v>
      </c>
      <c r="BF575" s="377">
        <f t="shared" si="236"/>
        <v>0</v>
      </c>
      <c r="BG575" s="328"/>
    </row>
    <row r="576" spans="2:59">
      <c r="B576" s="332">
        <v>561</v>
      </c>
      <c r="C576" s="350">
        <v>5782188.2680293536</v>
      </c>
      <c r="D576" s="350">
        <v>35716.419635997911</v>
      </c>
      <c r="E576" s="350">
        <v>34197.218528288817</v>
      </c>
      <c r="F576" s="350">
        <v>32637.138123717014</v>
      </c>
      <c r="G576" s="350">
        <v>31036.258109017792</v>
      </c>
      <c r="H576" s="348">
        <v>5915775.3024263754</v>
      </c>
      <c r="I576" s="369"/>
      <c r="J576" s="350">
        <v>8689082.0212010778</v>
      </c>
      <c r="K576" s="350">
        <v>2978521.7800791785</v>
      </c>
      <c r="L576" s="350">
        <v>3010622.9310960285</v>
      </c>
      <c r="M576" s="350">
        <v>3040309.7422706331</v>
      </c>
      <c r="N576" s="350">
        <v>3067500.2881967658</v>
      </c>
      <c r="O576" s="348">
        <v>20786036.762843683</v>
      </c>
      <c r="P576" s="369"/>
      <c r="Q576" s="350">
        <f t="shared" si="237"/>
        <v>2906893.7531717243</v>
      </c>
      <c r="R576" s="350">
        <f t="shared" si="238"/>
        <v>2942805.3604431804</v>
      </c>
      <c r="S576" s="350">
        <f t="shared" si="239"/>
        <v>2976425.7125677397</v>
      </c>
      <c r="T576" s="350">
        <f t="shared" si="240"/>
        <v>3007672.604146916</v>
      </c>
      <c r="U576" s="350">
        <f t="shared" si="241"/>
        <v>3036464.0300877481</v>
      </c>
      <c r="V576" s="350">
        <f t="shared" si="242"/>
        <v>14870261.460417308</v>
      </c>
      <c r="W576" s="365"/>
      <c r="X576" s="377">
        <f t="shared" si="220"/>
        <v>0</v>
      </c>
      <c r="Y576" s="377">
        <f t="shared" si="221"/>
        <v>0</v>
      </c>
      <c r="Z576" s="377">
        <f t="shared" si="222"/>
        <v>0</v>
      </c>
      <c r="AA576" s="377">
        <f t="shared" si="223"/>
        <v>0</v>
      </c>
      <c r="AB576" s="377">
        <f t="shared" si="224"/>
        <v>0</v>
      </c>
      <c r="AC576" s="377">
        <f t="shared" si="225"/>
        <v>0</v>
      </c>
      <c r="AD576" s="376"/>
      <c r="AE576" s="332">
        <v>561</v>
      </c>
      <c r="AF576" s="350">
        <v>5299988.1909140246</v>
      </c>
      <c r="AG576" s="350">
        <v>32737.882877175318</v>
      </c>
      <c r="AH576" s="350">
        <v>31345.374097236112</v>
      </c>
      <c r="AI576" s="350">
        <v>29915.395110418376</v>
      </c>
      <c r="AJ576" s="350">
        <v>28448.018958057801</v>
      </c>
      <c r="AK576" s="348">
        <v>5422434.861956913</v>
      </c>
      <c r="AL576" s="369"/>
      <c r="AM576" s="350">
        <v>7287603.7907075286</v>
      </c>
      <c r="AN576" s="350">
        <v>2044908.377650422</v>
      </c>
      <c r="AO576" s="350">
        <v>2066504.0968648535</v>
      </c>
      <c r="AP576" s="350">
        <v>2086439.4701823844</v>
      </c>
      <c r="AQ576" s="350">
        <v>2104658.4989004694</v>
      </c>
      <c r="AR576" s="348">
        <v>15590114.234305657</v>
      </c>
      <c r="AS576" s="369"/>
      <c r="AT576" s="350">
        <f t="shared" si="243"/>
        <v>1987615.599793504</v>
      </c>
      <c r="AU576" s="350">
        <f t="shared" si="226"/>
        <v>2012170.4947732468</v>
      </c>
      <c r="AV576" s="350">
        <f t="shared" si="227"/>
        <v>2035158.7227676173</v>
      </c>
      <c r="AW576" s="350">
        <f t="shared" si="228"/>
        <v>2056524.075071966</v>
      </c>
      <c r="AX576" s="350">
        <f t="shared" si="229"/>
        <v>2076210.4799424116</v>
      </c>
      <c r="AY576" s="350">
        <f t="shared" si="230"/>
        <v>10167679.372348744</v>
      </c>
      <c r="AZ576" s="365"/>
      <c r="BA576" s="377">
        <f t="shared" si="231"/>
        <v>0</v>
      </c>
      <c r="BB576" s="377">
        <f t="shared" si="232"/>
        <v>0</v>
      </c>
      <c r="BC576" s="377">
        <f t="shared" si="233"/>
        <v>0</v>
      </c>
      <c r="BD576" s="377">
        <f t="shared" si="234"/>
        <v>0</v>
      </c>
      <c r="BE576" s="377">
        <f t="shared" si="235"/>
        <v>0</v>
      </c>
      <c r="BF576" s="377">
        <f t="shared" si="236"/>
        <v>0</v>
      </c>
      <c r="BG576" s="328"/>
    </row>
    <row r="577" spans="2:59">
      <c r="B577" s="332">
        <v>562</v>
      </c>
      <c r="C577" s="350">
        <v>6952695.417952423</v>
      </c>
      <c r="D577" s="350">
        <v>42946.610459210227</v>
      </c>
      <c r="E577" s="350">
        <v>41119.872537354844</v>
      </c>
      <c r="F577" s="350">
        <v>39243.979989805877</v>
      </c>
      <c r="G577" s="350">
        <v>37319.028634553608</v>
      </c>
      <c r="H577" s="348">
        <v>7113324.9095733482</v>
      </c>
      <c r="I577" s="369"/>
      <c r="J577" s="350">
        <v>10288371.530304432</v>
      </c>
      <c r="K577" s="350">
        <v>3419831.484019246</v>
      </c>
      <c r="L577" s="350">
        <v>3456584.2797829257</v>
      </c>
      <c r="M577" s="350">
        <v>3490564.3622644478</v>
      </c>
      <c r="N577" s="350">
        <v>3521677.7259995313</v>
      </c>
      <c r="O577" s="348">
        <v>24177029.38237058</v>
      </c>
      <c r="P577" s="369"/>
      <c r="Q577" s="350">
        <f t="shared" si="237"/>
        <v>3335676.1123520089</v>
      </c>
      <c r="R577" s="350">
        <f t="shared" si="238"/>
        <v>3376884.8735600356</v>
      </c>
      <c r="S577" s="350">
        <f t="shared" si="239"/>
        <v>3415464.4072455708</v>
      </c>
      <c r="T577" s="350">
        <f t="shared" si="240"/>
        <v>3451320.3822746421</v>
      </c>
      <c r="U577" s="350">
        <f t="shared" si="241"/>
        <v>3484358.6973649776</v>
      </c>
      <c r="V577" s="350">
        <f t="shared" si="242"/>
        <v>17063704.47279723</v>
      </c>
      <c r="W577" s="365"/>
      <c r="X577" s="377">
        <f t="shared" si="220"/>
        <v>0</v>
      </c>
      <c r="Y577" s="377">
        <f t="shared" si="221"/>
        <v>0</v>
      </c>
      <c r="Z577" s="377">
        <f t="shared" si="222"/>
        <v>0</v>
      </c>
      <c r="AA577" s="377">
        <f t="shared" si="223"/>
        <v>0</v>
      </c>
      <c r="AB577" s="377">
        <f t="shared" si="224"/>
        <v>0</v>
      </c>
      <c r="AC577" s="377">
        <f t="shared" si="225"/>
        <v>0</v>
      </c>
      <c r="AD577" s="376"/>
      <c r="AE577" s="332">
        <v>562</v>
      </c>
      <c r="AF577" s="350">
        <v>5361202.3386940388</v>
      </c>
      <c r="AG577" s="350">
        <v>33116.001002774188</v>
      </c>
      <c r="AH577" s="350">
        <v>31707.408934502666</v>
      </c>
      <c r="AI577" s="350">
        <v>30260.913883521858</v>
      </c>
      <c r="AJ577" s="350">
        <v>28776.589734788522</v>
      </c>
      <c r="AK577" s="348">
        <v>5485063.2522496274</v>
      </c>
      <c r="AL577" s="369"/>
      <c r="AM577" s="350">
        <v>6907699.3717118418</v>
      </c>
      <c r="AN577" s="350">
        <v>1598718.3742262891</v>
      </c>
      <c r="AO577" s="350">
        <v>1615196.1513288601</v>
      </c>
      <c r="AP577" s="350">
        <v>1630373.3203060201</v>
      </c>
      <c r="AQ577" s="350">
        <v>1644206.3274994693</v>
      </c>
      <c r="AR577" s="348">
        <v>13396193.545072481</v>
      </c>
      <c r="AS577" s="369"/>
      <c r="AT577" s="350">
        <f t="shared" si="243"/>
        <v>1546497.033017803</v>
      </c>
      <c r="AU577" s="350">
        <f t="shared" si="226"/>
        <v>1565602.373223515</v>
      </c>
      <c r="AV577" s="350">
        <f t="shared" si="227"/>
        <v>1583488.7423943575</v>
      </c>
      <c r="AW577" s="350">
        <f t="shared" si="228"/>
        <v>1600112.4064224982</v>
      </c>
      <c r="AX577" s="350">
        <f t="shared" si="229"/>
        <v>1615429.7377646808</v>
      </c>
      <c r="AY577" s="350">
        <f t="shared" si="230"/>
        <v>7911130.2928228537</v>
      </c>
      <c r="AZ577" s="365"/>
      <c r="BA577" s="377">
        <f t="shared" si="231"/>
        <v>0</v>
      </c>
      <c r="BB577" s="377">
        <f t="shared" si="232"/>
        <v>0</v>
      </c>
      <c r="BC577" s="377">
        <f t="shared" si="233"/>
        <v>0</v>
      </c>
      <c r="BD577" s="377">
        <f t="shared" si="234"/>
        <v>0</v>
      </c>
      <c r="BE577" s="377">
        <f t="shared" si="235"/>
        <v>0</v>
      </c>
      <c r="BF577" s="377">
        <f t="shared" si="236"/>
        <v>0</v>
      </c>
      <c r="BG577" s="328"/>
    </row>
    <row r="578" spans="2:59">
      <c r="B578" s="332">
        <v>563</v>
      </c>
      <c r="C578" s="350">
        <v>4665861.5119657815</v>
      </c>
      <c r="D578" s="350">
        <v>28820.89963176172</v>
      </c>
      <c r="E578" s="350">
        <v>27595.000084943047</v>
      </c>
      <c r="F578" s="350">
        <v>26336.113521957417</v>
      </c>
      <c r="G578" s="350">
        <v>25044.304244985226</v>
      </c>
      <c r="H578" s="348">
        <v>4773657.8294494292</v>
      </c>
      <c r="I578" s="369"/>
      <c r="J578" s="350">
        <v>6961567.4221831243</v>
      </c>
      <c r="K578" s="350">
        <v>2352887.8357615685</v>
      </c>
      <c r="L578" s="350">
        <v>2378213.4539617361</v>
      </c>
      <c r="M578" s="350">
        <v>2401631.6556466264</v>
      </c>
      <c r="N578" s="350">
        <v>2423077.7419751827</v>
      </c>
      <c r="O578" s="348">
        <v>16517378.109528236</v>
      </c>
      <c r="P578" s="369"/>
      <c r="Q578" s="350">
        <f t="shared" si="237"/>
        <v>2295705.9102173429</v>
      </c>
      <c r="R578" s="350">
        <f t="shared" si="238"/>
        <v>2324066.9361298066</v>
      </c>
      <c r="S578" s="350">
        <f t="shared" si="239"/>
        <v>2350618.4538767929</v>
      </c>
      <c r="T578" s="350">
        <f t="shared" si="240"/>
        <v>2375295.5421246691</v>
      </c>
      <c r="U578" s="350">
        <f t="shared" si="241"/>
        <v>2398033.4377301973</v>
      </c>
      <c r="V578" s="350">
        <f t="shared" si="242"/>
        <v>11743720.280078806</v>
      </c>
      <c r="W578" s="365"/>
      <c r="X578" s="377">
        <f t="shared" si="220"/>
        <v>0</v>
      </c>
      <c r="Y578" s="377">
        <f t="shared" si="221"/>
        <v>0</v>
      </c>
      <c r="Z578" s="377">
        <f t="shared" si="222"/>
        <v>0</v>
      </c>
      <c r="AA578" s="377">
        <f t="shared" si="223"/>
        <v>0</v>
      </c>
      <c r="AB578" s="377">
        <f t="shared" si="224"/>
        <v>0</v>
      </c>
      <c r="AC578" s="377">
        <f t="shared" si="225"/>
        <v>0</v>
      </c>
      <c r="AD578" s="376"/>
      <c r="AE578" s="332">
        <v>563</v>
      </c>
      <c r="AF578" s="350">
        <v>6002743.5231599277</v>
      </c>
      <c r="AG578" s="350">
        <v>37078.783447070593</v>
      </c>
      <c r="AH578" s="350">
        <v>35501.634072653258</v>
      </c>
      <c r="AI578" s="350">
        <v>33882.046105250418</v>
      </c>
      <c r="AJ578" s="350">
        <v>32220.102271164636</v>
      </c>
      <c r="AK578" s="348">
        <v>6141426.0890560672</v>
      </c>
      <c r="AL578" s="369"/>
      <c r="AM578" s="350">
        <v>7941342.4841787182</v>
      </c>
      <c r="AN578" s="350">
        <v>1999627.0905570276</v>
      </c>
      <c r="AO578" s="350">
        <v>2020471.2559027108</v>
      </c>
      <c r="AP578" s="350">
        <v>2039690.1287439817</v>
      </c>
      <c r="AQ578" s="350">
        <v>2057229.102849972</v>
      </c>
      <c r="AR578" s="348">
        <v>16058360.062232411</v>
      </c>
      <c r="AS578" s="369"/>
      <c r="AT578" s="350">
        <f t="shared" si="243"/>
        <v>1938598.9610187905</v>
      </c>
      <c r="AU578" s="350">
        <f t="shared" si="226"/>
        <v>1962548.3071099571</v>
      </c>
      <c r="AV578" s="350">
        <f t="shared" si="227"/>
        <v>1984969.6218300576</v>
      </c>
      <c r="AW578" s="350">
        <f t="shared" si="228"/>
        <v>2005808.0826387312</v>
      </c>
      <c r="AX578" s="350">
        <f t="shared" si="229"/>
        <v>2025009.0005788074</v>
      </c>
      <c r="AY578" s="350">
        <f t="shared" si="230"/>
        <v>9916933.9731763434</v>
      </c>
      <c r="AZ578" s="365"/>
      <c r="BA578" s="377">
        <f t="shared" si="231"/>
        <v>0</v>
      </c>
      <c r="BB578" s="377">
        <f t="shared" si="232"/>
        <v>0</v>
      </c>
      <c r="BC578" s="377">
        <f t="shared" si="233"/>
        <v>0</v>
      </c>
      <c r="BD578" s="377">
        <f t="shared" si="234"/>
        <v>0</v>
      </c>
      <c r="BE578" s="377">
        <f t="shared" si="235"/>
        <v>0</v>
      </c>
      <c r="BF578" s="377">
        <f t="shared" si="236"/>
        <v>0</v>
      </c>
      <c r="BG578" s="328"/>
    </row>
    <row r="579" spans="2:59">
      <c r="B579" s="332">
        <v>564</v>
      </c>
      <c r="C579" s="350">
        <v>4959763.3254502136</v>
      </c>
      <c r="D579" s="350">
        <v>30636.323138504817</v>
      </c>
      <c r="E579" s="350">
        <v>29333.204390249994</v>
      </c>
      <c r="F579" s="350">
        <v>27995.020779360686</v>
      </c>
      <c r="G579" s="350">
        <v>26621.840658395304</v>
      </c>
      <c r="H579" s="348">
        <v>5074349.7144167256</v>
      </c>
      <c r="I579" s="369"/>
      <c r="J579" s="350">
        <v>6302463.6892817616</v>
      </c>
      <c r="K579" s="350">
        <v>1389924.3342125947</v>
      </c>
      <c r="L579" s="350">
        <v>1404150.5271154917</v>
      </c>
      <c r="M579" s="350">
        <v>1417245.348717188</v>
      </c>
      <c r="N579" s="350">
        <v>1429170.9890446188</v>
      </c>
      <c r="O579" s="348">
        <v>11942954.888371654</v>
      </c>
      <c r="P579" s="369"/>
      <c r="Q579" s="350">
        <f t="shared" si="237"/>
        <v>1342700.363831548</v>
      </c>
      <c r="R579" s="350">
        <f t="shared" si="238"/>
        <v>1359288.0110740899</v>
      </c>
      <c r="S579" s="350">
        <f t="shared" si="239"/>
        <v>1374817.3227252418</v>
      </c>
      <c r="T579" s="350">
        <f t="shared" si="240"/>
        <v>1389250.3279378272</v>
      </c>
      <c r="U579" s="350">
        <f t="shared" si="241"/>
        <v>1402549.1483862235</v>
      </c>
      <c r="V579" s="350">
        <f t="shared" si="242"/>
        <v>6868605.1739549283</v>
      </c>
      <c r="W579" s="365"/>
      <c r="X579" s="377">
        <f t="shared" si="220"/>
        <v>0</v>
      </c>
      <c r="Y579" s="377">
        <f t="shared" si="221"/>
        <v>0</v>
      </c>
      <c r="Z579" s="377">
        <f t="shared" si="222"/>
        <v>0</v>
      </c>
      <c r="AA579" s="377">
        <f t="shared" si="223"/>
        <v>0</v>
      </c>
      <c r="AB579" s="377">
        <f t="shared" si="224"/>
        <v>0</v>
      </c>
      <c r="AC579" s="377">
        <f t="shared" si="225"/>
        <v>0</v>
      </c>
      <c r="AD579" s="376"/>
      <c r="AE579" s="332">
        <v>564</v>
      </c>
      <c r="AF579" s="350">
        <v>5178338.8777166456</v>
      </c>
      <c r="AG579" s="350">
        <v>31986.458378839838</v>
      </c>
      <c r="AH579" s="350">
        <v>30625.911507228677</v>
      </c>
      <c r="AI579" s="350">
        <v>29228.75447309604</v>
      </c>
      <c r="AJ579" s="350">
        <v>27795.058641276588</v>
      </c>
      <c r="AK579" s="348">
        <v>5297975.0607170863</v>
      </c>
      <c r="AL579" s="369"/>
      <c r="AM579" s="350">
        <v>7281233.6914130934</v>
      </c>
      <c r="AN579" s="350">
        <v>2160860.320191598</v>
      </c>
      <c r="AO579" s="350">
        <v>2183821.2897291225</v>
      </c>
      <c r="AP579" s="350">
        <v>2205028.6486578751</v>
      </c>
      <c r="AQ579" s="350">
        <v>2224423.1445079315</v>
      </c>
      <c r="AR579" s="348">
        <v>16055367.09449962</v>
      </c>
      <c r="AS579" s="369"/>
      <c r="AT579" s="350">
        <f t="shared" si="243"/>
        <v>2102894.8136964478</v>
      </c>
      <c r="AU579" s="350">
        <f t="shared" si="226"/>
        <v>2128873.8618127583</v>
      </c>
      <c r="AV579" s="350">
        <f t="shared" si="227"/>
        <v>2153195.3782218937</v>
      </c>
      <c r="AW579" s="350">
        <f t="shared" si="228"/>
        <v>2175799.8941847789</v>
      </c>
      <c r="AX579" s="350">
        <f t="shared" si="229"/>
        <v>2196628.0858666548</v>
      </c>
      <c r="AY579" s="350">
        <f t="shared" si="230"/>
        <v>10757392.033782534</v>
      </c>
      <c r="AZ579" s="365"/>
      <c r="BA579" s="377">
        <f t="shared" si="231"/>
        <v>0</v>
      </c>
      <c r="BB579" s="377">
        <f t="shared" si="232"/>
        <v>0</v>
      </c>
      <c r="BC579" s="377">
        <f t="shared" si="233"/>
        <v>0</v>
      </c>
      <c r="BD579" s="377">
        <f t="shared" si="234"/>
        <v>0</v>
      </c>
      <c r="BE579" s="377">
        <f t="shared" si="235"/>
        <v>0</v>
      </c>
      <c r="BF579" s="377">
        <f t="shared" si="236"/>
        <v>0</v>
      </c>
      <c r="BG579" s="328"/>
    </row>
    <row r="580" spans="2:59">
      <c r="B580" s="332">
        <v>565</v>
      </c>
      <c r="C580" s="350">
        <v>7110569.0256902548</v>
      </c>
      <c r="D580" s="350">
        <v>43921.791439495741</v>
      </c>
      <c r="E580" s="350">
        <v>42053.574107313143</v>
      </c>
      <c r="F580" s="350">
        <v>40135.086004170917</v>
      </c>
      <c r="G580" s="350">
        <v>38166.425123776018</v>
      </c>
      <c r="H580" s="348">
        <v>7274845.9023650112</v>
      </c>
      <c r="I580" s="369"/>
      <c r="J580" s="350">
        <v>9013687.6083984692</v>
      </c>
      <c r="K580" s="350">
        <v>1970551.3975756061</v>
      </c>
      <c r="L580" s="350">
        <v>1990694.1384408574</v>
      </c>
      <c r="M580" s="350">
        <v>2009232.7241304195</v>
      </c>
      <c r="N580" s="350">
        <v>2026113.5646020775</v>
      </c>
      <c r="O580" s="348">
        <v>17010279.43314743</v>
      </c>
      <c r="P580" s="369"/>
      <c r="Q580" s="350">
        <f t="shared" si="237"/>
        <v>1903118.5827082144</v>
      </c>
      <c r="R580" s="350">
        <f t="shared" si="238"/>
        <v>1926629.6061361104</v>
      </c>
      <c r="S580" s="350">
        <f t="shared" si="239"/>
        <v>1948640.5643335443</v>
      </c>
      <c r="T580" s="350">
        <f t="shared" si="240"/>
        <v>1969097.6381262487</v>
      </c>
      <c r="U580" s="350">
        <f t="shared" si="241"/>
        <v>1987947.1394783014</v>
      </c>
      <c r="V580" s="350">
        <f t="shared" si="242"/>
        <v>9735433.5307824202</v>
      </c>
      <c r="W580" s="365"/>
      <c r="X580" s="377">
        <f t="shared" si="220"/>
        <v>0</v>
      </c>
      <c r="Y580" s="377">
        <f t="shared" si="221"/>
        <v>0</v>
      </c>
      <c r="Z580" s="377">
        <f t="shared" si="222"/>
        <v>0</v>
      </c>
      <c r="AA580" s="377">
        <f t="shared" si="223"/>
        <v>0</v>
      </c>
      <c r="AB580" s="377">
        <f t="shared" si="224"/>
        <v>0</v>
      </c>
      <c r="AC580" s="377">
        <f t="shared" si="225"/>
        <v>0</v>
      </c>
      <c r="AD580" s="376"/>
      <c r="AE580" s="332">
        <v>565</v>
      </c>
      <c r="AF580" s="350">
        <v>6333742.6024349257</v>
      </c>
      <c r="AG580" s="350">
        <v>39123.35575542623</v>
      </c>
      <c r="AH580" s="350">
        <v>37459.240314777962</v>
      </c>
      <c r="AI580" s="350">
        <v>35750.34616196945</v>
      </c>
      <c r="AJ580" s="350">
        <v>33996.760584942545</v>
      </c>
      <c r="AK580" s="348">
        <v>6480072.3052520417</v>
      </c>
      <c r="AL580" s="369"/>
      <c r="AM580" s="350">
        <v>8835626.8245719373</v>
      </c>
      <c r="AN580" s="350">
        <v>2571915.7194528244</v>
      </c>
      <c r="AO580" s="350">
        <v>2599187.7247188073</v>
      </c>
      <c r="AP580" s="350">
        <v>2624372.178473006</v>
      </c>
      <c r="AQ580" s="350">
        <v>2647398.5884550279</v>
      </c>
      <c r="AR580" s="348">
        <v>19278501.035671603</v>
      </c>
      <c r="AS580" s="369"/>
      <c r="AT580" s="350">
        <f t="shared" si="243"/>
        <v>2501884.2221370116</v>
      </c>
      <c r="AU580" s="350">
        <f t="shared" si="226"/>
        <v>2532792.363697398</v>
      </c>
      <c r="AV580" s="350">
        <f t="shared" si="227"/>
        <v>2561728.4844040293</v>
      </c>
      <c r="AW580" s="350">
        <f t="shared" si="228"/>
        <v>2588621.8323110365</v>
      </c>
      <c r="AX580" s="350">
        <f t="shared" si="229"/>
        <v>2613401.8278700854</v>
      </c>
      <c r="AY580" s="350">
        <f t="shared" si="230"/>
        <v>12798428.730419561</v>
      </c>
      <c r="AZ580" s="365"/>
      <c r="BA580" s="377">
        <f t="shared" si="231"/>
        <v>0</v>
      </c>
      <c r="BB580" s="377">
        <f t="shared" si="232"/>
        <v>0</v>
      </c>
      <c r="BC580" s="377">
        <f t="shared" si="233"/>
        <v>0</v>
      </c>
      <c r="BD580" s="377">
        <f t="shared" si="234"/>
        <v>0</v>
      </c>
      <c r="BE580" s="377">
        <f t="shared" si="235"/>
        <v>0</v>
      </c>
      <c r="BF580" s="377">
        <f t="shared" si="236"/>
        <v>0</v>
      </c>
      <c r="BG580" s="328"/>
    </row>
    <row r="581" spans="2:59">
      <c r="B581" s="332">
        <v>566</v>
      </c>
      <c r="C581" s="350">
        <v>5418913.4666544441</v>
      </c>
      <c r="D581" s="350">
        <v>33472.48107024331</v>
      </c>
      <c r="E581" s="350">
        <v>32048.726090377524</v>
      </c>
      <c r="F581" s="350">
        <v>30586.660117855216</v>
      </c>
      <c r="G581" s="350">
        <v>29086.357832973648</v>
      </c>
      <c r="H581" s="348">
        <v>5544107.6917658942</v>
      </c>
      <c r="I581" s="369"/>
      <c r="J581" s="350">
        <v>7640200.1520996382</v>
      </c>
      <c r="K581" s="350">
        <v>2282200.8213739903</v>
      </c>
      <c r="L581" s="350">
        <v>2306467.8713823622</v>
      </c>
      <c r="M581" s="350">
        <v>2328882.9437299566</v>
      </c>
      <c r="N581" s="350">
        <v>2349383.4493616312</v>
      </c>
      <c r="O581" s="348">
        <v>16907135.237947576</v>
      </c>
      <c r="P581" s="369"/>
      <c r="Q581" s="350">
        <f t="shared" si="237"/>
        <v>2221286.6854451941</v>
      </c>
      <c r="R581" s="350">
        <f t="shared" si="238"/>
        <v>2248728.340303747</v>
      </c>
      <c r="S581" s="350">
        <f t="shared" si="239"/>
        <v>2274419.1452919845</v>
      </c>
      <c r="T581" s="350">
        <f t="shared" si="240"/>
        <v>2298296.2836121013</v>
      </c>
      <c r="U581" s="350">
        <f t="shared" si="241"/>
        <v>2320297.0915286574</v>
      </c>
      <c r="V581" s="350">
        <f t="shared" si="242"/>
        <v>11363027.546181682</v>
      </c>
      <c r="W581" s="365"/>
      <c r="X581" s="377">
        <f t="shared" si="220"/>
        <v>0</v>
      </c>
      <c r="Y581" s="377">
        <f t="shared" si="221"/>
        <v>0</v>
      </c>
      <c r="Z581" s="377">
        <f t="shared" si="222"/>
        <v>0</v>
      </c>
      <c r="AA581" s="377">
        <f t="shared" si="223"/>
        <v>0</v>
      </c>
      <c r="AB581" s="377">
        <f t="shared" si="224"/>
        <v>0</v>
      </c>
      <c r="AC581" s="377">
        <f t="shared" si="225"/>
        <v>0</v>
      </c>
      <c r="AD581" s="376"/>
      <c r="AE581" s="332">
        <v>566</v>
      </c>
      <c r="AF581" s="350">
        <v>4025581.4458106793</v>
      </c>
      <c r="AG581" s="350">
        <v>24865.907080964742</v>
      </c>
      <c r="AH581" s="350">
        <v>23808.233496473196</v>
      </c>
      <c r="AI581" s="350">
        <v>22722.099590155598</v>
      </c>
      <c r="AJ581" s="350">
        <v>21607.560840220871</v>
      </c>
      <c r="AK581" s="348">
        <v>4118585.2468184936</v>
      </c>
      <c r="AL581" s="369"/>
      <c r="AM581" s="350">
        <v>5833833.1067805625</v>
      </c>
      <c r="AN581" s="350">
        <v>1855456.6106890091</v>
      </c>
      <c r="AO581" s="350">
        <v>1875312.6899739834</v>
      </c>
      <c r="AP581" s="350">
        <v>1893663.8827799109</v>
      </c>
      <c r="AQ581" s="350">
        <v>1910459.2327978096</v>
      </c>
      <c r="AR581" s="348">
        <v>13368725.523021275</v>
      </c>
      <c r="AS581" s="369"/>
      <c r="AT581" s="350">
        <f t="shared" si="243"/>
        <v>1808251.6609698832</v>
      </c>
      <c r="AU581" s="350">
        <f t="shared" si="226"/>
        <v>1830590.7036080444</v>
      </c>
      <c r="AV581" s="350">
        <f t="shared" si="227"/>
        <v>1851504.4564775103</v>
      </c>
      <c r="AW581" s="350">
        <f t="shared" si="228"/>
        <v>1870941.7831897554</v>
      </c>
      <c r="AX581" s="350">
        <f t="shared" si="229"/>
        <v>1888851.6719575888</v>
      </c>
      <c r="AY581" s="350">
        <f t="shared" si="230"/>
        <v>9250140.2762027811</v>
      </c>
      <c r="AZ581" s="365"/>
      <c r="BA581" s="377">
        <f t="shared" si="231"/>
        <v>0</v>
      </c>
      <c r="BB581" s="377">
        <f t="shared" si="232"/>
        <v>0</v>
      </c>
      <c r="BC581" s="377">
        <f t="shared" si="233"/>
        <v>0</v>
      </c>
      <c r="BD581" s="377">
        <f t="shared" si="234"/>
        <v>0</v>
      </c>
      <c r="BE581" s="377">
        <f t="shared" si="235"/>
        <v>0</v>
      </c>
      <c r="BF581" s="377">
        <f t="shared" si="236"/>
        <v>0</v>
      </c>
      <c r="BG581" s="328"/>
    </row>
    <row r="582" spans="2:59">
      <c r="B582" s="332">
        <v>567</v>
      </c>
      <c r="C582" s="350">
        <v>6306439.2163617061</v>
      </c>
      <c r="D582" s="350">
        <v>38954.703482399542</v>
      </c>
      <c r="E582" s="350">
        <v>37297.761681286684</v>
      </c>
      <c r="F582" s="350">
        <v>35596.234199299703</v>
      </c>
      <c r="G582" s="350">
        <v>33850.207948096628</v>
      </c>
      <c r="H582" s="348">
        <v>6452138.123672789</v>
      </c>
      <c r="I582" s="369"/>
      <c r="J582" s="350">
        <v>8363228.7542204065</v>
      </c>
      <c r="K582" s="350">
        <v>2121153.707388157</v>
      </c>
      <c r="L582" s="350">
        <v>2143285.0407634163</v>
      </c>
      <c r="M582" s="350">
        <v>2163692.4326805365</v>
      </c>
      <c r="N582" s="350">
        <v>2182317.9468719582</v>
      </c>
      <c r="O582" s="348">
        <v>16973677.881924473</v>
      </c>
      <c r="P582" s="369"/>
      <c r="Q582" s="350">
        <f t="shared" si="237"/>
        <v>2056789.5378587004</v>
      </c>
      <c r="R582" s="350">
        <f t="shared" si="238"/>
        <v>2082199.0039057576</v>
      </c>
      <c r="S582" s="350">
        <f t="shared" si="239"/>
        <v>2105987.2790821297</v>
      </c>
      <c r="T582" s="350">
        <f t="shared" si="240"/>
        <v>2128096.1984812371</v>
      </c>
      <c r="U582" s="350">
        <f t="shared" si="241"/>
        <v>2148467.7389238616</v>
      </c>
      <c r="V582" s="350">
        <f t="shared" si="242"/>
        <v>10521539.758251684</v>
      </c>
      <c r="W582" s="365"/>
      <c r="X582" s="377">
        <f t="shared" si="220"/>
        <v>0</v>
      </c>
      <c r="Y582" s="377">
        <f t="shared" si="221"/>
        <v>0</v>
      </c>
      <c r="Z582" s="377">
        <f t="shared" si="222"/>
        <v>0</v>
      </c>
      <c r="AA582" s="377">
        <f t="shared" si="223"/>
        <v>0</v>
      </c>
      <c r="AB582" s="377">
        <f t="shared" si="224"/>
        <v>0</v>
      </c>
      <c r="AC582" s="377">
        <f t="shared" si="225"/>
        <v>0</v>
      </c>
      <c r="AD582" s="376"/>
      <c r="AE582" s="332">
        <v>567</v>
      </c>
      <c r="AF582" s="350">
        <v>4696323.6407001624</v>
      </c>
      <c r="AG582" s="350">
        <v>29009.063372277957</v>
      </c>
      <c r="AH582" s="350">
        <v>27775.160263906284</v>
      </c>
      <c r="AI582" s="350">
        <v>26508.054776196081</v>
      </c>
      <c r="AJ582" s="350">
        <v>25207.811631137847</v>
      </c>
      <c r="AK582" s="348">
        <v>4804823.7307436801</v>
      </c>
      <c r="AL582" s="369"/>
      <c r="AM582" s="350">
        <v>6091213.393545175</v>
      </c>
      <c r="AN582" s="350">
        <v>1441131.2083322385</v>
      </c>
      <c r="AO582" s="350">
        <v>1456030.2253260962</v>
      </c>
      <c r="AP582" s="350">
        <v>1469757.1211927491</v>
      </c>
      <c r="AQ582" s="350">
        <v>1482272.610036813</v>
      </c>
      <c r="AR582" s="348">
        <v>11940404.558433073</v>
      </c>
      <c r="AS582" s="369"/>
      <c r="AT582" s="350">
        <f t="shared" si="243"/>
        <v>1394889.7528450126</v>
      </c>
      <c r="AU582" s="350">
        <f t="shared" si="226"/>
        <v>1412122.1449599606</v>
      </c>
      <c r="AV582" s="350">
        <f t="shared" si="227"/>
        <v>1428255.0650621899</v>
      </c>
      <c r="AW582" s="350">
        <f t="shared" si="228"/>
        <v>1443249.066416553</v>
      </c>
      <c r="AX582" s="350">
        <f t="shared" si="229"/>
        <v>1457064.7984056752</v>
      </c>
      <c r="AY582" s="350">
        <f t="shared" si="230"/>
        <v>7135580.8276893925</v>
      </c>
      <c r="AZ582" s="365"/>
      <c r="BA582" s="377">
        <f t="shared" si="231"/>
        <v>0</v>
      </c>
      <c r="BB582" s="377">
        <f t="shared" si="232"/>
        <v>0</v>
      </c>
      <c r="BC582" s="377">
        <f t="shared" si="233"/>
        <v>0</v>
      </c>
      <c r="BD582" s="377">
        <f t="shared" si="234"/>
        <v>0</v>
      </c>
      <c r="BE582" s="377">
        <f t="shared" si="235"/>
        <v>0</v>
      </c>
      <c r="BF582" s="377">
        <f t="shared" si="236"/>
        <v>0</v>
      </c>
      <c r="BG582" s="328"/>
    </row>
    <row r="583" spans="2:59">
      <c r="B583" s="332">
        <v>568</v>
      </c>
      <c r="C583" s="350">
        <v>5591771.6536731552</v>
      </c>
      <c r="D583" s="350">
        <v>34540.221389113925</v>
      </c>
      <c r="E583" s="350">
        <v>33071.049979167423</v>
      </c>
      <c r="F583" s="350">
        <v>31562.345492324057</v>
      </c>
      <c r="G583" s="350">
        <v>30014.184991116486</v>
      </c>
      <c r="H583" s="348">
        <v>5720959.4555248767</v>
      </c>
      <c r="I583" s="369"/>
      <c r="J583" s="350">
        <v>7097828.1863100938</v>
      </c>
      <c r="K583" s="350">
        <v>1559202.494490305</v>
      </c>
      <c r="L583" s="350">
        <v>1575151.968289355</v>
      </c>
      <c r="M583" s="350">
        <v>1589832.2232841102</v>
      </c>
      <c r="N583" s="350">
        <v>1603200.8498429123</v>
      </c>
      <c r="O583" s="348">
        <v>13425215.722216776</v>
      </c>
      <c r="P583" s="369"/>
      <c r="Q583" s="350">
        <f t="shared" si="237"/>
        <v>1506056.5326369386</v>
      </c>
      <c r="R583" s="350">
        <f t="shared" si="238"/>
        <v>1524662.273101191</v>
      </c>
      <c r="S583" s="350">
        <f t="shared" si="239"/>
        <v>1542080.9183101875</v>
      </c>
      <c r="T583" s="350">
        <f t="shared" si="240"/>
        <v>1558269.8777917861</v>
      </c>
      <c r="U583" s="350">
        <f t="shared" si="241"/>
        <v>1573186.6648517959</v>
      </c>
      <c r="V583" s="350">
        <f t="shared" si="242"/>
        <v>7704256.2666918989</v>
      </c>
      <c r="W583" s="365"/>
      <c r="X583" s="377">
        <f t="shared" si="220"/>
        <v>0</v>
      </c>
      <c r="Y583" s="377">
        <f t="shared" si="221"/>
        <v>0</v>
      </c>
      <c r="Z583" s="377">
        <f t="shared" si="222"/>
        <v>0</v>
      </c>
      <c r="AA583" s="377">
        <f t="shared" si="223"/>
        <v>0</v>
      </c>
      <c r="AB583" s="377">
        <f t="shared" si="224"/>
        <v>0</v>
      </c>
      <c r="AC583" s="377">
        <f t="shared" si="225"/>
        <v>0</v>
      </c>
      <c r="AD583" s="376"/>
      <c r="AE583" s="332">
        <v>568</v>
      </c>
      <c r="AF583" s="350">
        <v>4702763.3109851237</v>
      </c>
      <c r="AG583" s="350">
        <v>29048.841040447416</v>
      </c>
      <c r="AH583" s="350">
        <v>27813.245985396727</v>
      </c>
      <c r="AI583" s="350">
        <v>26544.403023403065</v>
      </c>
      <c r="AJ583" s="350">
        <v>25242.376965200958</v>
      </c>
      <c r="AK583" s="348">
        <v>4811412.1779995719</v>
      </c>
      <c r="AL583" s="369"/>
      <c r="AM583" s="350">
        <v>6386492.9458660409</v>
      </c>
      <c r="AN583" s="350">
        <v>1733579.1802240866</v>
      </c>
      <c r="AO583" s="350">
        <v>1751817.1497413518</v>
      </c>
      <c r="AP583" s="350">
        <v>1768647.1166489522</v>
      </c>
      <c r="AQ583" s="350">
        <v>1784021.6468061865</v>
      </c>
      <c r="AR583" s="348">
        <v>13424558.039286617</v>
      </c>
      <c r="AS583" s="369"/>
      <c r="AT583" s="350">
        <f t="shared" si="243"/>
        <v>1683729.6348809171</v>
      </c>
      <c r="AU583" s="350">
        <f t="shared" si="226"/>
        <v>1704530.3391836393</v>
      </c>
      <c r="AV583" s="350">
        <f t="shared" si="227"/>
        <v>1724003.9037559552</v>
      </c>
      <c r="AW583" s="350">
        <f t="shared" si="228"/>
        <v>1742102.7136255491</v>
      </c>
      <c r="AX583" s="350">
        <f t="shared" si="229"/>
        <v>1758779.2698409855</v>
      </c>
      <c r="AY583" s="350">
        <f t="shared" si="230"/>
        <v>8613145.8612870462</v>
      </c>
      <c r="AZ583" s="365"/>
      <c r="BA583" s="377">
        <f t="shared" si="231"/>
        <v>0</v>
      </c>
      <c r="BB583" s="377">
        <f t="shared" si="232"/>
        <v>0</v>
      </c>
      <c r="BC583" s="377">
        <f t="shared" si="233"/>
        <v>0</v>
      </c>
      <c r="BD583" s="377">
        <f t="shared" si="234"/>
        <v>0</v>
      </c>
      <c r="BE583" s="377">
        <f t="shared" si="235"/>
        <v>0</v>
      </c>
      <c r="BF583" s="377">
        <f t="shared" si="236"/>
        <v>0</v>
      </c>
      <c r="BG583" s="328"/>
    </row>
    <row r="584" spans="2:59">
      <c r="B584" s="332">
        <v>569</v>
      </c>
      <c r="C584" s="350">
        <v>5706756.6174517861</v>
      </c>
      <c r="D584" s="350">
        <v>35250.480382383765</v>
      </c>
      <c r="E584" s="350">
        <v>33751.098042553633</v>
      </c>
      <c r="F584" s="350">
        <v>32211.369697526927</v>
      </c>
      <c r="G584" s="350">
        <v>30631.373994495047</v>
      </c>
      <c r="H584" s="348">
        <v>5838600.939568745</v>
      </c>
      <c r="I584" s="369"/>
      <c r="J584" s="350">
        <v>7230831.7699295636</v>
      </c>
      <c r="K584" s="350">
        <v>1578153.9743735888</v>
      </c>
      <c r="L584" s="350">
        <v>1594281.63575859</v>
      </c>
      <c r="M584" s="350">
        <v>1609124.5533207334</v>
      </c>
      <c r="N584" s="350">
        <v>1622639.8106977171</v>
      </c>
      <c r="O584" s="348">
        <v>13635031.744080193</v>
      </c>
      <c r="P584" s="369"/>
      <c r="Q584" s="350">
        <f t="shared" si="237"/>
        <v>1524075.1524777776</v>
      </c>
      <c r="R584" s="350">
        <f t="shared" si="238"/>
        <v>1542903.493991205</v>
      </c>
      <c r="S584" s="350">
        <f t="shared" si="239"/>
        <v>1560530.5377160364</v>
      </c>
      <c r="T584" s="350">
        <f t="shared" si="240"/>
        <v>1576913.1836232063</v>
      </c>
      <c r="U584" s="350">
        <f t="shared" si="241"/>
        <v>1592008.4367032221</v>
      </c>
      <c r="V584" s="350">
        <f t="shared" si="242"/>
        <v>7796430.8045114484</v>
      </c>
      <c r="W584" s="365"/>
      <c r="X584" s="377">
        <f t="shared" si="220"/>
        <v>0</v>
      </c>
      <c r="Y584" s="377">
        <f t="shared" si="221"/>
        <v>0</v>
      </c>
      <c r="Z584" s="377">
        <f t="shared" si="222"/>
        <v>0</v>
      </c>
      <c r="AA584" s="377">
        <f t="shared" si="223"/>
        <v>0</v>
      </c>
      <c r="AB584" s="377">
        <f t="shared" si="224"/>
        <v>0</v>
      </c>
      <c r="AC584" s="377">
        <f t="shared" si="225"/>
        <v>0</v>
      </c>
      <c r="AD584" s="376"/>
      <c r="AE584" s="332">
        <v>569</v>
      </c>
      <c r="AF584" s="350">
        <v>4164335.7290228554</v>
      </c>
      <c r="AG584" s="350">
        <v>25722.988513768589</v>
      </c>
      <c r="AH584" s="350">
        <v>24628.858893777473</v>
      </c>
      <c r="AI584" s="350">
        <v>23505.287977758449</v>
      </c>
      <c r="AJ584" s="350">
        <v>22352.333156147037</v>
      </c>
      <c r="AK584" s="348">
        <v>4260545.1975643076</v>
      </c>
      <c r="AL584" s="369"/>
      <c r="AM584" s="350">
        <v>5878678.708324749</v>
      </c>
      <c r="AN584" s="350">
        <v>1761244.8677097824</v>
      </c>
      <c r="AO584" s="350">
        <v>1779978.3683784823</v>
      </c>
      <c r="AP584" s="350">
        <v>1797282.677444424</v>
      </c>
      <c r="AQ584" s="350">
        <v>1813109.4897270999</v>
      </c>
      <c r="AR584" s="348">
        <v>13030294.111584539</v>
      </c>
      <c r="AS584" s="369"/>
      <c r="AT584" s="350">
        <f t="shared" si="243"/>
        <v>1714342.9793018936</v>
      </c>
      <c r="AU584" s="350">
        <f t="shared" si="226"/>
        <v>1735521.8791960138</v>
      </c>
      <c r="AV584" s="350">
        <f t="shared" si="227"/>
        <v>1755349.5094847048</v>
      </c>
      <c r="AW584" s="350">
        <f t="shared" si="228"/>
        <v>1773777.3894666655</v>
      </c>
      <c r="AX584" s="350">
        <f t="shared" si="229"/>
        <v>1790757.1565709529</v>
      </c>
      <c r="AY584" s="350">
        <f t="shared" si="230"/>
        <v>8769748.914020231</v>
      </c>
      <c r="AZ584" s="365"/>
      <c r="BA584" s="377">
        <f t="shared" si="231"/>
        <v>0</v>
      </c>
      <c r="BB584" s="377">
        <f t="shared" si="232"/>
        <v>0</v>
      </c>
      <c r="BC584" s="377">
        <f t="shared" si="233"/>
        <v>0</v>
      </c>
      <c r="BD584" s="377">
        <f t="shared" si="234"/>
        <v>0</v>
      </c>
      <c r="BE584" s="377">
        <f t="shared" si="235"/>
        <v>0</v>
      </c>
      <c r="BF584" s="377">
        <f t="shared" si="236"/>
        <v>0</v>
      </c>
      <c r="BG584" s="328"/>
    </row>
    <row r="585" spans="2:59">
      <c r="B585" s="332">
        <v>570</v>
      </c>
      <c r="C585" s="350">
        <v>5277067.8996808827</v>
      </c>
      <c r="D585" s="350">
        <v>32596.304861740453</v>
      </c>
      <c r="E585" s="350">
        <v>31209.818115366015</v>
      </c>
      <c r="F585" s="350">
        <v>29786.023205503825</v>
      </c>
      <c r="G585" s="350">
        <v>28324.99285761411</v>
      </c>
      <c r="H585" s="348">
        <v>5398985.0387211069</v>
      </c>
      <c r="I585" s="369"/>
      <c r="J585" s="350">
        <v>6778688.6812141212</v>
      </c>
      <c r="K585" s="350">
        <v>1552768.027831431</v>
      </c>
      <c r="L585" s="350">
        <v>1568748.8835885855</v>
      </c>
      <c r="M585" s="350">
        <v>1583466.3672178546</v>
      </c>
      <c r="N585" s="350">
        <v>1596878.1898855122</v>
      </c>
      <c r="O585" s="348">
        <v>13080550.149737503</v>
      </c>
      <c r="P585" s="369"/>
      <c r="Q585" s="350">
        <f t="shared" si="237"/>
        <v>1501620.7815332385</v>
      </c>
      <c r="R585" s="350">
        <f t="shared" si="238"/>
        <v>1520171.7229696906</v>
      </c>
      <c r="S585" s="350">
        <f t="shared" si="239"/>
        <v>1537539.0654732196</v>
      </c>
      <c r="T585" s="350">
        <f t="shared" si="240"/>
        <v>1553680.3440123508</v>
      </c>
      <c r="U585" s="350">
        <f t="shared" si="241"/>
        <v>1568553.1970278982</v>
      </c>
      <c r="V585" s="350">
        <f t="shared" si="242"/>
        <v>7681565.1110163964</v>
      </c>
      <c r="W585" s="365"/>
      <c r="X585" s="377">
        <f t="shared" si="220"/>
        <v>0</v>
      </c>
      <c r="Y585" s="377">
        <f t="shared" si="221"/>
        <v>0</v>
      </c>
      <c r="Z585" s="377">
        <f t="shared" si="222"/>
        <v>0</v>
      </c>
      <c r="AA585" s="377">
        <f t="shared" si="223"/>
        <v>0</v>
      </c>
      <c r="AB585" s="377">
        <f t="shared" si="224"/>
        <v>0</v>
      </c>
      <c r="AC585" s="377">
        <f t="shared" si="225"/>
        <v>0</v>
      </c>
      <c r="AD585" s="376"/>
      <c r="AE585" s="332">
        <v>570</v>
      </c>
      <c r="AF585" s="350">
        <v>5714930.6589997346</v>
      </c>
      <c r="AG585" s="350">
        <v>35300.971214662983</v>
      </c>
      <c r="AH585" s="350">
        <v>33799.441242759785</v>
      </c>
      <c r="AI585" s="350">
        <v>32257.50747628239</v>
      </c>
      <c r="AJ585" s="350">
        <v>30675.248675067956</v>
      </c>
      <c r="AK585" s="348">
        <v>5846963.8276085081</v>
      </c>
      <c r="AL585" s="369"/>
      <c r="AM585" s="350">
        <v>7705583.7908203574</v>
      </c>
      <c r="AN585" s="350">
        <v>2050546.5235204285</v>
      </c>
      <c r="AO585" s="350">
        <v>2072068.3528221971</v>
      </c>
      <c r="AP585" s="350">
        <v>2091924.4225134905</v>
      </c>
      <c r="AQ585" s="350">
        <v>2110058.6539197983</v>
      </c>
      <c r="AR585" s="348">
        <v>16030181.743596271</v>
      </c>
      <c r="AS585" s="369"/>
      <c r="AT585" s="350">
        <f t="shared" si="243"/>
        <v>1990653.1318206228</v>
      </c>
      <c r="AU585" s="350">
        <f t="shared" si="226"/>
        <v>2015245.5523057655</v>
      </c>
      <c r="AV585" s="350">
        <f t="shared" si="227"/>
        <v>2038268.9115794373</v>
      </c>
      <c r="AW585" s="350">
        <f t="shared" si="228"/>
        <v>2059666.9150372082</v>
      </c>
      <c r="AX585" s="350">
        <f t="shared" si="229"/>
        <v>2079383.4052447304</v>
      </c>
      <c r="AY585" s="350">
        <f t="shared" si="230"/>
        <v>10183217.915987764</v>
      </c>
      <c r="AZ585" s="365"/>
      <c r="BA585" s="377">
        <f t="shared" si="231"/>
        <v>0</v>
      </c>
      <c r="BB585" s="377">
        <f t="shared" si="232"/>
        <v>0</v>
      </c>
      <c r="BC585" s="377">
        <f t="shared" si="233"/>
        <v>0</v>
      </c>
      <c r="BD585" s="377">
        <f t="shared" si="234"/>
        <v>0</v>
      </c>
      <c r="BE585" s="377">
        <f t="shared" si="235"/>
        <v>0</v>
      </c>
      <c r="BF585" s="377">
        <f t="shared" si="236"/>
        <v>0</v>
      </c>
      <c r="BG585" s="328"/>
    </row>
    <row r="586" spans="2:59">
      <c r="B586" s="332">
        <v>571</v>
      </c>
      <c r="C586" s="350">
        <v>5008563.3731876342</v>
      </c>
      <c r="D586" s="350">
        <v>30937.759705847569</v>
      </c>
      <c r="E586" s="350">
        <v>29621.819326207078</v>
      </c>
      <c r="F586" s="350">
        <v>28270.469074127443</v>
      </c>
      <c r="G586" s="350">
        <v>26883.777974702833</v>
      </c>
      <c r="H586" s="348">
        <v>5124277.199268518</v>
      </c>
      <c r="I586" s="369"/>
      <c r="J586" s="350">
        <v>7171957.7211783472</v>
      </c>
      <c r="K586" s="350">
        <v>2221058.5637679473</v>
      </c>
      <c r="L586" s="350">
        <v>2244763.8611560687</v>
      </c>
      <c r="M586" s="350">
        <v>2266667.3507346148</v>
      </c>
      <c r="N586" s="350">
        <v>2286708.0709683527</v>
      </c>
      <c r="O586" s="348">
        <v>16191155.567805331</v>
      </c>
      <c r="P586" s="369"/>
      <c r="Q586" s="350">
        <f t="shared" si="237"/>
        <v>2163394.3479907131</v>
      </c>
      <c r="R586" s="350">
        <f t="shared" si="238"/>
        <v>2190120.8040620997</v>
      </c>
      <c r="S586" s="350">
        <f t="shared" si="239"/>
        <v>2215142.0418298617</v>
      </c>
      <c r="T586" s="350">
        <f t="shared" si="240"/>
        <v>2238396.8816604875</v>
      </c>
      <c r="U586" s="350">
        <f t="shared" si="241"/>
        <v>2259824.2929936498</v>
      </c>
      <c r="V586" s="350">
        <f t="shared" si="242"/>
        <v>11066878.368536813</v>
      </c>
      <c r="W586" s="365"/>
      <c r="X586" s="377">
        <f t="shared" si="220"/>
        <v>0</v>
      </c>
      <c r="Y586" s="377">
        <f t="shared" si="221"/>
        <v>0</v>
      </c>
      <c r="Z586" s="377">
        <f t="shared" si="222"/>
        <v>0</v>
      </c>
      <c r="AA586" s="377">
        <f t="shared" si="223"/>
        <v>0</v>
      </c>
      <c r="AB586" s="377">
        <f t="shared" si="224"/>
        <v>0</v>
      </c>
      <c r="AC586" s="377">
        <f t="shared" si="225"/>
        <v>0</v>
      </c>
      <c r="AD586" s="376"/>
      <c r="AE586" s="332">
        <v>571</v>
      </c>
      <c r="AF586" s="350">
        <v>6288610.9813943189</v>
      </c>
      <c r="AG586" s="350">
        <v>38844.578959997103</v>
      </c>
      <c r="AH586" s="350">
        <v>37192.321315304864</v>
      </c>
      <c r="AI586" s="350">
        <v>35495.604032974428</v>
      </c>
      <c r="AJ586" s="350">
        <v>33754.51377896421</v>
      </c>
      <c r="AK586" s="348">
        <v>6433897.9994815597</v>
      </c>
      <c r="AL586" s="369"/>
      <c r="AM586" s="350">
        <v>8809392.5297890175</v>
      </c>
      <c r="AN586" s="350">
        <v>2590767.7254555258</v>
      </c>
      <c r="AO586" s="350">
        <v>2618270.1499156207</v>
      </c>
      <c r="AP586" s="350">
        <v>2643669.912389914</v>
      </c>
      <c r="AQ586" s="350">
        <v>2666895.9868919044</v>
      </c>
      <c r="AR586" s="348">
        <v>19328996.304441981</v>
      </c>
      <c r="AS586" s="369"/>
      <c r="AT586" s="350">
        <f t="shared" si="243"/>
        <v>2520781.5483946986</v>
      </c>
      <c r="AU586" s="350">
        <f t="shared" si="226"/>
        <v>2551923.1464955285</v>
      </c>
      <c r="AV586" s="350">
        <f t="shared" si="227"/>
        <v>2581077.8286003158</v>
      </c>
      <c r="AW586" s="350">
        <f t="shared" si="228"/>
        <v>2608174.3083569398</v>
      </c>
      <c r="AX586" s="350">
        <f t="shared" si="229"/>
        <v>2633141.4731129403</v>
      </c>
      <c r="AY586" s="350">
        <f t="shared" si="230"/>
        <v>12895098.304960422</v>
      </c>
      <c r="AZ586" s="365"/>
      <c r="BA586" s="377">
        <f t="shared" si="231"/>
        <v>0</v>
      </c>
      <c r="BB586" s="377">
        <f t="shared" si="232"/>
        <v>0</v>
      </c>
      <c r="BC586" s="377">
        <f t="shared" si="233"/>
        <v>0</v>
      </c>
      <c r="BD586" s="377">
        <f t="shared" si="234"/>
        <v>0</v>
      </c>
      <c r="BE586" s="377">
        <f t="shared" si="235"/>
        <v>0</v>
      </c>
      <c r="BF586" s="377">
        <f t="shared" si="236"/>
        <v>0</v>
      </c>
      <c r="BG586" s="328"/>
    </row>
    <row r="587" spans="2:59">
      <c r="B587" s="332">
        <v>572</v>
      </c>
      <c r="C587" s="350">
        <v>4579880.3343566731</v>
      </c>
      <c r="D587" s="350">
        <v>28289.796236657334</v>
      </c>
      <c r="E587" s="350">
        <v>27086.487220310199</v>
      </c>
      <c r="F587" s="350">
        <v>25850.799063212125</v>
      </c>
      <c r="G587" s="350">
        <v>24582.794882594721</v>
      </c>
      <c r="H587" s="348">
        <v>4685690.2117594481</v>
      </c>
      <c r="I587" s="369"/>
      <c r="J587" s="350">
        <v>6230361.9432205092</v>
      </c>
      <c r="K587" s="350">
        <v>1699161.3650987237</v>
      </c>
      <c r="L587" s="350">
        <v>1717047.082918864</v>
      </c>
      <c r="M587" s="350">
        <v>1733552.8137005598</v>
      </c>
      <c r="N587" s="350">
        <v>1748632.0595549573</v>
      </c>
      <c r="O587" s="348">
        <v>13128755.264493614</v>
      </c>
      <c r="P587" s="369"/>
      <c r="Q587" s="350">
        <f t="shared" si="237"/>
        <v>1650481.6088638362</v>
      </c>
      <c r="R587" s="350">
        <f t="shared" si="238"/>
        <v>1670871.5688620664</v>
      </c>
      <c r="S587" s="350">
        <f t="shared" si="239"/>
        <v>1689960.5956985538</v>
      </c>
      <c r="T587" s="350">
        <f t="shared" si="240"/>
        <v>1707702.0146373475</v>
      </c>
      <c r="U587" s="350">
        <f t="shared" si="241"/>
        <v>1724049.2646723627</v>
      </c>
      <c r="V587" s="350">
        <f t="shared" si="242"/>
        <v>8443065.0527341664</v>
      </c>
      <c r="W587" s="365"/>
      <c r="X587" s="377">
        <f t="shared" si="220"/>
        <v>0</v>
      </c>
      <c r="Y587" s="377">
        <f t="shared" si="221"/>
        <v>0</v>
      </c>
      <c r="Z587" s="377">
        <f t="shared" si="222"/>
        <v>0</v>
      </c>
      <c r="AA587" s="377">
        <f t="shared" si="223"/>
        <v>0</v>
      </c>
      <c r="AB587" s="377">
        <f t="shared" si="224"/>
        <v>0</v>
      </c>
      <c r="AC587" s="377">
        <f t="shared" si="225"/>
        <v>0</v>
      </c>
      <c r="AD587" s="376"/>
      <c r="AE587" s="332">
        <v>572</v>
      </c>
      <c r="AF587" s="350">
        <v>7000947.1352197556</v>
      </c>
      <c r="AG587" s="350">
        <v>43244.66000415587</v>
      </c>
      <c r="AH587" s="350">
        <v>41405.244518215215</v>
      </c>
      <c r="AI587" s="350">
        <v>39516.33327340056</v>
      </c>
      <c r="AJ587" s="350">
        <v>37578.022752678291</v>
      </c>
      <c r="AK587" s="348">
        <v>7162691.3957682047</v>
      </c>
      <c r="AL587" s="369"/>
      <c r="AM587" s="350">
        <v>9800742.1685825195</v>
      </c>
      <c r="AN587" s="350">
        <v>2877628.2088807682</v>
      </c>
      <c r="AO587" s="350">
        <v>2908170.4705013791</v>
      </c>
      <c r="AP587" s="350">
        <v>2936377.2212517522</v>
      </c>
      <c r="AQ587" s="350">
        <v>2962169.5738364989</v>
      </c>
      <c r="AR587" s="348">
        <v>21485087.643052917</v>
      </c>
      <c r="AS587" s="369"/>
      <c r="AT587" s="350">
        <f t="shared" si="243"/>
        <v>2799795.0333627639</v>
      </c>
      <c r="AU587" s="350">
        <f t="shared" si="226"/>
        <v>2834383.5488766124</v>
      </c>
      <c r="AV587" s="350">
        <f t="shared" si="227"/>
        <v>2866765.2259831638</v>
      </c>
      <c r="AW587" s="350">
        <f t="shared" si="228"/>
        <v>2896860.8879783517</v>
      </c>
      <c r="AX587" s="350">
        <f t="shared" si="229"/>
        <v>2924591.5510838204</v>
      </c>
      <c r="AY587" s="350">
        <f t="shared" si="230"/>
        <v>14322396.247284712</v>
      </c>
      <c r="AZ587" s="365"/>
      <c r="BA587" s="377">
        <f t="shared" si="231"/>
        <v>0</v>
      </c>
      <c r="BB587" s="377">
        <f t="shared" si="232"/>
        <v>0</v>
      </c>
      <c r="BC587" s="377">
        <f t="shared" si="233"/>
        <v>0</v>
      </c>
      <c r="BD587" s="377">
        <f t="shared" si="234"/>
        <v>0</v>
      </c>
      <c r="BE587" s="377">
        <f t="shared" si="235"/>
        <v>0</v>
      </c>
      <c r="BF587" s="377">
        <f t="shared" si="236"/>
        <v>0</v>
      </c>
      <c r="BG587" s="328"/>
    </row>
    <row r="588" spans="2:59">
      <c r="B588" s="332">
        <v>573</v>
      </c>
      <c r="C588" s="350">
        <v>6229488.1712956307</v>
      </c>
      <c r="D588" s="350">
        <v>38479.37897036162</v>
      </c>
      <c r="E588" s="350">
        <v>36842.655139935239</v>
      </c>
      <c r="F588" s="350">
        <v>35161.889662220165</v>
      </c>
      <c r="G588" s="350">
        <v>33437.168388378799</v>
      </c>
      <c r="H588" s="348">
        <v>6373409.2634565262</v>
      </c>
      <c r="I588" s="369"/>
      <c r="J588" s="350">
        <v>8657265.4666251577</v>
      </c>
      <c r="K588" s="350">
        <v>2496249.3029184258</v>
      </c>
      <c r="L588" s="350">
        <v>2522691.598990235</v>
      </c>
      <c r="M588" s="350">
        <v>2547107.5884567853</v>
      </c>
      <c r="N588" s="350">
        <v>2569428.8682186045</v>
      </c>
      <c r="O588" s="348">
        <v>18792742.825209208</v>
      </c>
      <c r="P588" s="369"/>
      <c r="Q588" s="350">
        <f t="shared" si="237"/>
        <v>2427777.295329527</v>
      </c>
      <c r="R588" s="350">
        <f t="shared" si="238"/>
        <v>2457769.923948064</v>
      </c>
      <c r="S588" s="350">
        <f t="shared" si="239"/>
        <v>2485848.9438502998</v>
      </c>
      <c r="T588" s="350">
        <f t="shared" si="240"/>
        <v>2511945.6987945652</v>
      </c>
      <c r="U588" s="350">
        <f t="shared" si="241"/>
        <v>2535991.6998302257</v>
      </c>
      <c r="V588" s="350">
        <f t="shared" si="242"/>
        <v>12419333.561752681</v>
      </c>
      <c r="W588" s="365"/>
      <c r="X588" s="377">
        <f t="shared" si="220"/>
        <v>0</v>
      </c>
      <c r="Y588" s="377">
        <f t="shared" si="221"/>
        <v>0</v>
      </c>
      <c r="Z588" s="377">
        <f t="shared" si="222"/>
        <v>0</v>
      </c>
      <c r="AA588" s="377">
        <f t="shared" si="223"/>
        <v>0</v>
      </c>
      <c r="AB588" s="377">
        <f t="shared" si="224"/>
        <v>0</v>
      </c>
      <c r="AC588" s="377">
        <f t="shared" si="225"/>
        <v>0</v>
      </c>
      <c r="AD588" s="376"/>
      <c r="AE588" s="332">
        <v>573</v>
      </c>
      <c r="AF588" s="350">
        <v>7413178.865936839</v>
      </c>
      <c r="AG588" s="350">
        <v>45791.0041906599</v>
      </c>
      <c r="AH588" s="350">
        <v>43843.279726713808</v>
      </c>
      <c r="AI588" s="350">
        <v>41843.145080754795</v>
      </c>
      <c r="AJ588" s="350">
        <v>39790.702416882938</v>
      </c>
      <c r="AK588" s="348">
        <v>7584446.9973518504</v>
      </c>
      <c r="AL588" s="369"/>
      <c r="AM588" s="350">
        <v>8557054.0793663859</v>
      </c>
      <c r="AN588" s="350">
        <v>1203797.5897721516</v>
      </c>
      <c r="AO588" s="350">
        <v>1215079.6186901778</v>
      </c>
      <c r="AP588" s="350">
        <v>1225375.2704778067</v>
      </c>
      <c r="AQ588" s="350">
        <v>1234652.3779418326</v>
      </c>
      <c r="AR588" s="348">
        <v>13435958.936248355</v>
      </c>
      <c r="AS588" s="369"/>
      <c r="AT588" s="350">
        <f t="shared" si="243"/>
        <v>1143875.2134295469</v>
      </c>
      <c r="AU588" s="350">
        <f t="shared" si="226"/>
        <v>1158006.5855814917</v>
      </c>
      <c r="AV588" s="350">
        <f t="shared" si="227"/>
        <v>1171236.3389634639</v>
      </c>
      <c r="AW588" s="350">
        <f t="shared" si="228"/>
        <v>1183532.1253970519</v>
      </c>
      <c r="AX588" s="350">
        <f t="shared" si="229"/>
        <v>1194861.6755249498</v>
      </c>
      <c r="AY588" s="350">
        <f t="shared" si="230"/>
        <v>5851511.9388965042</v>
      </c>
      <c r="AZ588" s="365"/>
      <c r="BA588" s="377">
        <f t="shared" si="231"/>
        <v>0</v>
      </c>
      <c r="BB588" s="377">
        <f t="shared" si="232"/>
        <v>0</v>
      </c>
      <c r="BC588" s="377">
        <f t="shared" si="233"/>
        <v>0</v>
      </c>
      <c r="BD588" s="377">
        <f t="shared" si="234"/>
        <v>0</v>
      </c>
      <c r="BE588" s="377">
        <f t="shared" si="235"/>
        <v>0</v>
      </c>
      <c r="BF588" s="377">
        <f t="shared" si="236"/>
        <v>0</v>
      </c>
      <c r="BG588" s="328"/>
    </row>
    <row r="589" spans="2:59">
      <c r="B589" s="332">
        <v>574</v>
      </c>
      <c r="C589" s="350">
        <v>6488007.734102645</v>
      </c>
      <c r="D589" s="350">
        <v>40076.247277189868</v>
      </c>
      <c r="E589" s="350">
        <v>38371.600510329576</v>
      </c>
      <c r="F589" s="350">
        <v>36621.084397483297</v>
      </c>
      <c r="G589" s="350">
        <v>34824.788352585223</v>
      </c>
      <c r="H589" s="348">
        <v>6637901.4546402339</v>
      </c>
      <c r="I589" s="369"/>
      <c r="J589" s="350">
        <v>8433839.6766190082</v>
      </c>
      <c r="K589" s="350">
        <v>2009946.8917446157</v>
      </c>
      <c r="L589" s="350">
        <v>2030747.2144184976</v>
      </c>
      <c r="M589" s="350">
        <v>2049912.9081508697</v>
      </c>
      <c r="N589" s="350">
        <v>2067389.1693520572</v>
      </c>
      <c r="O589" s="348">
        <v>16591835.860285047</v>
      </c>
      <c r="P589" s="369"/>
      <c r="Q589" s="350">
        <f t="shared" si="237"/>
        <v>1945831.9425163632</v>
      </c>
      <c r="R589" s="350">
        <f t="shared" si="238"/>
        <v>1969870.6444674258</v>
      </c>
      <c r="S589" s="350">
        <f t="shared" si="239"/>
        <v>1992375.6139081682</v>
      </c>
      <c r="T589" s="350">
        <f t="shared" si="240"/>
        <v>2013291.8237533863</v>
      </c>
      <c r="U589" s="350">
        <f t="shared" si="241"/>
        <v>2032564.380999472</v>
      </c>
      <c r="V589" s="350">
        <f t="shared" si="242"/>
        <v>9953934.4056448136</v>
      </c>
      <c r="W589" s="365"/>
      <c r="X589" s="377">
        <f t="shared" si="220"/>
        <v>0</v>
      </c>
      <c r="Y589" s="377">
        <f t="shared" si="221"/>
        <v>0</v>
      </c>
      <c r="Z589" s="377">
        <f t="shared" si="222"/>
        <v>0</v>
      </c>
      <c r="AA589" s="377">
        <f t="shared" si="223"/>
        <v>0</v>
      </c>
      <c r="AB589" s="377">
        <f t="shared" si="224"/>
        <v>0</v>
      </c>
      <c r="AC589" s="377">
        <f t="shared" si="225"/>
        <v>0</v>
      </c>
      <c r="AD589" s="376"/>
      <c r="AE589" s="332">
        <v>574</v>
      </c>
      <c r="AF589" s="350">
        <v>6809588.2635403154</v>
      </c>
      <c r="AG589" s="350">
        <v>42062.641459419334</v>
      </c>
      <c r="AH589" s="350">
        <v>40273.503238128564</v>
      </c>
      <c r="AI589" s="350">
        <v>38436.222139571037</v>
      </c>
      <c r="AJ589" s="350">
        <v>36550.892009508527</v>
      </c>
      <c r="AK589" s="348">
        <v>6966911.522386943</v>
      </c>
      <c r="AL589" s="369"/>
      <c r="AM589" s="350">
        <v>9245974.3437570818</v>
      </c>
      <c r="AN589" s="350">
        <v>2508547.7027548421</v>
      </c>
      <c r="AO589" s="350">
        <v>2534937.1513287816</v>
      </c>
      <c r="AP589" s="350">
        <v>2559289.1630485374</v>
      </c>
      <c r="AQ589" s="350">
        <v>2581535.0999506181</v>
      </c>
      <c r="AR589" s="348">
        <v>19430283.46083986</v>
      </c>
      <c r="AS589" s="369"/>
      <c r="AT589" s="350">
        <f t="shared" si="243"/>
        <v>2436386.0802167663</v>
      </c>
      <c r="AU589" s="350">
        <f t="shared" si="226"/>
        <v>2466485.0612954227</v>
      </c>
      <c r="AV589" s="350">
        <f t="shared" si="227"/>
        <v>2494663.6480906531</v>
      </c>
      <c r="AW589" s="350">
        <f t="shared" si="228"/>
        <v>2520852.9409089666</v>
      </c>
      <c r="AX589" s="350">
        <f t="shared" si="229"/>
        <v>2544984.2079411098</v>
      </c>
      <c r="AY589" s="350">
        <f t="shared" si="230"/>
        <v>12463371.938452918</v>
      </c>
      <c r="AZ589" s="365"/>
      <c r="BA589" s="377">
        <f t="shared" si="231"/>
        <v>0</v>
      </c>
      <c r="BB589" s="377">
        <f t="shared" si="232"/>
        <v>0</v>
      </c>
      <c r="BC589" s="377">
        <f t="shared" si="233"/>
        <v>0</v>
      </c>
      <c r="BD589" s="377">
        <f t="shared" si="234"/>
        <v>0</v>
      </c>
      <c r="BE589" s="377">
        <f t="shared" si="235"/>
        <v>0</v>
      </c>
      <c r="BF589" s="377">
        <f t="shared" si="236"/>
        <v>0</v>
      </c>
      <c r="BG589" s="328"/>
    </row>
    <row r="590" spans="2:59">
      <c r="B590" s="332">
        <v>575</v>
      </c>
      <c r="C590" s="350">
        <v>7165930.2686018338</v>
      </c>
      <c r="D590" s="350">
        <v>44263.756330941913</v>
      </c>
      <c r="E590" s="350">
        <v>42380.993491479931</v>
      </c>
      <c r="F590" s="350">
        <v>40447.56848447847</v>
      </c>
      <c r="G590" s="350">
        <v>38463.580066609997</v>
      </c>
      <c r="H590" s="348">
        <v>7331486.1669753445</v>
      </c>
      <c r="I590" s="369"/>
      <c r="J590" s="350">
        <v>9150654.4468015824</v>
      </c>
      <c r="K590" s="350">
        <v>2053507.1090453786</v>
      </c>
      <c r="L590" s="350">
        <v>2074579.1327950032</v>
      </c>
      <c r="M590" s="350">
        <v>2093979.9795146834</v>
      </c>
      <c r="N590" s="350">
        <v>2111653.7577858423</v>
      </c>
      <c r="O590" s="348">
        <v>17484374.425942492</v>
      </c>
      <c r="P590" s="369"/>
      <c r="Q590" s="350">
        <f t="shared" si="237"/>
        <v>1984724.1781997485</v>
      </c>
      <c r="R590" s="350">
        <f t="shared" si="238"/>
        <v>2009243.3527144368</v>
      </c>
      <c r="S590" s="350">
        <f t="shared" si="239"/>
        <v>2032198.1393035233</v>
      </c>
      <c r="T590" s="350">
        <f t="shared" si="240"/>
        <v>2053532.411030205</v>
      </c>
      <c r="U590" s="350">
        <f t="shared" si="241"/>
        <v>2073190.1777192324</v>
      </c>
      <c r="V590" s="350">
        <f t="shared" si="242"/>
        <v>10152888.258967146</v>
      </c>
      <c r="W590" s="365"/>
      <c r="X590" s="377">
        <f t="shared" si="220"/>
        <v>0</v>
      </c>
      <c r="Y590" s="377">
        <f t="shared" si="221"/>
        <v>0</v>
      </c>
      <c r="Z590" s="377">
        <f t="shared" si="222"/>
        <v>0</v>
      </c>
      <c r="AA590" s="377">
        <f t="shared" si="223"/>
        <v>0</v>
      </c>
      <c r="AB590" s="377">
        <f t="shared" si="224"/>
        <v>0</v>
      </c>
      <c r="AC590" s="377">
        <f t="shared" si="225"/>
        <v>0</v>
      </c>
      <c r="AD590" s="376"/>
      <c r="AE590" s="332">
        <v>575</v>
      </c>
      <c r="AF590" s="350">
        <v>6486439.6483309902</v>
      </c>
      <c r="AG590" s="350">
        <v>40066.561254037224</v>
      </c>
      <c r="AH590" s="350">
        <v>38362.326483036974</v>
      </c>
      <c r="AI590" s="350">
        <v>36612.233452210909</v>
      </c>
      <c r="AJ590" s="350">
        <v>34816.371553875637</v>
      </c>
      <c r="AK590" s="348">
        <v>6636297.1410741517</v>
      </c>
      <c r="AL590" s="369"/>
      <c r="AM590" s="350">
        <v>8159421.5118091218</v>
      </c>
      <c r="AN590" s="350">
        <v>1733716.351651734</v>
      </c>
      <c r="AO590" s="350">
        <v>1751361.3756167174</v>
      </c>
      <c r="AP590" s="350">
        <v>1767594.5621071968</v>
      </c>
      <c r="AQ590" s="350">
        <v>1782368.8047646743</v>
      </c>
      <c r="AR590" s="348">
        <v>15194462.605949445</v>
      </c>
      <c r="AS590" s="369"/>
      <c r="AT590" s="350">
        <f t="shared" si="243"/>
        <v>1672981.8634781316</v>
      </c>
      <c r="AU590" s="350">
        <f t="shared" si="226"/>
        <v>1693649.7903976967</v>
      </c>
      <c r="AV590" s="350">
        <f t="shared" si="227"/>
        <v>1712999.0491336803</v>
      </c>
      <c r="AW590" s="350">
        <f t="shared" si="228"/>
        <v>1730982.3286549859</v>
      </c>
      <c r="AX590" s="350">
        <f t="shared" si="229"/>
        <v>1747552.4332107985</v>
      </c>
      <c r="AY590" s="350">
        <f t="shared" si="230"/>
        <v>8558165.464875292</v>
      </c>
      <c r="AZ590" s="365"/>
      <c r="BA590" s="377">
        <f t="shared" si="231"/>
        <v>0</v>
      </c>
      <c r="BB590" s="377">
        <f t="shared" si="232"/>
        <v>0</v>
      </c>
      <c r="BC590" s="377">
        <f t="shared" si="233"/>
        <v>0</v>
      </c>
      <c r="BD590" s="377">
        <f t="shared" si="234"/>
        <v>0</v>
      </c>
      <c r="BE590" s="377">
        <f t="shared" si="235"/>
        <v>0</v>
      </c>
      <c r="BF590" s="377">
        <f t="shared" si="236"/>
        <v>0</v>
      </c>
      <c r="BG590" s="328"/>
    </row>
    <row r="591" spans="2:59">
      <c r="B591" s="332">
        <v>576</v>
      </c>
      <c r="C591" s="350">
        <v>5249699.9203340719</v>
      </c>
      <c r="D591" s="350">
        <v>32427.253597818824</v>
      </c>
      <c r="E591" s="350">
        <v>31047.957462094855</v>
      </c>
      <c r="F591" s="350">
        <v>29631.546650831846</v>
      </c>
      <c r="G591" s="350">
        <v>28178.093512322666</v>
      </c>
      <c r="H591" s="348">
        <v>5370984.7715571402</v>
      </c>
      <c r="I591" s="369"/>
      <c r="J591" s="350">
        <v>7402911.6166754002</v>
      </c>
      <c r="K591" s="350">
        <v>2212239.6100860634</v>
      </c>
      <c r="L591" s="350">
        <v>2235763.7819049992</v>
      </c>
      <c r="M591" s="350">
        <v>2257492.7551825666</v>
      </c>
      <c r="N591" s="350">
        <v>2277365.8589650067</v>
      </c>
      <c r="O591" s="348">
        <v>16385773.622814037</v>
      </c>
      <c r="P591" s="369"/>
      <c r="Q591" s="350">
        <f t="shared" si="237"/>
        <v>2153211.6963413283</v>
      </c>
      <c r="R591" s="350">
        <f t="shared" si="238"/>
        <v>2179812.3564882446</v>
      </c>
      <c r="S591" s="350">
        <f t="shared" si="239"/>
        <v>2204715.8244429044</v>
      </c>
      <c r="T591" s="350">
        <f t="shared" si="240"/>
        <v>2227861.2085317345</v>
      </c>
      <c r="U591" s="350">
        <f t="shared" si="241"/>
        <v>2249187.7654526839</v>
      </c>
      <c r="V591" s="350">
        <f t="shared" si="242"/>
        <v>11014788.851256896</v>
      </c>
      <c r="W591" s="365"/>
      <c r="X591" s="377">
        <f t="shared" si="220"/>
        <v>0</v>
      </c>
      <c r="Y591" s="377">
        <f t="shared" si="221"/>
        <v>0</v>
      </c>
      <c r="Z591" s="377">
        <f t="shared" si="222"/>
        <v>0</v>
      </c>
      <c r="AA591" s="377">
        <f t="shared" si="223"/>
        <v>0</v>
      </c>
      <c r="AB591" s="377">
        <f t="shared" si="224"/>
        <v>0</v>
      </c>
      <c r="AC591" s="377">
        <f t="shared" si="225"/>
        <v>0</v>
      </c>
      <c r="AD591" s="376"/>
      <c r="AE591" s="332">
        <v>576</v>
      </c>
      <c r="AF591" s="350">
        <v>5520525.9313035235</v>
      </c>
      <c r="AG591" s="350">
        <v>34100.138500168912</v>
      </c>
      <c r="AH591" s="350">
        <v>32649.686055312002</v>
      </c>
      <c r="AI591" s="350">
        <v>31160.204231280768</v>
      </c>
      <c r="AJ591" s="350">
        <v>29631.769108731722</v>
      </c>
      <c r="AK591" s="348">
        <v>5648067.7291990165</v>
      </c>
      <c r="AL591" s="369"/>
      <c r="AM591" s="350">
        <v>7621981.1729053594</v>
      </c>
      <c r="AN591" s="350">
        <v>2161516.6438229796</v>
      </c>
      <c r="AO591" s="350">
        <v>2184371.058083198</v>
      </c>
      <c r="AP591" s="350">
        <v>2205470.6179195894</v>
      </c>
      <c r="AQ591" s="350">
        <v>2224756.1161891865</v>
      </c>
      <c r="AR591" s="348">
        <v>16398095.608920313</v>
      </c>
      <c r="AS591" s="369"/>
      <c r="AT591" s="350">
        <f t="shared" si="243"/>
        <v>2101455.2416018359</v>
      </c>
      <c r="AU591" s="350">
        <f t="shared" si="226"/>
        <v>2127416.5053228107</v>
      </c>
      <c r="AV591" s="350">
        <f t="shared" si="227"/>
        <v>2151721.3720278861</v>
      </c>
      <c r="AW591" s="350">
        <f t="shared" si="228"/>
        <v>2174310.4136883086</v>
      </c>
      <c r="AX591" s="350">
        <f t="shared" si="229"/>
        <v>2195124.3470804547</v>
      </c>
      <c r="AY591" s="350">
        <f t="shared" si="230"/>
        <v>10750027.879721297</v>
      </c>
      <c r="AZ591" s="365"/>
      <c r="BA591" s="377">
        <f t="shared" si="231"/>
        <v>0</v>
      </c>
      <c r="BB591" s="377">
        <f t="shared" si="232"/>
        <v>0</v>
      </c>
      <c r="BC591" s="377">
        <f t="shared" si="233"/>
        <v>0</v>
      </c>
      <c r="BD591" s="377">
        <f t="shared" si="234"/>
        <v>0</v>
      </c>
      <c r="BE591" s="377">
        <f t="shared" si="235"/>
        <v>0</v>
      </c>
      <c r="BF591" s="377">
        <f t="shared" si="236"/>
        <v>0</v>
      </c>
      <c r="BG591" s="328"/>
    </row>
    <row r="592" spans="2:59">
      <c r="B592" s="332">
        <v>577</v>
      </c>
      <c r="C592" s="350">
        <v>6040145.9303697357</v>
      </c>
      <c r="D592" s="350">
        <v>37309.81709892887</v>
      </c>
      <c r="E592" s="350">
        <v>35722.840687442433</v>
      </c>
      <c r="F592" s="350">
        <v>34093.161252955892</v>
      </c>
      <c r="G592" s="350">
        <v>32420.862037234485</v>
      </c>
      <c r="H592" s="348">
        <v>6179692.6114462977</v>
      </c>
      <c r="I592" s="369"/>
      <c r="J592" s="350">
        <v>8255527.3460030528</v>
      </c>
      <c r="K592" s="350">
        <v>2280059.934208828</v>
      </c>
      <c r="L592" s="350">
        <v>2304095.4640215668</v>
      </c>
      <c r="M592" s="350">
        <v>2326279.4457589993</v>
      </c>
      <c r="N592" s="350">
        <v>2346549.465518415</v>
      </c>
      <c r="O592" s="348">
        <v>17512511.655510861</v>
      </c>
      <c r="P592" s="369"/>
      <c r="Q592" s="350">
        <f t="shared" si="237"/>
        <v>2215381.4156333171</v>
      </c>
      <c r="R592" s="350">
        <f t="shared" si="238"/>
        <v>2242750.1171098989</v>
      </c>
      <c r="S592" s="350">
        <f t="shared" si="239"/>
        <v>2268372.6233341242</v>
      </c>
      <c r="T592" s="350">
        <f t="shared" si="240"/>
        <v>2292186.2845060434</v>
      </c>
      <c r="U592" s="350">
        <f t="shared" si="241"/>
        <v>2314128.6034811805</v>
      </c>
      <c r="V592" s="350">
        <f t="shared" si="242"/>
        <v>11332819.044064563</v>
      </c>
      <c r="W592" s="365"/>
      <c r="X592" s="377">
        <f t="shared" ref="X592:X655" si="244">IF(Q592&lt;Q$8,1,0)</f>
        <v>0</v>
      </c>
      <c r="Y592" s="377">
        <f t="shared" ref="Y592:Y655" si="245">IF(R592&lt;R$8,1,0)</f>
        <v>0</v>
      </c>
      <c r="Z592" s="377">
        <f t="shared" ref="Z592:Z655" si="246">IF(S592&lt;S$8,1,0)</f>
        <v>0</v>
      </c>
      <c r="AA592" s="377">
        <f t="shared" ref="AA592:AA655" si="247">IF(T592&lt;T$8,1,0)</f>
        <v>0</v>
      </c>
      <c r="AB592" s="377">
        <f t="shared" ref="AB592:AB655" si="248">IF(U592&lt;U$8,1,0)</f>
        <v>0</v>
      </c>
      <c r="AC592" s="377">
        <f t="shared" ref="AC592:AC655" si="249">IF(V592&lt;V$8,1,0)</f>
        <v>0</v>
      </c>
      <c r="AD592" s="376"/>
      <c r="AE592" s="332">
        <v>577</v>
      </c>
      <c r="AF592" s="350">
        <v>4764611.884467179</v>
      </c>
      <c r="AG592" s="350">
        <v>29430.877996348863</v>
      </c>
      <c r="AH592" s="350">
        <v>28179.032965168655</v>
      </c>
      <c r="AI592" s="350">
        <v>26893.502765908459</v>
      </c>
      <c r="AJ592" s="350">
        <v>25574.353061668644</v>
      </c>
      <c r="AK592" s="348">
        <v>4874689.6512562735</v>
      </c>
      <c r="AL592" s="369"/>
      <c r="AM592" s="350">
        <v>6633406.5248679332</v>
      </c>
      <c r="AN592" s="350">
        <v>1921312.505709195</v>
      </c>
      <c r="AO592" s="350">
        <v>1941674.6373808829</v>
      </c>
      <c r="AP592" s="350">
        <v>1960477.2247637056</v>
      </c>
      <c r="AQ592" s="350">
        <v>1977667.6137823826</v>
      </c>
      <c r="AR592" s="348">
        <v>14434538.5065041</v>
      </c>
      <c r="AS592" s="369"/>
      <c r="AT592" s="350">
        <f t="shared" si="243"/>
        <v>1868794.6404007543</v>
      </c>
      <c r="AU592" s="350">
        <f t="shared" ref="AU592:AU655" si="250">AN592-AG592</f>
        <v>1891881.6277128463</v>
      </c>
      <c r="AV592" s="350">
        <f t="shared" ref="AV592:AV655" si="251">AO592-AH592</f>
        <v>1913495.6044157143</v>
      </c>
      <c r="AW592" s="350">
        <f t="shared" ref="AW592:AW655" si="252">AP592-AI592</f>
        <v>1933583.7219977973</v>
      </c>
      <c r="AX592" s="350">
        <f t="shared" ref="AX592:AX655" si="253">AQ592-AJ592</f>
        <v>1952093.260720714</v>
      </c>
      <c r="AY592" s="350">
        <f t="shared" ref="AY592:AY655" si="254">AR592-AK592</f>
        <v>9559848.8552478254</v>
      </c>
      <c r="AZ592" s="365"/>
      <c r="BA592" s="377">
        <f t="shared" ref="BA592:BA655" si="255">IF(AT592&lt;AT$8,1,0)</f>
        <v>0</v>
      </c>
      <c r="BB592" s="377">
        <f t="shared" ref="BB592:BB655" si="256">IF(AU592&lt;AU$8,1,0)</f>
        <v>0</v>
      </c>
      <c r="BC592" s="377">
        <f t="shared" ref="BC592:BC655" si="257">IF(AV592&lt;AV$8,1,0)</f>
        <v>0</v>
      </c>
      <c r="BD592" s="377">
        <f t="shared" ref="BD592:BD655" si="258">IF(AW592&lt;AW$8,1,0)</f>
        <v>0</v>
      </c>
      <c r="BE592" s="377">
        <f t="shared" ref="BE592:BE655" si="259">IF(AX592&lt;AX$8,1,0)</f>
        <v>0</v>
      </c>
      <c r="BF592" s="377">
        <f t="shared" ref="BF592:BF655" si="260">IF(AY592&lt;AY$8,1,0)</f>
        <v>0</v>
      </c>
      <c r="BG592" s="328"/>
    </row>
    <row r="593" spans="2:59">
      <c r="B593" s="332">
        <v>578</v>
      </c>
      <c r="C593" s="350">
        <v>6204196.3290814944</v>
      </c>
      <c r="D593" s="350">
        <v>38323.151949030158</v>
      </c>
      <c r="E593" s="350">
        <v>36693.073248947927</v>
      </c>
      <c r="F593" s="350">
        <v>35019.131711513117</v>
      </c>
      <c r="G593" s="350">
        <v>33301.412839333163</v>
      </c>
      <c r="H593" s="348">
        <v>6347533.098830319</v>
      </c>
      <c r="I593" s="369"/>
      <c r="J593" s="350">
        <v>8360737.9363154657</v>
      </c>
      <c r="K593" s="350">
        <v>2221506.5568679152</v>
      </c>
      <c r="L593" s="350">
        <v>2244818.4589771964</v>
      </c>
      <c r="M593" s="350">
        <v>2266325.6955319066</v>
      </c>
      <c r="N593" s="350">
        <v>2285967.5147939501</v>
      </c>
      <c r="O593" s="348">
        <v>17379356.162486434</v>
      </c>
      <c r="P593" s="369"/>
      <c r="Q593" s="350">
        <f t="shared" ref="Q593:Q656" si="261">J593-C593</f>
        <v>2156541.6072339714</v>
      </c>
      <c r="R593" s="350">
        <f t="shared" ref="R593:R656" si="262">K593-D593</f>
        <v>2183183.4049188849</v>
      </c>
      <c r="S593" s="350">
        <f t="shared" ref="S593:S656" si="263">L593-E593</f>
        <v>2208125.3857282484</v>
      </c>
      <c r="T593" s="350">
        <f t="shared" ref="T593:T656" si="264">M593-F593</f>
        <v>2231306.5638203933</v>
      </c>
      <c r="U593" s="350">
        <f t="shared" ref="U593:U656" si="265">N593-G593</f>
        <v>2252666.1019546171</v>
      </c>
      <c r="V593" s="350">
        <f t="shared" ref="V593:V656" si="266">O593-H593</f>
        <v>11031823.063656114</v>
      </c>
      <c r="W593" s="365"/>
      <c r="X593" s="377">
        <f t="shared" si="244"/>
        <v>0</v>
      </c>
      <c r="Y593" s="377">
        <f t="shared" si="245"/>
        <v>0</v>
      </c>
      <c r="Z593" s="377">
        <f t="shared" si="246"/>
        <v>0</v>
      </c>
      <c r="AA593" s="377">
        <f t="shared" si="247"/>
        <v>0</v>
      </c>
      <c r="AB593" s="377">
        <f t="shared" si="248"/>
        <v>0</v>
      </c>
      <c r="AC593" s="377">
        <f t="shared" si="249"/>
        <v>0</v>
      </c>
      <c r="AD593" s="376"/>
      <c r="AE593" s="332">
        <v>578</v>
      </c>
      <c r="AF593" s="350">
        <v>5701781.9239606364</v>
      </c>
      <c r="AG593" s="350">
        <v>35219.751836017625</v>
      </c>
      <c r="AH593" s="350">
        <v>33721.676537658022</v>
      </c>
      <c r="AI593" s="350">
        <v>32183.290404521937</v>
      </c>
      <c r="AJ593" s="350">
        <v>30604.67201523517</v>
      </c>
      <c r="AK593" s="348">
        <v>5833511.3147540689</v>
      </c>
      <c r="AL593" s="369"/>
      <c r="AM593" s="350">
        <v>7775162.7266342789</v>
      </c>
      <c r="AN593" s="350">
        <v>2134214.988139559</v>
      </c>
      <c r="AO593" s="350">
        <v>2156697.0781286764</v>
      </c>
      <c r="AP593" s="350">
        <v>2177445.9548419323</v>
      </c>
      <c r="AQ593" s="350">
        <v>2196403.2056299094</v>
      </c>
      <c r="AR593" s="348">
        <v>16439923.953374356</v>
      </c>
      <c r="AS593" s="369"/>
      <c r="AT593" s="350">
        <f t="shared" ref="AT593:AT656" si="267">AM593-AF593</f>
        <v>2073380.8026736425</v>
      </c>
      <c r="AU593" s="350">
        <f t="shared" si="250"/>
        <v>2098995.2363035413</v>
      </c>
      <c r="AV593" s="350">
        <f t="shared" si="251"/>
        <v>2122975.4015910183</v>
      </c>
      <c r="AW593" s="350">
        <f t="shared" si="252"/>
        <v>2145262.6644374104</v>
      </c>
      <c r="AX593" s="350">
        <f t="shared" si="253"/>
        <v>2165798.5336146741</v>
      </c>
      <c r="AY593" s="350">
        <f t="shared" si="254"/>
        <v>10606412.638620287</v>
      </c>
      <c r="AZ593" s="365"/>
      <c r="BA593" s="377">
        <f t="shared" si="255"/>
        <v>0</v>
      </c>
      <c r="BB593" s="377">
        <f t="shared" si="256"/>
        <v>0</v>
      </c>
      <c r="BC593" s="377">
        <f t="shared" si="257"/>
        <v>0</v>
      </c>
      <c r="BD593" s="377">
        <f t="shared" si="258"/>
        <v>0</v>
      </c>
      <c r="BE593" s="377">
        <f t="shared" si="259"/>
        <v>0</v>
      </c>
      <c r="BF593" s="377">
        <f t="shared" si="260"/>
        <v>0</v>
      </c>
      <c r="BG593" s="328"/>
    </row>
    <row r="594" spans="2:59">
      <c r="B594" s="332">
        <v>579</v>
      </c>
      <c r="C594" s="350">
        <v>5233457.9592536278</v>
      </c>
      <c r="D594" s="350">
        <v>32326.927446062364</v>
      </c>
      <c r="E594" s="350">
        <v>30951.89869218837</v>
      </c>
      <c r="F594" s="350">
        <v>29539.870091265453</v>
      </c>
      <c r="G594" s="350">
        <v>28090.913767747817</v>
      </c>
      <c r="H594" s="348">
        <v>5354367.5692508919</v>
      </c>
      <c r="I594" s="369"/>
      <c r="J594" s="350">
        <v>8146675.3309647441</v>
      </c>
      <c r="K594" s="350">
        <v>2981534.0280680219</v>
      </c>
      <c r="L594" s="350">
        <v>3013852.4887117031</v>
      </c>
      <c r="M594" s="350">
        <v>3043755.325768014</v>
      </c>
      <c r="N594" s="350">
        <v>3071160.4278756529</v>
      </c>
      <c r="O594" s="348">
        <v>20256977.601388134</v>
      </c>
      <c r="P594" s="369"/>
      <c r="Q594" s="350">
        <f t="shared" si="261"/>
        <v>2913217.3717111163</v>
      </c>
      <c r="R594" s="350">
        <f t="shared" si="262"/>
        <v>2949207.1006219597</v>
      </c>
      <c r="S594" s="350">
        <f t="shared" si="263"/>
        <v>2982900.5900195148</v>
      </c>
      <c r="T594" s="350">
        <f t="shared" si="264"/>
        <v>3014215.4556767484</v>
      </c>
      <c r="U594" s="350">
        <f t="shared" si="265"/>
        <v>3043069.5141079049</v>
      </c>
      <c r="V594" s="350">
        <f t="shared" si="266"/>
        <v>14902610.032137241</v>
      </c>
      <c r="W594" s="365"/>
      <c r="X594" s="377">
        <f t="shared" si="244"/>
        <v>0</v>
      </c>
      <c r="Y594" s="377">
        <f t="shared" si="245"/>
        <v>0</v>
      </c>
      <c r="Z594" s="377">
        <f t="shared" si="246"/>
        <v>0</v>
      </c>
      <c r="AA594" s="377">
        <f t="shared" si="247"/>
        <v>0</v>
      </c>
      <c r="AB594" s="377">
        <f t="shared" si="248"/>
        <v>0</v>
      </c>
      <c r="AC594" s="377">
        <f t="shared" si="249"/>
        <v>0</v>
      </c>
      <c r="AD594" s="376"/>
      <c r="AE594" s="332">
        <v>579</v>
      </c>
      <c r="AF594" s="350">
        <v>5502213.2869544551</v>
      </c>
      <c r="AG594" s="350">
        <v>33987.021794191292</v>
      </c>
      <c r="AH594" s="350">
        <v>32541.380778554132</v>
      </c>
      <c r="AI594" s="350">
        <v>31056.839851685007</v>
      </c>
      <c r="AJ594" s="350">
        <v>29533.474841868283</v>
      </c>
      <c r="AK594" s="348">
        <v>5629332.0042207539</v>
      </c>
      <c r="AL594" s="369"/>
      <c r="AM594" s="350">
        <v>8482656.0561091714</v>
      </c>
      <c r="AN594" s="350">
        <v>3051250.0187622379</v>
      </c>
      <c r="AO594" s="350">
        <v>3084275.3780288589</v>
      </c>
      <c r="AP594" s="350">
        <v>3114828.3245279063</v>
      </c>
      <c r="AQ594" s="350">
        <v>3142824.8541359743</v>
      </c>
      <c r="AR594" s="348">
        <v>20875834.631564148</v>
      </c>
      <c r="AS594" s="369"/>
      <c r="AT594" s="350">
        <f t="shared" si="267"/>
        <v>2980442.7691547163</v>
      </c>
      <c r="AU594" s="350">
        <f t="shared" si="250"/>
        <v>3017262.9969680468</v>
      </c>
      <c r="AV594" s="350">
        <f t="shared" si="251"/>
        <v>3051733.9972503046</v>
      </c>
      <c r="AW594" s="350">
        <f t="shared" si="252"/>
        <v>3083771.4846762214</v>
      </c>
      <c r="AX594" s="350">
        <f t="shared" si="253"/>
        <v>3113291.3792941058</v>
      </c>
      <c r="AY594" s="350">
        <f t="shared" si="254"/>
        <v>15246502.627343394</v>
      </c>
      <c r="AZ594" s="365"/>
      <c r="BA594" s="377">
        <f t="shared" si="255"/>
        <v>0</v>
      </c>
      <c r="BB594" s="377">
        <f t="shared" si="256"/>
        <v>0</v>
      </c>
      <c r="BC594" s="377">
        <f t="shared" si="257"/>
        <v>0</v>
      </c>
      <c r="BD594" s="377">
        <f t="shared" si="258"/>
        <v>0</v>
      </c>
      <c r="BE594" s="377">
        <f t="shared" si="259"/>
        <v>0</v>
      </c>
      <c r="BF594" s="377">
        <f t="shared" si="260"/>
        <v>0</v>
      </c>
      <c r="BG594" s="328"/>
    </row>
    <row r="595" spans="2:59">
      <c r="B595" s="332">
        <v>580</v>
      </c>
      <c r="C595" s="350">
        <v>3688934.635983726</v>
      </c>
      <c r="D595" s="350">
        <v>22786.448894627163</v>
      </c>
      <c r="E595" s="350">
        <v>21817.225250311865</v>
      </c>
      <c r="F595" s="350">
        <v>20821.921332040947</v>
      </c>
      <c r="G595" s="350">
        <v>19800.587978556472</v>
      </c>
      <c r="H595" s="348">
        <v>3774160.8194392622</v>
      </c>
      <c r="I595" s="369"/>
      <c r="J595" s="350">
        <v>5280306.7256247848</v>
      </c>
      <c r="K595" s="350">
        <v>1633818.262749406</v>
      </c>
      <c r="L595" s="350">
        <v>1651254.4211238017</v>
      </c>
      <c r="M595" s="350">
        <v>1667365.1538788262</v>
      </c>
      <c r="N595" s="350">
        <v>1682105.6183596225</v>
      </c>
      <c r="O595" s="348">
        <v>11914850.181736439</v>
      </c>
      <c r="P595" s="369"/>
      <c r="Q595" s="350">
        <f t="shared" si="261"/>
        <v>1591372.0896410588</v>
      </c>
      <c r="R595" s="350">
        <f t="shared" si="262"/>
        <v>1611031.8138547789</v>
      </c>
      <c r="S595" s="350">
        <f t="shared" si="263"/>
        <v>1629437.1958734898</v>
      </c>
      <c r="T595" s="350">
        <f t="shared" si="264"/>
        <v>1646543.2325467851</v>
      </c>
      <c r="U595" s="350">
        <f t="shared" si="265"/>
        <v>1662305.030381066</v>
      </c>
      <c r="V595" s="350">
        <f t="shared" si="266"/>
        <v>8140689.3622971773</v>
      </c>
      <c r="W595" s="365"/>
      <c r="X595" s="377">
        <f t="shared" si="244"/>
        <v>0</v>
      </c>
      <c r="Y595" s="377">
        <f t="shared" si="245"/>
        <v>0</v>
      </c>
      <c r="Z595" s="377">
        <f t="shared" si="246"/>
        <v>0</v>
      </c>
      <c r="AA595" s="377">
        <f t="shared" si="247"/>
        <v>0</v>
      </c>
      <c r="AB595" s="377">
        <f t="shared" si="248"/>
        <v>0</v>
      </c>
      <c r="AC595" s="377">
        <f t="shared" si="249"/>
        <v>0</v>
      </c>
      <c r="AD595" s="376"/>
      <c r="AE595" s="332">
        <v>580</v>
      </c>
      <c r="AF595" s="350">
        <v>4803347.1229395373</v>
      </c>
      <c r="AG595" s="350">
        <v>29670.144510660277</v>
      </c>
      <c r="AH595" s="350">
        <v>28408.122256865299</v>
      </c>
      <c r="AI595" s="350">
        <v>27112.140982043027</v>
      </c>
      <c r="AJ595" s="350">
        <v>25782.266883117765</v>
      </c>
      <c r="AK595" s="348">
        <v>4914319.7975722244</v>
      </c>
      <c r="AL595" s="369"/>
      <c r="AM595" s="350">
        <v>6305072.1660408005</v>
      </c>
      <c r="AN595" s="350">
        <v>1549947.4170901137</v>
      </c>
      <c r="AO595" s="350">
        <v>1566053.9432011298</v>
      </c>
      <c r="AP595" s="350">
        <v>1580900.3611978027</v>
      </c>
      <c r="AQ595" s="350">
        <v>1594444.3727766001</v>
      </c>
      <c r="AR595" s="348">
        <v>12596418.260306448</v>
      </c>
      <c r="AS595" s="369"/>
      <c r="AT595" s="350">
        <f t="shared" si="267"/>
        <v>1501725.0431012632</v>
      </c>
      <c r="AU595" s="350">
        <f t="shared" si="250"/>
        <v>1520277.2725794534</v>
      </c>
      <c r="AV595" s="350">
        <f t="shared" si="251"/>
        <v>1537645.8209442645</v>
      </c>
      <c r="AW595" s="350">
        <f t="shared" si="252"/>
        <v>1553788.2202157597</v>
      </c>
      <c r="AX595" s="350">
        <f t="shared" si="253"/>
        <v>1568662.1058934822</v>
      </c>
      <c r="AY595" s="350">
        <f t="shared" si="254"/>
        <v>7682098.4627342233</v>
      </c>
      <c r="AZ595" s="365"/>
      <c r="BA595" s="377">
        <f t="shared" si="255"/>
        <v>0</v>
      </c>
      <c r="BB595" s="377">
        <f t="shared" si="256"/>
        <v>0</v>
      </c>
      <c r="BC595" s="377">
        <f t="shared" si="257"/>
        <v>0</v>
      </c>
      <c r="BD595" s="377">
        <f t="shared" si="258"/>
        <v>0</v>
      </c>
      <c r="BE595" s="377">
        <f t="shared" si="259"/>
        <v>0</v>
      </c>
      <c r="BF595" s="377">
        <f t="shared" si="260"/>
        <v>0</v>
      </c>
      <c r="BG595" s="328"/>
    </row>
    <row r="596" spans="2:59">
      <c r="B596" s="332">
        <v>581</v>
      </c>
      <c r="C596" s="350">
        <v>7458829.9326814869</v>
      </c>
      <c r="D596" s="350">
        <v>46072.989588074444</v>
      </c>
      <c r="E596" s="350">
        <v>44113.270849995351</v>
      </c>
      <c r="F596" s="350">
        <v>42100.819182976804</v>
      </c>
      <c r="G596" s="350">
        <v>40035.737380248604</v>
      </c>
      <c r="H596" s="348">
        <v>7631152.7496827822</v>
      </c>
      <c r="I596" s="369"/>
      <c r="J596" s="350">
        <v>9369317.9882553071</v>
      </c>
      <c r="K596" s="350">
        <v>1980163.1106566216</v>
      </c>
      <c r="L596" s="350">
        <v>2000299.5834591079</v>
      </c>
      <c r="M596" s="350">
        <v>2018823.4217994837</v>
      </c>
      <c r="N596" s="350">
        <v>2035680.8325381149</v>
      </c>
      <c r="O596" s="348">
        <v>17404284.936708637</v>
      </c>
      <c r="P596" s="369"/>
      <c r="Q596" s="350">
        <f t="shared" si="261"/>
        <v>1910488.0555738201</v>
      </c>
      <c r="R596" s="350">
        <f t="shared" si="262"/>
        <v>1934090.1210685472</v>
      </c>
      <c r="S596" s="350">
        <f t="shared" si="263"/>
        <v>1956186.3126091126</v>
      </c>
      <c r="T596" s="350">
        <f t="shared" si="264"/>
        <v>1976722.6026165069</v>
      </c>
      <c r="U596" s="350">
        <f t="shared" si="265"/>
        <v>1995645.0951578664</v>
      </c>
      <c r="V596" s="350">
        <f t="shared" si="266"/>
        <v>9773132.1870258544</v>
      </c>
      <c r="W596" s="365"/>
      <c r="X596" s="377">
        <f t="shared" si="244"/>
        <v>0</v>
      </c>
      <c r="Y596" s="377">
        <f t="shared" si="245"/>
        <v>0</v>
      </c>
      <c r="Z596" s="377">
        <f t="shared" si="246"/>
        <v>0</v>
      </c>
      <c r="AA596" s="377">
        <f t="shared" si="247"/>
        <v>0</v>
      </c>
      <c r="AB596" s="377">
        <f t="shared" si="248"/>
        <v>0</v>
      </c>
      <c r="AC596" s="377">
        <f t="shared" si="249"/>
        <v>0</v>
      </c>
      <c r="AD596" s="376"/>
      <c r="AE596" s="332">
        <v>581</v>
      </c>
      <c r="AF596" s="350">
        <v>5765851.1990946578</v>
      </c>
      <c r="AG596" s="350">
        <v>35615.506005613468</v>
      </c>
      <c r="AH596" s="350">
        <v>34100.597268209851</v>
      </c>
      <c r="AI596" s="350">
        <v>32544.924734831926</v>
      </c>
      <c r="AJ596" s="350">
        <v>30948.567867072787</v>
      </c>
      <c r="AK596" s="348">
        <v>5899060.7949703857</v>
      </c>
      <c r="AL596" s="369"/>
      <c r="AM596" s="350">
        <v>7536486.6128016319</v>
      </c>
      <c r="AN596" s="350">
        <v>1828125.2532786482</v>
      </c>
      <c r="AO596" s="350">
        <v>1847089.0380016062</v>
      </c>
      <c r="AP596" s="350">
        <v>1864566.3462016904</v>
      </c>
      <c r="AQ596" s="350">
        <v>1880507.3067286084</v>
      </c>
      <c r="AR596" s="348">
        <v>14956774.557012185</v>
      </c>
      <c r="AS596" s="369"/>
      <c r="AT596" s="350">
        <f t="shared" si="267"/>
        <v>1770635.4137069741</v>
      </c>
      <c r="AU596" s="350">
        <f t="shared" si="250"/>
        <v>1792509.7472730349</v>
      </c>
      <c r="AV596" s="350">
        <f t="shared" si="251"/>
        <v>1812988.4407333964</v>
      </c>
      <c r="AW596" s="350">
        <f t="shared" si="252"/>
        <v>1832021.4214668584</v>
      </c>
      <c r="AX596" s="350">
        <f t="shared" si="253"/>
        <v>1849558.7388615357</v>
      </c>
      <c r="AY596" s="350">
        <f t="shared" si="254"/>
        <v>9057713.7620417997</v>
      </c>
      <c r="AZ596" s="365"/>
      <c r="BA596" s="377">
        <f t="shared" si="255"/>
        <v>0</v>
      </c>
      <c r="BB596" s="377">
        <f t="shared" si="256"/>
        <v>0</v>
      </c>
      <c r="BC596" s="377">
        <f t="shared" si="257"/>
        <v>0</v>
      </c>
      <c r="BD596" s="377">
        <f t="shared" si="258"/>
        <v>0</v>
      </c>
      <c r="BE596" s="377">
        <f t="shared" si="259"/>
        <v>0</v>
      </c>
      <c r="BF596" s="377">
        <f t="shared" si="260"/>
        <v>0</v>
      </c>
      <c r="BG596" s="328"/>
    </row>
    <row r="597" spans="2:59">
      <c r="B597" s="332">
        <v>582</v>
      </c>
      <c r="C597" s="350">
        <v>7261382.0353769492</v>
      </c>
      <c r="D597" s="350">
        <v>44853.359297693401</v>
      </c>
      <c r="E597" s="350">
        <v>42945.517643236548</v>
      </c>
      <c r="F597" s="350">
        <v>40986.338990037861</v>
      </c>
      <c r="G597" s="350">
        <v>38975.923410212781</v>
      </c>
      <c r="H597" s="348">
        <v>7429143.1747181304</v>
      </c>
      <c r="I597" s="369"/>
      <c r="J597" s="350">
        <v>9436327.8410159573</v>
      </c>
      <c r="K597" s="350">
        <v>2246668.3270873963</v>
      </c>
      <c r="L597" s="350">
        <v>2269915.3242562125</v>
      </c>
      <c r="M597" s="350">
        <v>2291335.1547963256</v>
      </c>
      <c r="N597" s="350">
        <v>2310866.5623464505</v>
      </c>
      <c r="O597" s="348">
        <v>18555113.209502343</v>
      </c>
      <c r="P597" s="369"/>
      <c r="Q597" s="350">
        <f t="shared" si="261"/>
        <v>2174945.8056390081</v>
      </c>
      <c r="R597" s="350">
        <f t="shared" si="262"/>
        <v>2201814.967789703</v>
      </c>
      <c r="S597" s="350">
        <f t="shared" si="263"/>
        <v>2226969.8066129759</v>
      </c>
      <c r="T597" s="350">
        <f t="shared" si="264"/>
        <v>2250348.8158062878</v>
      </c>
      <c r="U597" s="350">
        <f t="shared" si="265"/>
        <v>2271890.6389362379</v>
      </c>
      <c r="V597" s="350">
        <f t="shared" si="266"/>
        <v>11125970.034784213</v>
      </c>
      <c r="W597" s="365"/>
      <c r="X597" s="377">
        <f t="shared" si="244"/>
        <v>0</v>
      </c>
      <c r="Y597" s="377">
        <f t="shared" si="245"/>
        <v>0</v>
      </c>
      <c r="Z597" s="377">
        <f t="shared" si="246"/>
        <v>0</v>
      </c>
      <c r="AA597" s="377">
        <f t="shared" si="247"/>
        <v>0</v>
      </c>
      <c r="AB597" s="377">
        <f t="shared" si="248"/>
        <v>0</v>
      </c>
      <c r="AC597" s="377">
        <f t="shared" si="249"/>
        <v>0</v>
      </c>
      <c r="AD597" s="376"/>
      <c r="AE597" s="332">
        <v>582</v>
      </c>
      <c r="AF597" s="350">
        <v>4390888.7247735895</v>
      </c>
      <c r="AG597" s="350">
        <v>27122.4002054909</v>
      </c>
      <c r="AH597" s="350">
        <v>25968.746483873754</v>
      </c>
      <c r="AI597" s="350">
        <v>24784.049766878627</v>
      </c>
      <c r="AJ597" s="350">
        <v>23568.37056716907</v>
      </c>
      <c r="AK597" s="348">
        <v>4492332.2917970018</v>
      </c>
      <c r="AL597" s="369"/>
      <c r="AM597" s="350">
        <v>6038133.4616404064</v>
      </c>
      <c r="AN597" s="350">
        <v>1694717.1089299959</v>
      </c>
      <c r="AO597" s="350">
        <v>1712615.0452530314</v>
      </c>
      <c r="AP597" s="350">
        <v>1729136.9735687128</v>
      </c>
      <c r="AQ597" s="350">
        <v>1744236.484697575</v>
      </c>
      <c r="AR597" s="348">
        <v>12918839.074089721</v>
      </c>
      <c r="AS597" s="369"/>
      <c r="AT597" s="350">
        <f t="shared" si="267"/>
        <v>1647244.7368668169</v>
      </c>
      <c r="AU597" s="350">
        <f t="shared" si="250"/>
        <v>1667594.708724505</v>
      </c>
      <c r="AV597" s="350">
        <f t="shared" si="251"/>
        <v>1686646.2987691576</v>
      </c>
      <c r="AW597" s="350">
        <f t="shared" si="252"/>
        <v>1704352.9238018342</v>
      </c>
      <c r="AX597" s="350">
        <f t="shared" si="253"/>
        <v>1720668.1141304059</v>
      </c>
      <c r="AY597" s="350">
        <f t="shared" si="254"/>
        <v>8426506.7822927199</v>
      </c>
      <c r="AZ597" s="365"/>
      <c r="BA597" s="377">
        <f t="shared" si="255"/>
        <v>0</v>
      </c>
      <c r="BB597" s="377">
        <f t="shared" si="256"/>
        <v>0</v>
      </c>
      <c r="BC597" s="377">
        <f t="shared" si="257"/>
        <v>0</v>
      </c>
      <c r="BD597" s="377">
        <f t="shared" si="258"/>
        <v>0</v>
      </c>
      <c r="BE597" s="377">
        <f t="shared" si="259"/>
        <v>0</v>
      </c>
      <c r="BF597" s="377">
        <f t="shared" si="260"/>
        <v>0</v>
      </c>
      <c r="BG597" s="328"/>
    </row>
    <row r="598" spans="2:59">
      <c r="B598" s="332">
        <v>583</v>
      </c>
      <c r="C598" s="350">
        <v>5913469.9724593181</v>
      </c>
      <c r="D598" s="350">
        <v>36527.343152943831</v>
      </c>
      <c r="E598" s="350">
        <v>34973.649340820739</v>
      </c>
      <c r="F598" s="350">
        <v>33378.148087761736</v>
      </c>
      <c r="G598" s="350">
        <v>31740.920889753346</v>
      </c>
      <c r="H598" s="348">
        <v>6050090.0339305969</v>
      </c>
      <c r="I598" s="369"/>
      <c r="J598" s="350">
        <v>8026061.1343701007</v>
      </c>
      <c r="K598" s="350">
        <v>2175217.3413383272</v>
      </c>
      <c r="L598" s="350">
        <v>2198097.3092935719</v>
      </c>
      <c r="M598" s="350">
        <v>2219210.5523540331</v>
      </c>
      <c r="N598" s="350">
        <v>2238497.5546415579</v>
      </c>
      <c r="O598" s="348">
        <v>16857083.891997591</v>
      </c>
      <c r="P598" s="369"/>
      <c r="Q598" s="350">
        <f t="shared" si="261"/>
        <v>2112591.1619107826</v>
      </c>
      <c r="R598" s="350">
        <f t="shared" si="262"/>
        <v>2138689.9981853832</v>
      </c>
      <c r="S598" s="350">
        <f t="shared" si="263"/>
        <v>2163123.6599527509</v>
      </c>
      <c r="T598" s="350">
        <f t="shared" si="264"/>
        <v>2185832.4042662713</v>
      </c>
      <c r="U598" s="350">
        <f t="shared" si="265"/>
        <v>2206756.6337518045</v>
      </c>
      <c r="V598" s="350">
        <f t="shared" si="266"/>
        <v>10806993.858066995</v>
      </c>
      <c r="W598" s="365"/>
      <c r="X598" s="377">
        <f t="shared" si="244"/>
        <v>0</v>
      </c>
      <c r="Y598" s="377">
        <f t="shared" si="245"/>
        <v>0</v>
      </c>
      <c r="Z598" s="377">
        <f t="shared" si="246"/>
        <v>0</v>
      </c>
      <c r="AA598" s="377">
        <f t="shared" si="247"/>
        <v>0</v>
      </c>
      <c r="AB598" s="377">
        <f t="shared" si="248"/>
        <v>0</v>
      </c>
      <c r="AC598" s="377">
        <f t="shared" si="249"/>
        <v>0</v>
      </c>
      <c r="AD598" s="376"/>
      <c r="AE598" s="332">
        <v>583</v>
      </c>
      <c r="AF598" s="350">
        <v>6723641.7849304182</v>
      </c>
      <c r="AG598" s="350">
        <v>41531.752399088589</v>
      </c>
      <c r="AH598" s="350">
        <v>39765.195591522839</v>
      </c>
      <c r="AI598" s="350">
        <v>37951.103536784802</v>
      </c>
      <c r="AJ598" s="350">
        <v>36089.568896171775</v>
      </c>
      <c r="AK598" s="348">
        <v>6878979.4053539857</v>
      </c>
      <c r="AL598" s="369"/>
      <c r="AM598" s="350">
        <v>9375391.6411930677</v>
      </c>
      <c r="AN598" s="350">
        <v>2726041.1821123799</v>
      </c>
      <c r="AO598" s="350">
        <v>2754944.0516698202</v>
      </c>
      <c r="AP598" s="350">
        <v>2781634.2488287217</v>
      </c>
      <c r="AQ598" s="350">
        <v>2806037.0589089668</v>
      </c>
      <c r="AR598" s="348">
        <v>20444048.182712954</v>
      </c>
      <c r="AS598" s="369"/>
      <c r="AT598" s="350">
        <f t="shared" si="267"/>
        <v>2651749.8562626494</v>
      </c>
      <c r="AU598" s="350">
        <f t="shared" si="250"/>
        <v>2684509.4297132911</v>
      </c>
      <c r="AV598" s="350">
        <f t="shared" si="251"/>
        <v>2715178.8560782974</v>
      </c>
      <c r="AW598" s="350">
        <f t="shared" si="252"/>
        <v>2743683.145291937</v>
      </c>
      <c r="AX598" s="350">
        <f t="shared" si="253"/>
        <v>2769947.4900127952</v>
      </c>
      <c r="AY598" s="350">
        <f t="shared" si="254"/>
        <v>13565068.777358968</v>
      </c>
      <c r="AZ598" s="365"/>
      <c r="BA598" s="377">
        <f t="shared" si="255"/>
        <v>0</v>
      </c>
      <c r="BB598" s="377">
        <f t="shared" si="256"/>
        <v>0</v>
      </c>
      <c r="BC598" s="377">
        <f t="shared" si="257"/>
        <v>0</v>
      </c>
      <c r="BD598" s="377">
        <f t="shared" si="258"/>
        <v>0</v>
      </c>
      <c r="BE598" s="377">
        <f t="shared" si="259"/>
        <v>0</v>
      </c>
      <c r="BF598" s="377">
        <f t="shared" si="260"/>
        <v>0</v>
      </c>
      <c r="BG598" s="328"/>
    </row>
    <row r="599" spans="2:59">
      <c r="B599" s="332">
        <v>584</v>
      </c>
      <c r="C599" s="350">
        <v>6034709.9859530907</v>
      </c>
      <c r="D599" s="350">
        <v>37276.23941814393</v>
      </c>
      <c r="E599" s="350">
        <v>35690.691236316554</v>
      </c>
      <c r="F599" s="350">
        <v>34062.478462888364</v>
      </c>
      <c r="G599" s="350">
        <v>32391.684264709336</v>
      </c>
      <c r="H599" s="348">
        <v>6174131.0793351484</v>
      </c>
      <c r="I599" s="369"/>
      <c r="J599" s="350">
        <v>8420869.8443359528</v>
      </c>
      <c r="K599" s="350">
        <v>2452914.5868677832</v>
      </c>
      <c r="L599" s="350">
        <v>2478926.722494245</v>
      </c>
      <c r="M599" s="350">
        <v>2502947.908947777</v>
      </c>
      <c r="N599" s="350">
        <v>2524910.9144956926</v>
      </c>
      <c r="O599" s="348">
        <v>18380569.977141451</v>
      </c>
      <c r="P599" s="369"/>
      <c r="Q599" s="350">
        <f t="shared" si="261"/>
        <v>2386159.8583828621</v>
      </c>
      <c r="R599" s="350">
        <f t="shared" si="262"/>
        <v>2415638.3474496393</v>
      </c>
      <c r="S599" s="350">
        <f t="shared" si="263"/>
        <v>2443236.0312579283</v>
      </c>
      <c r="T599" s="350">
        <f t="shared" si="264"/>
        <v>2468885.4304848886</v>
      </c>
      <c r="U599" s="350">
        <f t="shared" si="265"/>
        <v>2492519.2302309833</v>
      </c>
      <c r="V599" s="350">
        <f t="shared" si="266"/>
        <v>12206438.897806302</v>
      </c>
      <c r="W599" s="365"/>
      <c r="X599" s="377">
        <f t="shared" si="244"/>
        <v>0</v>
      </c>
      <c r="Y599" s="377">
        <f t="shared" si="245"/>
        <v>0</v>
      </c>
      <c r="Z599" s="377">
        <f t="shared" si="246"/>
        <v>0</v>
      </c>
      <c r="AA599" s="377">
        <f t="shared" si="247"/>
        <v>0</v>
      </c>
      <c r="AB599" s="377">
        <f t="shared" si="248"/>
        <v>0</v>
      </c>
      <c r="AC599" s="377">
        <f t="shared" si="249"/>
        <v>0</v>
      </c>
      <c r="AD599" s="376"/>
      <c r="AE599" s="332">
        <v>584</v>
      </c>
      <c r="AF599" s="350">
        <v>6312277.5692492211</v>
      </c>
      <c r="AG599" s="350">
        <v>38990.766829362539</v>
      </c>
      <c r="AH599" s="350">
        <v>37332.291070556108</v>
      </c>
      <c r="AI599" s="350">
        <v>35629.188354504629</v>
      </c>
      <c r="AJ599" s="350">
        <v>33881.545673322282</v>
      </c>
      <c r="AK599" s="348">
        <v>6458111.3611769658</v>
      </c>
      <c r="AL599" s="369"/>
      <c r="AM599" s="350">
        <v>8664957.4908913989</v>
      </c>
      <c r="AN599" s="350">
        <v>2420735.5682213642</v>
      </c>
      <c r="AO599" s="350">
        <v>2446287.5563178961</v>
      </c>
      <c r="AP599" s="350">
        <v>2469873.9690345451</v>
      </c>
      <c r="AQ599" s="350">
        <v>2491428.5229515517</v>
      </c>
      <c r="AR599" s="348">
        <v>18493283.107416756</v>
      </c>
      <c r="AS599" s="369"/>
      <c r="AT599" s="350">
        <f t="shared" si="267"/>
        <v>2352679.9216421777</v>
      </c>
      <c r="AU599" s="350">
        <f t="shared" si="250"/>
        <v>2381744.8013920016</v>
      </c>
      <c r="AV599" s="350">
        <f t="shared" si="251"/>
        <v>2408955.2652473398</v>
      </c>
      <c r="AW599" s="350">
        <f t="shared" si="252"/>
        <v>2434244.7806800404</v>
      </c>
      <c r="AX599" s="350">
        <f t="shared" si="253"/>
        <v>2457546.9772782293</v>
      </c>
      <c r="AY599" s="350">
        <f t="shared" si="254"/>
        <v>12035171.746239791</v>
      </c>
      <c r="AZ599" s="365"/>
      <c r="BA599" s="377">
        <f t="shared" si="255"/>
        <v>0</v>
      </c>
      <c r="BB599" s="377">
        <f t="shared" si="256"/>
        <v>0</v>
      </c>
      <c r="BC599" s="377">
        <f t="shared" si="257"/>
        <v>0</v>
      </c>
      <c r="BD599" s="377">
        <f t="shared" si="258"/>
        <v>0</v>
      </c>
      <c r="BE599" s="377">
        <f t="shared" si="259"/>
        <v>0</v>
      </c>
      <c r="BF599" s="377">
        <f t="shared" si="260"/>
        <v>0</v>
      </c>
      <c r="BG599" s="328"/>
    </row>
    <row r="600" spans="2:59">
      <c r="B600" s="332">
        <v>585</v>
      </c>
      <c r="C600" s="350">
        <v>3616397.5906556398</v>
      </c>
      <c r="D600" s="350">
        <v>22338.389538895099</v>
      </c>
      <c r="E600" s="350">
        <v>21388.224139401154</v>
      </c>
      <c r="F600" s="350">
        <v>20412.491293149662</v>
      </c>
      <c r="G600" s="350">
        <v>19411.240839218717</v>
      </c>
      <c r="H600" s="348">
        <v>3699947.9364663041</v>
      </c>
      <c r="I600" s="369"/>
      <c r="J600" s="350">
        <v>4945391.5528699113</v>
      </c>
      <c r="K600" s="350">
        <v>1367750.6708558504</v>
      </c>
      <c r="L600" s="350">
        <v>1382171.2925490416</v>
      </c>
      <c r="M600" s="350">
        <v>1395481.2315479936</v>
      </c>
      <c r="N600" s="350">
        <v>1407643.0460313917</v>
      </c>
      <c r="O600" s="348">
        <v>10498437.79385419</v>
      </c>
      <c r="P600" s="369"/>
      <c r="Q600" s="350">
        <f t="shared" si="261"/>
        <v>1328993.9622142715</v>
      </c>
      <c r="R600" s="350">
        <f t="shared" si="262"/>
        <v>1345412.2813169553</v>
      </c>
      <c r="S600" s="350">
        <f t="shared" si="263"/>
        <v>1360783.0684096403</v>
      </c>
      <c r="T600" s="350">
        <f t="shared" si="264"/>
        <v>1375068.7402548438</v>
      </c>
      <c r="U600" s="350">
        <f t="shared" si="265"/>
        <v>1388231.805192173</v>
      </c>
      <c r="V600" s="350">
        <f t="shared" si="266"/>
        <v>6798489.8573878855</v>
      </c>
      <c r="W600" s="365"/>
      <c r="X600" s="377">
        <f t="shared" si="244"/>
        <v>0</v>
      </c>
      <c r="Y600" s="377">
        <f t="shared" si="245"/>
        <v>0</v>
      </c>
      <c r="Z600" s="377">
        <f t="shared" si="246"/>
        <v>0</v>
      </c>
      <c r="AA600" s="377">
        <f t="shared" si="247"/>
        <v>0</v>
      </c>
      <c r="AB600" s="377">
        <f t="shared" si="248"/>
        <v>0</v>
      </c>
      <c r="AC600" s="377">
        <f t="shared" si="249"/>
        <v>0</v>
      </c>
      <c r="AD600" s="376"/>
      <c r="AE600" s="332">
        <v>585</v>
      </c>
      <c r="AF600" s="350">
        <v>8339191.0307929749</v>
      </c>
      <c r="AG600" s="350">
        <v>51510.956142226481</v>
      </c>
      <c r="AH600" s="350">
        <v>49319.933009784152</v>
      </c>
      <c r="AI600" s="350">
        <v>47069.952913310735</v>
      </c>
      <c r="AJ600" s="350">
        <v>44761.13077866238</v>
      </c>
      <c r="AK600" s="348">
        <v>8531853.0036369599</v>
      </c>
      <c r="AL600" s="369"/>
      <c r="AM600" s="350">
        <v>10737732.004330207</v>
      </c>
      <c r="AN600" s="350">
        <v>2479683.3743692357</v>
      </c>
      <c r="AO600" s="350">
        <v>2505233.2316963943</v>
      </c>
      <c r="AP600" s="350">
        <v>2528765.7383752111</v>
      </c>
      <c r="AQ600" s="350">
        <v>2550213.3451538389</v>
      </c>
      <c r="AR600" s="348">
        <v>20801627.693924889</v>
      </c>
      <c r="AS600" s="369"/>
      <c r="AT600" s="350">
        <f t="shared" si="267"/>
        <v>2398540.9735372318</v>
      </c>
      <c r="AU600" s="350">
        <f t="shared" si="250"/>
        <v>2428172.418227009</v>
      </c>
      <c r="AV600" s="350">
        <f t="shared" si="251"/>
        <v>2455913.2986866101</v>
      </c>
      <c r="AW600" s="350">
        <f t="shared" si="252"/>
        <v>2481695.7854619003</v>
      </c>
      <c r="AX600" s="350">
        <f t="shared" si="253"/>
        <v>2505452.2143751765</v>
      </c>
      <c r="AY600" s="350">
        <f t="shared" si="254"/>
        <v>12269774.690287929</v>
      </c>
      <c r="AZ600" s="365"/>
      <c r="BA600" s="377">
        <f t="shared" si="255"/>
        <v>0</v>
      </c>
      <c r="BB600" s="377">
        <f t="shared" si="256"/>
        <v>0</v>
      </c>
      <c r="BC600" s="377">
        <f t="shared" si="257"/>
        <v>0</v>
      </c>
      <c r="BD600" s="377">
        <f t="shared" si="258"/>
        <v>0</v>
      </c>
      <c r="BE600" s="377">
        <f t="shared" si="259"/>
        <v>0</v>
      </c>
      <c r="BF600" s="377">
        <f t="shared" si="260"/>
        <v>0</v>
      </c>
      <c r="BG600" s="328"/>
    </row>
    <row r="601" spans="2:59">
      <c r="B601" s="332">
        <v>586</v>
      </c>
      <c r="C601" s="350">
        <v>5401162.1589409374</v>
      </c>
      <c r="D601" s="350">
        <v>33362.83172539324</v>
      </c>
      <c r="E601" s="350">
        <v>31943.740690230894</v>
      </c>
      <c r="F601" s="350">
        <v>30486.464161779546</v>
      </c>
      <c r="G601" s="350">
        <v>28991.076575700925</v>
      </c>
      <c r="H601" s="348">
        <v>5525946.272094043</v>
      </c>
      <c r="I601" s="369"/>
      <c r="J601" s="350">
        <v>6929182.3172134357</v>
      </c>
      <c r="K601" s="350">
        <v>1580260.0678982714</v>
      </c>
      <c r="L601" s="350">
        <v>1596513.6474650153</v>
      </c>
      <c r="M601" s="350">
        <v>1611481.4226482881</v>
      </c>
      <c r="N601" s="350">
        <v>1625120.3615834352</v>
      </c>
      <c r="O601" s="348">
        <v>13342557.816808445</v>
      </c>
      <c r="P601" s="369"/>
      <c r="Q601" s="350">
        <f t="shared" si="261"/>
        <v>1528020.1582724983</v>
      </c>
      <c r="R601" s="350">
        <f t="shared" si="262"/>
        <v>1546897.2361728782</v>
      </c>
      <c r="S601" s="350">
        <f t="shared" si="263"/>
        <v>1564569.9067747844</v>
      </c>
      <c r="T601" s="350">
        <f t="shared" si="264"/>
        <v>1580994.9584865086</v>
      </c>
      <c r="U601" s="350">
        <f t="shared" si="265"/>
        <v>1596129.2850077343</v>
      </c>
      <c r="V601" s="350">
        <f t="shared" si="266"/>
        <v>7816611.5447144024</v>
      </c>
      <c r="W601" s="365"/>
      <c r="X601" s="377">
        <f t="shared" si="244"/>
        <v>0</v>
      </c>
      <c r="Y601" s="377">
        <f t="shared" si="245"/>
        <v>0</v>
      </c>
      <c r="Z601" s="377">
        <f t="shared" si="246"/>
        <v>0</v>
      </c>
      <c r="AA601" s="377">
        <f t="shared" si="247"/>
        <v>0</v>
      </c>
      <c r="AB601" s="377">
        <f t="shared" si="248"/>
        <v>0</v>
      </c>
      <c r="AC601" s="377">
        <f t="shared" si="249"/>
        <v>0</v>
      </c>
      <c r="AD601" s="376"/>
      <c r="AE601" s="332">
        <v>586</v>
      </c>
      <c r="AF601" s="350">
        <v>6509497.1722837482</v>
      </c>
      <c r="AG601" s="350">
        <v>40208.986952247527</v>
      </c>
      <c r="AH601" s="350">
        <v>38498.694091421501</v>
      </c>
      <c r="AI601" s="350">
        <v>36742.37995715822</v>
      </c>
      <c r="AJ601" s="350">
        <v>34940.134259548453</v>
      </c>
      <c r="AK601" s="348">
        <v>6659887.367544123</v>
      </c>
      <c r="AL601" s="369"/>
      <c r="AM601" s="350">
        <v>7624173.2003765441</v>
      </c>
      <c r="AN601" s="350">
        <v>1168655.6620499755</v>
      </c>
      <c r="AO601" s="350">
        <v>1179837.4126387583</v>
      </c>
      <c r="AP601" s="350">
        <v>1190063.015957691</v>
      </c>
      <c r="AQ601" s="350">
        <v>1199301.1160848474</v>
      </c>
      <c r="AR601" s="348">
        <v>12362030.407107815</v>
      </c>
      <c r="AS601" s="369"/>
      <c r="AT601" s="350">
        <f t="shared" si="267"/>
        <v>1114676.028092796</v>
      </c>
      <c r="AU601" s="350">
        <f t="shared" si="250"/>
        <v>1128446.6750977279</v>
      </c>
      <c r="AV601" s="350">
        <f t="shared" si="251"/>
        <v>1141338.7185473368</v>
      </c>
      <c r="AW601" s="350">
        <f t="shared" si="252"/>
        <v>1153320.6360005329</v>
      </c>
      <c r="AX601" s="350">
        <f t="shared" si="253"/>
        <v>1164360.9818252989</v>
      </c>
      <c r="AY601" s="350">
        <f t="shared" si="254"/>
        <v>5702143.0395636922</v>
      </c>
      <c r="AZ601" s="365"/>
      <c r="BA601" s="377">
        <f t="shared" si="255"/>
        <v>0</v>
      </c>
      <c r="BB601" s="377">
        <f t="shared" si="256"/>
        <v>0</v>
      </c>
      <c r="BC601" s="377">
        <f t="shared" si="257"/>
        <v>0</v>
      </c>
      <c r="BD601" s="377">
        <f t="shared" si="258"/>
        <v>0</v>
      </c>
      <c r="BE601" s="377">
        <f t="shared" si="259"/>
        <v>0</v>
      </c>
      <c r="BF601" s="377">
        <f t="shared" si="260"/>
        <v>0</v>
      </c>
      <c r="BG601" s="328"/>
    </row>
    <row r="602" spans="2:59">
      <c r="B602" s="332">
        <v>587</v>
      </c>
      <c r="C602" s="350">
        <v>6611952.1423296286</v>
      </c>
      <c r="D602" s="350">
        <v>40841.848515089383</v>
      </c>
      <c r="E602" s="350">
        <v>39104.63683101369</v>
      </c>
      <c r="F602" s="350">
        <v>37320.679530580419</v>
      </c>
      <c r="G602" s="350">
        <v>35490.06773585514</v>
      </c>
      <c r="H602" s="348">
        <v>6764709.3749421677</v>
      </c>
      <c r="I602" s="369"/>
      <c r="J602" s="350">
        <v>9057702.1018794253</v>
      </c>
      <c r="K602" s="350">
        <v>2516806.4699993664</v>
      </c>
      <c r="L602" s="350">
        <v>2543356.1452229982</v>
      </c>
      <c r="M602" s="350">
        <v>2567862.1353045176</v>
      </c>
      <c r="N602" s="350">
        <v>2590255.5353964916</v>
      </c>
      <c r="O602" s="348">
        <v>19275982.387802798</v>
      </c>
      <c r="P602" s="369"/>
      <c r="Q602" s="350">
        <f t="shared" si="261"/>
        <v>2445749.9595497968</v>
      </c>
      <c r="R602" s="350">
        <f t="shared" si="262"/>
        <v>2475964.6214842768</v>
      </c>
      <c r="S602" s="350">
        <f t="shared" si="263"/>
        <v>2504251.5083919847</v>
      </c>
      <c r="T602" s="350">
        <f t="shared" si="264"/>
        <v>2530541.4557739371</v>
      </c>
      <c r="U602" s="350">
        <f t="shared" si="265"/>
        <v>2554765.4676606366</v>
      </c>
      <c r="V602" s="350">
        <f t="shared" si="266"/>
        <v>12511273.01286063</v>
      </c>
      <c r="W602" s="365"/>
      <c r="X602" s="377">
        <f t="shared" si="244"/>
        <v>0</v>
      </c>
      <c r="Y602" s="377">
        <f t="shared" si="245"/>
        <v>0</v>
      </c>
      <c r="Z602" s="377">
        <f t="shared" si="246"/>
        <v>0</v>
      </c>
      <c r="AA602" s="377">
        <f t="shared" si="247"/>
        <v>0</v>
      </c>
      <c r="AB602" s="377">
        <f t="shared" si="248"/>
        <v>0</v>
      </c>
      <c r="AC602" s="377">
        <f t="shared" si="249"/>
        <v>0</v>
      </c>
      <c r="AD602" s="376"/>
      <c r="AE602" s="332">
        <v>587</v>
      </c>
      <c r="AF602" s="350">
        <v>7003699.5480796499</v>
      </c>
      <c r="AG602" s="350">
        <v>43261.661583517438</v>
      </c>
      <c r="AH602" s="350">
        <v>41421.522933873333</v>
      </c>
      <c r="AI602" s="350">
        <v>39531.869066169136</v>
      </c>
      <c r="AJ602" s="350">
        <v>37592.796501298319</v>
      </c>
      <c r="AK602" s="348">
        <v>7165507.3981645089</v>
      </c>
      <c r="AL602" s="369"/>
      <c r="AM602" s="350">
        <v>8748826.1320443302</v>
      </c>
      <c r="AN602" s="350">
        <v>1809947.4444194771</v>
      </c>
      <c r="AO602" s="350">
        <v>1828290.9709591113</v>
      </c>
      <c r="AP602" s="350">
        <v>1845160.0973535236</v>
      </c>
      <c r="AQ602" s="350">
        <v>1860505.6891300294</v>
      </c>
      <c r="AR602" s="348">
        <v>16092730.333906472</v>
      </c>
      <c r="AS602" s="369"/>
      <c r="AT602" s="350">
        <f t="shared" si="267"/>
        <v>1745126.5839646803</v>
      </c>
      <c r="AU602" s="350">
        <f t="shared" si="250"/>
        <v>1766685.7828359597</v>
      </c>
      <c r="AV602" s="350">
        <f t="shared" si="251"/>
        <v>1786869.448025238</v>
      </c>
      <c r="AW602" s="350">
        <f t="shared" si="252"/>
        <v>1805628.2282873546</v>
      </c>
      <c r="AX602" s="350">
        <f t="shared" si="253"/>
        <v>1822912.8926287312</v>
      </c>
      <c r="AY602" s="350">
        <f t="shared" si="254"/>
        <v>8927222.9357419629</v>
      </c>
      <c r="AZ602" s="365"/>
      <c r="BA602" s="377">
        <f t="shared" si="255"/>
        <v>0</v>
      </c>
      <c r="BB602" s="377">
        <f t="shared" si="256"/>
        <v>0</v>
      </c>
      <c r="BC602" s="377">
        <f t="shared" si="257"/>
        <v>0</v>
      </c>
      <c r="BD602" s="377">
        <f t="shared" si="258"/>
        <v>0</v>
      </c>
      <c r="BE602" s="377">
        <f t="shared" si="259"/>
        <v>0</v>
      </c>
      <c r="BF602" s="377">
        <f t="shared" si="260"/>
        <v>0</v>
      </c>
      <c r="BG602" s="328"/>
    </row>
    <row r="603" spans="2:59">
      <c r="B603" s="332">
        <v>588</v>
      </c>
      <c r="C603" s="350">
        <v>5564406.1982543748</v>
      </c>
      <c r="D603" s="350">
        <v>34371.185715427877</v>
      </c>
      <c r="E603" s="350">
        <v>32909.204252998134</v>
      </c>
      <c r="F603" s="350">
        <v>31407.883183780363</v>
      </c>
      <c r="G603" s="350">
        <v>29867.299193165331</v>
      </c>
      <c r="H603" s="348">
        <v>5692961.7705997461</v>
      </c>
      <c r="I603" s="369"/>
      <c r="J603" s="350">
        <v>7030545.5172312241</v>
      </c>
      <c r="K603" s="350">
        <v>1518623.1100707443</v>
      </c>
      <c r="L603" s="350">
        <v>1534118.1020490807</v>
      </c>
      <c r="M603" s="350">
        <v>1548376.6608482103</v>
      </c>
      <c r="N603" s="350">
        <v>1561357.5025461717</v>
      </c>
      <c r="O603" s="348">
        <v>13193020.892745432</v>
      </c>
      <c r="P603" s="369"/>
      <c r="Q603" s="350">
        <f t="shared" si="261"/>
        <v>1466139.3189768493</v>
      </c>
      <c r="R603" s="350">
        <f t="shared" si="262"/>
        <v>1484251.9243553164</v>
      </c>
      <c r="S603" s="350">
        <f t="shared" si="263"/>
        <v>1501208.8977960825</v>
      </c>
      <c r="T603" s="350">
        <f t="shared" si="264"/>
        <v>1516968.77766443</v>
      </c>
      <c r="U603" s="350">
        <f t="shared" si="265"/>
        <v>1531490.2033530064</v>
      </c>
      <c r="V603" s="350">
        <f t="shared" si="266"/>
        <v>7500059.1221456854</v>
      </c>
      <c r="W603" s="365"/>
      <c r="X603" s="377">
        <f t="shared" si="244"/>
        <v>0</v>
      </c>
      <c r="Y603" s="377">
        <f t="shared" si="245"/>
        <v>0</v>
      </c>
      <c r="Z603" s="377">
        <f t="shared" si="246"/>
        <v>0</v>
      </c>
      <c r="AA603" s="377">
        <f t="shared" si="247"/>
        <v>0</v>
      </c>
      <c r="AB603" s="377">
        <f t="shared" si="248"/>
        <v>0</v>
      </c>
      <c r="AC603" s="377">
        <f t="shared" si="249"/>
        <v>0</v>
      </c>
      <c r="AD603" s="376"/>
      <c r="AE603" s="332">
        <v>588</v>
      </c>
      <c r="AF603" s="350">
        <v>4836904.0635369495</v>
      </c>
      <c r="AG603" s="350">
        <v>29877.424819865158</v>
      </c>
      <c r="AH603" s="350">
        <v>28606.585879555652</v>
      </c>
      <c r="AI603" s="350">
        <v>27301.550675141571</v>
      </c>
      <c r="AJ603" s="350">
        <v>25962.385866010176</v>
      </c>
      <c r="AK603" s="348">
        <v>4948652.0107775228</v>
      </c>
      <c r="AL603" s="369"/>
      <c r="AM603" s="350">
        <v>6864638.3217294756</v>
      </c>
      <c r="AN603" s="350">
        <v>2082662.2017152624</v>
      </c>
      <c r="AO603" s="350">
        <v>2104843.5923932805</v>
      </c>
      <c r="AP603" s="350">
        <v>2125335.1544838226</v>
      </c>
      <c r="AQ603" s="350">
        <v>2144079.7511326931</v>
      </c>
      <c r="AR603" s="348">
        <v>15321559.021454535</v>
      </c>
      <c r="AS603" s="369"/>
      <c r="AT603" s="350">
        <f t="shared" si="267"/>
        <v>2027734.2581925262</v>
      </c>
      <c r="AU603" s="350">
        <f t="shared" si="250"/>
        <v>2052784.7768953971</v>
      </c>
      <c r="AV603" s="350">
        <f t="shared" si="251"/>
        <v>2076237.0065137248</v>
      </c>
      <c r="AW603" s="350">
        <f t="shared" si="252"/>
        <v>2098033.603808681</v>
      </c>
      <c r="AX603" s="350">
        <f t="shared" si="253"/>
        <v>2118117.365266683</v>
      </c>
      <c r="AY603" s="350">
        <f t="shared" si="254"/>
        <v>10372907.010677014</v>
      </c>
      <c r="AZ603" s="365"/>
      <c r="BA603" s="377">
        <f t="shared" si="255"/>
        <v>0</v>
      </c>
      <c r="BB603" s="377">
        <f t="shared" si="256"/>
        <v>0</v>
      </c>
      <c r="BC603" s="377">
        <f t="shared" si="257"/>
        <v>0</v>
      </c>
      <c r="BD603" s="377">
        <f t="shared" si="258"/>
        <v>0</v>
      </c>
      <c r="BE603" s="377">
        <f t="shared" si="259"/>
        <v>0</v>
      </c>
      <c r="BF603" s="377">
        <f t="shared" si="260"/>
        <v>0</v>
      </c>
      <c r="BG603" s="328"/>
    </row>
    <row r="604" spans="2:59">
      <c r="B604" s="332">
        <v>589</v>
      </c>
      <c r="C604" s="350">
        <v>8574221.3802219927</v>
      </c>
      <c r="D604" s="350">
        <v>52962.732217007077</v>
      </c>
      <c r="E604" s="350">
        <v>50709.957659213112</v>
      </c>
      <c r="F604" s="350">
        <v>48396.564504288857</v>
      </c>
      <c r="G604" s="350">
        <v>46022.67091713471</v>
      </c>
      <c r="H604" s="348">
        <v>8772313.3055196349</v>
      </c>
      <c r="I604" s="369"/>
      <c r="J604" s="350">
        <v>10614093.84811971</v>
      </c>
      <c r="K604" s="350">
        <v>2118035.6735998895</v>
      </c>
      <c r="L604" s="350">
        <v>2139375.5159325767</v>
      </c>
      <c r="M604" s="350">
        <v>2158989.1965725571</v>
      </c>
      <c r="N604" s="350">
        <v>2176819.2877454725</v>
      </c>
      <c r="O604" s="348">
        <v>19207313.521970205</v>
      </c>
      <c r="P604" s="369"/>
      <c r="Q604" s="350">
        <f t="shared" si="261"/>
        <v>2039872.4678977169</v>
      </c>
      <c r="R604" s="350">
        <f t="shared" si="262"/>
        <v>2065072.9413828824</v>
      </c>
      <c r="S604" s="350">
        <f t="shared" si="263"/>
        <v>2088665.5582733636</v>
      </c>
      <c r="T604" s="350">
        <f t="shared" si="264"/>
        <v>2110592.632068268</v>
      </c>
      <c r="U604" s="350">
        <f t="shared" si="265"/>
        <v>2130796.6168283378</v>
      </c>
      <c r="V604" s="350">
        <f t="shared" si="266"/>
        <v>10435000.21645057</v>
      </c>
      <c r="W604" s="365"/>
      <c r="X604" s="377">
        <f t="shared" si="244"/>
        <v>0</v>
      </c>
      <c r="Y604" s="377">
        <f t="shared" si="245"/>
        <v>0</v>
      </c>
      <c r="Z604" s="377">
        <f t="shared" si="246"/>
        <v>0</v>
      </c>
      <c r="AA604" s="377">
        <f t="shared" si="247"/>
        <v>0</v>
      </c>
      <c r="AB604" s="377">
        <f t="shared" si="248"/>
        <v>0</v>
      </c>
      <c r="AC604" s="377">
        <f t="shared" si="249"/>
        <v>0</v>
      </c>
      <c r="AD604" s="376"/>
      <c r="AE604" s="332">
        <v>589</v>
      </c>
      <c r="AF604" s="350">
        <v>4758052.4439790472</v>
      </c>
      <c r="AG604" s="350">
        <v>29390.360510894148</v>
      </c>
      <c r="AH604" s="350">
        <v>28140.23889458449</v>
      </c>
      <c r="AI604" s="350">
        <v>26856.478484563107</v>
      </c>
      <c r="AJ604" s="350">
        <v>25539.144853529535</v>
      </c>
      <c r="AK604" s="348">
        <v>4867978.666722619</v>
      </c>
      <c r="AL604" s="369"/>
      <c r="AM604" s="350">
        <v>6426183.8442470543</v>
      </c>
      <c r="AN604" s="350">
        <v>1718129.7653398691</v>
      </c>
      <c r="AO604" s="350">
        <v>1736172.803305279</v>
      </c>
      <c r="AP604" s="350">
        <v>1752820.1836351301</v>
      </c>
      <c r="AQ604" s="350">
        <v>1768024.9129855894</v>
      </c>
      <c r="AR604" s="348">
        <v>13401331.509512922</v>
      </c>
      <c r="AS604" s="369"/>
      <c r="AT604" s="350">
        <f t="shared" si="267"/>
        <v>1668131.4002680071</v>
      </c>
      <c r="AU604" s="350">
        <f t="shared" si="250"/>
        <v>1688739.404828975</v>
      </c>
      <c r="AV604" s="350">
        <f t="shared" si="251"/>
        <v>1708032.5644106944</v>
      </c>
      <c r="AW604" s="350">
        <f t="shared" si="252"/>
        <v>1725963.705150567</v>
      </c>
      <c r="AX604" s="350">
        <f t="shared" si="253"/>
        <v>1742485.7681320598</v>
      </c>
      <c r="AY604" s="350">
        <f t="shared" si="254"/>
        <v>8533352.8427903019</v>
      </c>
      <c r="AZ604" s="365"/>
      <c r="BA604" s="377">
        <f t="shared" si="255"/>
        <v>0</v>
      </c>
      <c r="BB604" s="377">
        <f t="shared" si="256"/>
        <v>0</v>
      </c>
      <c r="BC604" s="377">
        <f t="shared" si="257"/>
        <v>0</v>
      </c>
      <c r="BD604" s="377">
        <f t="shared" si="258"/>
        <v>0</v>
      </c>
      <c r="BE604" s="377">
        <f t="shared" si="259"/>
        <v>0</v>
      </c>
      <c r="BF604" s="377">
        <f t="shared" si="260"/>
        <v>0</v>
      </c>
      <c r="BG604" s="328"/>
    </row>
    <row r="605" spans="2:59">
      <c r="B605" s="332">
        <v>590</v>
      </c>
      <c r="C605" s="350">
        <v>4891869.9412030168</v>
      </c>
      <c r="D605" s="350">
        <v>30216.947550945777</v>
      </c>
      <c r="E605" s="350">
        <v>28931.666980863698</v>
      </c>
      <c r="F605" s="350">
        <v>27611.801545285351</v>
      </c>
      <c r="G605" s="350">
        <v>26257.41866109621</v>
      </c>
      <c r="H605" s="348">
        <v>5004887.775941208</v>
      </c>
      <c r="I605" s="369"/>
      <c r="J605" s="350">
        <v>6934571.5037291972</v>
      </c>
      <c r="K605" s="350">
        <v>2098153.9340434102</v>
      </c>
      <c r="L605" s="350">
        <v>2120493.9909121599</v>
      </c>
      <c r="M605" s="350">
        <v>2141131.6098817913</v>
      </c>
      <c r="N605" s="350">
        <v>2160009.2326195929</v>
      </c>
      <c r="O605" s="348">
        <v>15454360.271186152</v>
      </c>
      <c r="P605" s="369"/>
      <c r="Q605" s="350">
        <f t="shared" si="261"/>
        <v>2042701.5625261804</v>
      </c>
      <c r="R605" s="350">
        <f t="shared" si="262"/>
        <v>2067936.9864924646</v>
      </c>
      <c r="S605" s="350">
        <f t="shared" si="263"/>
        <v>2091562.3239312961</v>
      </c>
      <c r="T605" s="350">
        <f t="shared" si="264"/>
        <v>2113519.8083365061</v>
      </c>
      <c r="U605" s="350">
        <f t="shared" si="265"/>
        <v>2133751.8139584968</v>
      </c>
      <c r="V605" s="350">
        <f t="shared" si="266"/>
        <v>10449472.495244944</v>
      </c>
      <c r="W605" s="365"/>
      <c r="X605" s="377">
        <f t="shared" si="244"/>
        <v>0</v>
      </c>
      <c r="Y605" s="377">
        <f t="shared" si="245"/>
        <v>0</v>
      </c>
      <c r="Z605" s="377">
        <f t="shared" si="246"/>
        <v>0</v>
      </c>
      <c r="AA605" s="377">
        <f t="shared" si="247"/>
        <v>0</v>
      </c>
      <c r="AB605" s="377">
        <f t="shared" si="248"/>
        <v>0</v>
      </c>
      <c r="AC605" s="377">
        <f t="shared" si="249"/>
        <v>0</v>
      </c>
      <c r="AD605" s="376"/>
      <c r="AE605" s="332">
        <v>590</v>
      </c>
      <c r="AF605" s="350">
        <v>5016477.9349125847</v>
      </c>
      <c r="AG605" s="350">
        <v>30986.647738318465</v>
      </c>
      <c r="AH605" s="350">
        <v>29668.627901839751</v>
      </c>
      <c r="AI605" s="350">
        <v>28315.142238028406</v>
      </c>
      <c r="AJ605" s="350">
        <v>26926.259881054655</v>
      </c>
      <c r="AK605" s="348">
        <v>5132374.612671827</v>
      </c>
      <c r="AL605" s="369"/>
      <c r="AM605" s="350">
        <v>7079449.5777090583</v>
      </c>
      <c r="AN605" s="350">
        <v>2119444.1299699005</v>
      </c>
      <c r="AO605" s="350">
        <v>2141985.885874494</v>
      </c>
      <c r="AP605" s="350">
        <v>2162807.7725245249</v>
      </c>
      <c r="AQ605" s="350">
        <v>2181851.6614743164</v>
      </c>
      <c r="AR605" s="348">
        <v>15685539.027552295</v>
      </c>
      <c r="AS605" s="369"/>
      <c r="AT605" s="350">
        <f t="shared" si="267"/>
        <v>2062971.6427964736</v>
      </c>
      <c r="AU605" s="350">
        <f t="shared" si="250"/>
        <v>2088457.482231582</v>
      </c>
      <c r="AV605" s="350">
        <f t="shared" si="251"/>
        <v>2112317.2579726544</v>
      </c>
      <c r="AW605" s="350">
        <f t="shared" si="252"/>
        <v>2134492.6302864966</v>
      </c>
      <c r="AX605" s="350">
        <f t="shared" si="253"/>
        <v>2154925.4015932619</v>
      </c>
      <c r="AY605" s="350">
        <f t="shared" si="254"/>
        <v>10553164.414880469</v>
      </c>
      <c r="AZ605" s="365"/>
      <c r="BA605" s="377">
        <f t="shared" si="255"/>
        <v>0</v>
      </c>
      <c r="BB605" s="377">
        <f t="shared" si="256"/>
        <v>0</v>
      </c>
      <c r="BC605" s="377">
        <f t="shared" si="257"/>
        <v>0</v>
      </c>
      <c r="BD605" s="377">
        <f t="shared" si="258"/>
        <v>0</v>
      </c>
      <c r="BE605" s="377">
        <f t="shared" si="259"/>
        <v>0</v>
      </c>
      <c r="BF605" s="377">
        <f t="shared" si="260"/>
        <v>0</v>
      </c>
      <c r="BG605" s="328"/>
    </row>
    <row r="606" spans="2:59">
      <c r="B606" s="332">
        <v>591</v>
      </c>
      <c r="C606" s="350">
        <v>8352384.2419585679</v>
      </c>
      <c r="D606" s="350">
        <v>51592.450248696274</v>
      </c>
      <c r="E606" s="350">
        <v>49397.960757136607</v>
      </c>
      <c r="F606" s="350">
        <v>47144.421027309632</v>
      </c>
      <c r="G606" s="350">
        <v>44831.94616689258</v>
      </c>
      <c r="H606" s="348">
        <v>8545351.0201586038</v>
      </c>
      <c r="I606" s="369"/>
      <c r="J606" s="350">
        <v>10735791.182713697</v>
      </c>
      <c r="K606" s="350">
        <v>2464443.8706760071</v>
      </c>
      <c r="L606" s="350">
        <v>2489815.2254871079</v>
      </c>
      <c r="M606" s="350">
        <v>2513181.4932186147</v>
      </c>
      <c r="N606" s="350">
        <v>2534475.5517400154</v>
      </c>
      <c r="O606" s="348">
        <v>20737707.323835444</v>
      </c>
      <c r="P606" s="369"/>
      <c r="Q606" s="350">
        <f t="shared" si="261"/>
        <v>2383406.9407551289</v>
      </c>
      <c r="R606" s="350">
        <f t="shared" si="262"/>
        <v>2412851.4204273107</v>
      </c>
      <c r="S606" s="350">
        <f t="shared" si="263"/>
        <v>2440417.2647299711</v>
      </c>
      <c r="T606" s="350">
        <f t="shared" si="264"/>
        <v>2466037.072191305</v>
      </c>
      <c r="U606" s="350">
        <f t="shared" si="265"/>
        <v>2489643.6055731229</v>
      </c>
      <c r="V606" s="350">
        <f t="shared" si="266"/>
        <v>12192356.30367684</v>
      </c>
      <c r="W606" s="365"/>
      <c r="X606" s="377">
        <f t="shared" si="244"/>
        <v>0</v>
      </c>
      <c r="Y606" s="377">
        <f t="shared" si="245"/>
        <v>0</v>
      </c>
      <c r="Z606" s="377">
        <f t="shared" si="246"/>
        <v>0</v>
      </c>
      <c r="AA606" s="377">
        <f t="shared" si="247"/>
        <v>0</v>
      </c>
      <c r="AB606" s="377">
        <f t="shared" si="248"/>
        <v>0</v>
      </c>
      <c r="AC606" s="377">
        <f t="shared" si="249"/>
        <v>0</v>
      </c>
      <c r="AD606" s="376"/>
      <c r="AE606" s="332">
        <v>591</v>
      </c>
      <c r="AF606" s="350">
        <v>6072018.5530278953</v>
      </c>
      <c r="AG606" s="350">
        <v>37506.69342204323</v>
      </c>
      <c r="AH606" s="350">
        <v>35911.342858519965</v>
      </c>
      <c r="AI606" s="350">
        <v>34273.063936825922</v>
      </c>
      <c r="AJ606" s="350">
        <v>32591.940337970416</v>
      </c>
      <c r="AK606" s="348">
        <v>6212301.5935832551</v>
      </c>
      <c r="AL606" s="369"/>
      <c r="AM606" s="350">
        <v>7462747.3057151902</v>
      </c>
      <c r="AN606" s="350">
        <v>1445416.4334547229</v>
      </c>
      <c r="AO606" s="350">
        <v>1459905.8779835822</v>
      </c>
      <c r="AP606" s="350">
        <v>1473216.8728369777</v>
      </c>
      <c r="AQ606" s="350">
        <v>1485310.2684626738</v>
      </c>
      <c r="AR606" s="348">
        <v>13326596.758453146</v>
      </c>
      <c r="AS606" s="369"/>
      <c r="AT606" s="350">
        <f t="shared" si="267"/>
        <v>1390728.752687295</v>
      </c>
      <c r="AU606" s="350">
        <f t="shared" si="250"/>
        <v>1407909.7400326796</v>
      </c>
      <c r="AV606" s="350">
        <f t="shared" si="251"/>
        <v>1423994.5351250623</v>
      </c>
      <c r="AW606" s="350">
        <f t="shared" si="252"/>
        <v>1438943.8089001519</v>
      </c>
      <c r="AX606" s="350">
        <f t="shared" si="253"/>
        <v>1452718.3281247034</v>
      </c>
      <c r="AY606" s="350">
        <f t="shared" si="254"/>
        <v>7114295.1648698905</v>
      </c>
      <c r="AZ606" s="365"/>
      <c r="BA606" s="377">
        <f t="shared" si="255"/>
        <v>0</v>
      </c>
      <c r="BB606" s="377">
        <f t="shared" si="256"/>
        <v>0</v>
      </c>
      <c r="BC606" s="377">
        <f t="shared" si="257"/>
        <v>0</v>
      </c>
      <c r="BD606" s="377">
        <f t="shared" si="258"/>
        <v>0</v>
      </c>
      <c r="BE606" s="377">
        <f t="shared" si="259"/>
        <v>0</v>
      </c>
      <c r="BF606" s="377">
        <f t="shared" si="260"/>
        <v>0</v>
      </c>
      <c r="BG606" s="328"/>
    </row>
    <row r="607" spans="2:59">
      <c r="B607" s="332">
        <v>592</v>
      </c>
      <c r="C607" s="350">
        <v>4894158.1661227942</v>
      </c>
      <c r="D607" s="350">
        <v>30231.081854026834</v>
      </c>
      <c r="E607" s="350">
        <v>28945.200080099803</v>
      </c>
      <c r="F607" s="350">
        <v>27624.717263226335</v>
      </c>
      <c r="G607" s="350">
        <v>26269.700851840367</v>
      </c>
      <c r="H607" s="348">
        <v>5007228.8661719868</v>
      </c>
      <c r="I607" s="369"/>
      <c r="J607" s="350">
        <v>6716287.7864905205</v>
      </c>
      <c r="K607" s="350">
        <v>1874871.1924152577</v>
      </c>
      <c r="L607" s="350">
        <v>1894659.572260459</v>
      </c>
      <c r="M607" s="350">
        <v>1912925.5936385549</v>
      </c>
      <c r="N607" s="350">
        <v>1929617.9207058183</v>
      </c>
      <c r="O607" s="348">
        <v>14328362.065510608</v>
      </c>
      <c r="P607" s="369"/>
      <c r="Q607" s="350">
        <f t="shared" si="261"/>
        <v>1822129.6203677263</v>
      </c>
      <c r="R607" s="350">
        <f t="shared" si="262"/>
        <v>1844640.1105612309</v>
      </c>
      <c r="S607" s="350">
        <f t="shared" si="263"/>
        <v>1865714.3721803592</v>
      </c>
      <c r="T607" s="350">
        <f t="shared" si="264"/>
        <v>1885300.8763753285</v>
      </c>
      <c r="U607" s="350">
        <f t="shared" si="265"/>
        <v>1903348.2198539779</v>
      </c>
      <c r="V607" s="350">
        <f t="shared" si="266"/>
        <v>9321133.1993386224</v>
      </c>
      <c r="W607" s="365"/>
      <c r="X607" s="377">
        <f t="shared" si="244"/>
        <v>0</v>
      </c>
      <c r="Y607" s="377">
        <f t="shared" si="245"/>
        <v>0</v>
      </c>
      <c r="Z607" s="377">
        <f t="shared" si="246"/>
        <v>0</v>
      </c>
      <c r="AA607" s="377">
        <f t="shared" si="247"/>
        <v>0</v>
      </c>
      <c r="AB607" s="377">
        <f t="shared" si="248"/>
        <v>0</v>
      </c>
      <c r="AC607" s="377">
        <f t="shared" si="249"/>
        <v>0</v>
      </c>
      <c r="AD607" s="376"/>
      <c r="AE607" s="332">
        <v>592</v>
      </c>
      <c r="AF607" s="350">
        <v>4366376.6382408021</v>
      </c>
      <c r="AG607" s="350">
        <v>26970.989713792438</v>
      </c>
      <c r="AH607" s="350">
        <v>25823.776250997962</v>
      </c>
      <c r="AI607" s="350">
        <v>24645.693089995977</v>
      </c>
      <c r="AJ607" s="350">
        <v>23436.80040563946</v>
      </c>
      <c r="AK607" s="348">
        <v>4467253.8977012271</v>
      </c>
      <c r="AL607" s="369"/>
      <c r="AM607" s="350">
        <v>6649383.1082279766</v>
      </c>
      <c r="AN607" s="350">
        <v>2338181.5974197658</v>
      </c>
      <c r="AO607" s="350">
        <v>2363439.0233903411</v>
      </c>
      <c r="AP607" s="350">
        <v>2386801.5191770215</v>
      </c>
      <c r="AQ607" s="350">
        <v>2408204.7400697027</v>
      </c>
      <c r="AR607" s="348">
        <v>16146009.988284808</v>
      </c>
      <c r="AS607" s="369"/>
      <c r="AT607" s="350">
        <f t="shared" si="267"/>
        <v>2283006.4699871745</v>
      </c>
      <c r="AU607" s="350">
        <f t="shared" si="250"/>
        <v>2311210.6077059736</v>
      </c>
      <c r="AV607" s="350">
        <f t="shared" si="251"/>
        <v>2337615.2471393431</v>
      </c>
      <c r="AW607" s="350">
        <f t="shared" si="252"/>
        <v>2362155.8260870255</v>
      </c>
      <c r="AX607" s="350">
        <f t="shared" si="253"/>
        <v>2384767.939664063</v>
      </c>
      <c r="AY607" s="350">
        <f t="shared" si="254"/>
        <v>11678756.090583581</v>
      </c>
      <c r="AZ607" s="365"/>
      <c r="BA607" s="377">
        <f t="shared" si="255"/>
        <v>0</v>
      </c>
      <c r="BB607" s="377">
        <f t="shared" si="256"/>
        <v>0</v>
      </c>
      <c r="BC607" s="377">
        <f t="shared" si="257"/>
        <v>0</v>
      </c>
      <c r="BD607" s="377">
        <f t="shared" si="258"/>
        <v>0</v>
      </c>
      <c r="BE607" s="377">
        <f t="shared" si="259"/>
        <v>0</v>
      </c>
      <c r="BF607" s="377">
        <f t="shared" si="260"/>
        <v>0</v>
      </c>
      <c r="BG607" s="328"/>
    </row>
    <row r="608" spans="2:59">
      <c r="B608" s="332">
        <v>593</v>
      </c>
      <c r="C608" s="350">
        <v>6357760.6616528817</v>
      </c>
      <c r="D608" s="350">
        <v>39271.714653840296</v>
      </c>
      <c r="E608" s="350">
        <v>37601.288754162815</v>
      </c>
      <c r="F608" s="350">
        <v>35885.914337861446</v>
      </c>
      <c r="G608" s="350">
        <v>34125.679023882338</v>
      </c>
      <c r="H608" s="348">
        <v>6504645.258422628</v>
      </c>
      <c r="I608" s="369"/>
      <c r="J608" s="350">
        <v>8400598.8688226193</v>
      </c>
      <c r="K608" s="350">
        <v>2107347.0338903526</v>
      </c>
      <c r="L608" s="350">
        <v>2129303.5258247433</v>
      </c>
      <c r="M608" s="350">
        <v>2149547.1046393849</v>
      </c>
      <c r="N608" s="350">
        <v>2168020.2283488223</v>
      </c>
      <c r="O608" s="348">
        <v>16954816.761525922</v>
      </c>
      <c r="P608" s="369"/>
      <c r="Q608" s="350">
        <f t="shared" si="261"/>
        <v>2042838.2071697377</v>
      </c>
      <c r="R608" s="350">
        <f t="shared" si="262"/>
        <v>2068075.3192365123</v>
      </c>
      <c r="S608" s="350">
        <f t="shared" si="263"/>
        <v>2091702.2370705805</v>
      </c>
      <c r="T608" s="350">
        <f t="shared" si="264"/>
        <v>2113661.1903015235</v>
      </c>
      <c r="U608" s="350">
        <f t="shared" si="265"/>
        <v>2133894.54932494</v>
      </c>
      <c r="V608" s="350">
        <f t="shared" si="266"/>
        <v>10450171.503103293</v>
      </c>
      <c r="W608" s="365"/>
      <c r="X608" s="377">
        <f t="shared" si="244"/>
        <v>0</v>
      </c>
      <c r="Y608" s="377">
        <f t="shared" si="245"/>
        <v>0</v>
      </c>
      <c r="Z608" s="377">
        <f t="shared" si="246"/>
        <v>0</v>
      </c>
      <c r="AA608" s="377">
        <f t="shared" si="247"/>
        <v>0</v>
      </c>
      <c r="AB608" s="377">
        <f t="shared" si="248"/>
        <v>0</v>
      </c>
      <c r="AC608" s="377">
        <f t="shared" si="249"/>
        <v>0</v>
      </c>
      <c r="AD608" s="376"/>
      <c r="AE608" s="332">
        <v>593</v>
      </c>
      <c r="AF608" s="350">
        <v>7056556.8990622358</v>
      </c>
      <c r="AG608" s="350">
        <v>43588.160002631994</v>
      </c>
      <c r="AH608" s="350">
        <v>41734.133713495132</v>
      </c>
      <c r="AI608" s="350">
        <v>39830.218511900217</v>
      </c>
      <c r="AJ608" s="350">
        <v>37876.511647191917</v>
      </c>
      <c r="AK608" s="348">
        <v>7219585.9229374547</v>
      </c>
      <c r="AL608" s="369"/>
      <c r="AM608" s="350">
        <v>8650324.729044633</v>
      </c>
      <c r="AN608" s="350">
        <v>1657045.3110445812</v>
      </c>
      <c r="AO608" s="350">
        <v>1673624.3752632563</v>
      </c>
      <c r="AP608" s="350">
        <v>1688852.2491170724</v>
      </c>
      <c r="AQ608" s="350">
        <v>1702684.0687766015</v>
      </c>
      <c r="AR608" s="348">
        <v>15372530.733246146</v>
      </c>
      <c r="AS608" s="369"/>
      <c r="AT608" s="350">
        <f t="shared" si="267"/>
        <v>1593767.8299823971</v>
      </c>
      <c r="AU608" s="350">
        <f t="shared" si="250"/>
        <v>1613457.1510419492</v>
      </c>
      <c r="AV608" s="350">
        <f t="shared" si="251"/>
        <v>1631890.241549761</v>
      </c>
      <c r="AW608" s="350">
        <f t="shared" si="252"/>
        <v>1649022.0306051723</v>
      </c>
      <c r="AX608" s="350">
        <f t="shared" si="253"/>
        <v>1664807.5571294096</v>
      </c>
      <c r="AY608" s="350">
        <f t="shared" si="254"/>
        <v>8152944.8103086911</v>
      </c>
      <c r="AZ608" s="365"/>
      <c r="BA608" s="377">
        <f t="shared" si="255"/>
        <v>0</v>
      </c>
      <c r="BB608" s="377">
        <f t="shared" si="256"/>
        <v>0</v>
      </c>
      <c r="BC608" s="377">
        <f t="shared" si="257"/>
        <v>0</v>
      </c>
      <c r="BD608" s="377">
        <f t="shared" si="258"/>
        <v>0</v>
      </c>
      <c r="BE608" s="377">
        <f t="shared" si="259"/>
        <v>0</v>
      </c>
      <c r="BF608" s="377">
        <f t="shared" si="260"/>
        <v>0</v>
      </c>
      <c r="BG608" s="328"/>
    </row>
    <row r="609" spans="2:59">
      <c r="B609" s="332">
        <v>594</v>
      </c>
      <c r="C609" s="350">
        <v>4538247.5313996216</v>
      </c>
      <c r="D609" s="350">
        <v>28032.631545348511</v>
      </c>
      <c r="E609" s="350">
        <v>26840.261052176433</v>
      </c>
      <c r="F609" s="350">
        <v>25615.805756594651</v>
      </c>
      <c r="G609" s="350">
        <v>24359.328202078726</v>
      </c>
      <c r="H609" s="348">
        <v>4643095.5579558201</v>
      </c>
      <c r="I609" s="369"/>
      <c r="J609" s="350">
        <v>6687870.2965766797</v>
      </c>
      <c r="K609" s="350">
        <v>2204211.7194089824</v>
      </c>
      <c r="L609" s="350">
        <v>2227881.3082569004</v>
      </c>
      <c r="M609" s="350">
        <v>2249763.6587763969</v>
      </c>
      <c r="N609" s="350">
        <v>2269798.1914546457</v>
      </c>
      <c r="O609" s="348">
        <v>15639525.174473604</v>
      </c>
      <c r="P609" s="369"/>
      <c r="Q609" s="350">
        <f t="shared" si="261"/>
        <v>2149622.7651770581</v>
      </c>
      <c r="R609" s="350">
        <f t="shared" si="262"/>
        <v>2176179.0878636339</v>
      </c>
      <c r="S609" s="350">
        <f t="shared" si="263"/>
        <v>2201041.047204724</v>
      </c>
      <c r="T609" s="350">
        <f t="shared" si="264"/>
        <v>2224147.8530198024</v>
      </c>
      <c r="U609" s="350">
        <f t="shared" si="265"/>
        <v>2245438.8632525671</v>
      </c>
      <c r="V609" s="350">
        <f t="shared" si="266"/>
        <v>10996429.616517784</v>
      </c>
      <c r="W609" s="365"/>
      <c r="X609" s="377">
        <f t="shared" si="244"/>
        <v>0</v>
      </c>
      <c r="Y609" s="377">
        <f t="shared" si="245"/>
        <v>0</v>
      </c>
      <c r="Z609" s="377">
        <f t="shared" si="246"/>
        <v>0</v>
      </c>
      <c r="AA609" s="377">
        <f t="shared" si="247"/>
        <v>0</v>
      </c>
      <c r="AB609" s="377">
        <f t="shared" si="248"/>
        <v>0</v>
      </c>
      <c r="AC609" s="377">
        <f t="shared" si="249"/>
        <v>0</v>
      </c>
      <c r="AD609" s="376"/>
      <c r="AE609" s="332">
        <v>594</v>
      </c>
      <c r="AF609" s="350">
        <v>6588215.2758093178</v>
      </c>
      <c r="AG609" s="350">
        <v>40695.226536319933</v>
      </c>
      <c r="AH609" s="350">
        <v>38964.251431238263</v>
      </c>
      <c r="AI609" s="350">
        <v>37186.698526273947</v>
      </c>
      <c r="AJ609" s="350">
        <v>35362.658616352317</v>
      </c>
      <c r="AK609" s="348">
        <v>6740424.1109195007</v>
      </c>
      <c r="AL609" s="369"/>
      <c r="AM609" s="350">
        <v>8939986.0303506441</v>
      </c>
      <c r="AN609" s="350">
        <v>2421519.6290265745</v>
      </c>
      <c r="AO609" s="350">
        <v>2446988.6025944185</v>
      </c>
      <c r="AP609" s="350">
        <v>2470490.7922689817</v>
      </c>
      <c r="AQ609" s="350">
        <v>2491959.944081435</v>
      </c>
      <c r="AR609" s="348">
        <v>18770944.998322055</v>
      </c>
      <c r="AS609" s="369"/>
      <c r="AT609" s="350">
        <f t="shared" si="267"/>
        <v>2351770.7545413263</v>
      </c>
      <c r="AU609" s="350">
        <f t="shared" si="250"/>
        <v>2380824.4024902545</v>
      </c>
      <c r="AV609" s="350">
        <f t="shared" si="251"/>
        <v>2408024.3511631801</v>
      </c>
      <c r="AW609" s="350">
        <f t="shared" si="252"/>
        <v>2433304.0937427077</v>
      </c>
      <c r="AX609" s="350">
        <f t="shared" si="253"/>
        <v>2456597.2854650826</v>
      </c>
      <c r="AY609" s="350">
        <f t="shared" si="254"/>
        <v>12030520.887402553</v>
      </c>
      <c r="AZ609" s="365"/>
      <c r="BA609" s="377">
        <f t="shared" si="255"/>
        <v>0</v>
      </c>
      <c r="BB609" s="377">
        <f t="shared" si="256"/>
        <v>0</v>
      </c>
      <c r="BC609" s="377">
        <f t="shared" si="257"/>
        <v>0</v>
      </c>
      <c r="BD609" s="377">
        <f t="shared" si="258"/>
        <v>0</v>
      </c>
      <c r="BE609" s="377">
        <f t="shared" si="259"/>
        <v>0</v>
      </c>
      <c r="BF609" s="377">
        <f t="shared" si="260"/>
        <v>0</v>
      </c>
      <c r="BG609" s="328"/>
    </row>
    <row r="610" spans="2:59">
      <c r="B610" s="332">
        <v>595</v>
      </c>
      <c r="C610" s="350">
        <v>4845784.8746364471</v>
      </c>
      <c r="D610" s="350">
        <v>29932.28134843626</v>
      </c>
      <c r="E610" s="350">
        <v>28659.109080773494</v>
      </c>
      <c r="F610" s="350">
        <v>27351.677762858901</v>
      </c>
      <c r="G610" s="350">
        <v>26010.054176470661</v>
      </c>
      <c r="H610" s="348">
        <v>4957737.9970049858</v>
      </c>
      <c r="I610" s="369"/>
      <c r="J610" s="350">
        <v>6610360.1180421356</v>
      </c>
      <c r="K610" s="350">
        <v>1816306.9913059971</v>
      </c>
      <c r="L610" s="350">
        <v>1835442.4221972399</v>
      </c>
      <c r="M610" s="350">
        <v>1853102.8294024318</v>
      </c>
      <c r="N610" s="350">
        <v>1869238.5000522444</v>
      </c>
      <c r="O610" s="348">
        <v>13984450.86100005</v>
      </c>
      <c r="P610" s="369"/>
      <c r="Q610" s="350">
        <f t="shared" si="261"/>
        <v>1764575.2434056886</v>
      </c>
      <c r="R610" s="350">
        <f t="shared" si="262"/>
        <v>1786374.7099575608</v>
      </c>
      <c r="S610" s="350">
        <f t="shared" si="263"/>
        <v>1806783.3131164664</v>
      </c>
      <c r="T610" s="350">
        <f t="shared" si="264"/>
        <v>1825751.151639573</v>
      </c>
      <c r="U610" s="350">
        <f t="shared" si="265"/>
        <v>1843228.4458757737</v>
      </c>
      <c r="V610" s="350">
        <f t="shared" si="266"/>
        <v>9026712.863995064</v>
      </c>
      <c r="W610" s="365"/>
      <c r="X610" s="377">
        <f t="shared" si="244"/>
        <v>0</v>
      </c>
      <c r="Y610" s="377">
        <f t="shared" si="245"/>
        <v>0</v>
      </c>
      <c r="Z610" s="377">
        <f t="shared" si="246"/>
        <v>0</v>
      </c>
      <c r="AA610" s="377">
        <f t="shared" si="247"/>
        <v>0</v>
      </c>
      <c r="AB610" s="377">
        <f t="shared" si="248"/>
        <v>0</v>
      </c>
      <c r="AC610" s="377">
        <f t="shared" si="249"/>
        <v>0</v>
      </c>
      <c r="AD610" s="376"/>
      <c r="AE610" s="332">
        <v>595</v>
      </c>
      <c r="AF610" s="350">
        <v>4607217.4353591921</v>
      </c>
      <c r="AG610" s="350">
        <v>28458.656765884789</v>
      </c>
      <c r="AH610" s="350">
        <v>27248.165251807433</v>
      </c>
      <c r="AI610" s="350">
        <v>26005.101327330813</v>
      </c>
      <c r="AJ610" s="350">
        <v>24729.528486438383</v>
      </c>
      <c r="AK610" s="348">
        <v>4713658.887190653</v>
      </c>
      <c r="AL610" s="369"/>
      <c r="AM610" s="350">
        <v>5891235.5734679028</v>
      </c>
      <c r="AN610" s="350">
        <v>1328339.4850932772</v>
      </c>
      <c r="AO610" s="350">
        <v>1341979.6023743921</v>
      </c>
      <c r="AP610" s="350">
        <v>1354538.7544763498</v>
      </c>
      <c r="AQ610" s="350">
        <v>1365980.7820258115</v>
      </c>
      <c r="AR610" s="348">
        <v>11282074.197437733</v>
      </c>
      <c r="AS610" s="369"/>
      <c r="AT610" s="350">
        <f t="shared" si="267"/>
        <v>1284018.1381087108</v>
      </c>
      <c r="AU610" s="350">
        <f t="shared" si="250"/>
        <v>1299880.8283273925</v>
      </c>
      <c r="AV610" s="350">
        <f t="shared" si="251"/>
        <v>1314731.4371225846</v>
      </c>
      <c r="AW610" s="350">
        <f t="shared" si="252"/>
        <v>1328533.653149019</v>
      </c>
      <c r="AX610" s="350">
        <f t="shared" si="253"/>
        <v>1341251.2535393732</v>
      </c>
      <c r="AY610" s="350">
        <f t="shared" si="254"/>
        <v>6568415.3102470804</v>
      </c>
      <c r="AZ610" s="365"/>
      <c r="BA610" s="377">
        <f t="shared" si="255"/>
        <v>0</v>
      </c>
      <c r="BB610" s="377">
        <f t="shared" si="256"/>
        <v>0</v>
      </c>
      <c r="BC610" s="377">
        <f t="shared" si="257"/>
        <v>0</v>
      </c>
      <c r="BD610" s="377">
        <f t="shared" si="258"/>
        <v>0</v>
      </c>
      <c r="BE610" s="377">
        <f t="shared" si="259"/>
        <v>0</v>
      </c>
      <c r="BF610" s="377">
        <f t="shared" si="260"/>
        <v>0</v>
      </c>
      <c r="BG610" s="328"/>
    </row>
    <row r="611" spans="2:59">
      <c r="B611" s="332">
        <v>596</v>
      </c>
      <c r="C611" s="350">
        <v>5074591.2196012894</v>
      </c>
      <c r="D611" s="350">
        <v>31345.611916957434</v>
      </c>
      <c r="E611" s="350">
        <v>30012.323506993562</v>
      </c>
      <c r="F611" s="350">
        <v>28643.158416556958</v>
      </c>
      <c r="G611" s="350">
        <v>27238.186580697708</v>
      </c>
      <c r="H611" s="348">
        <v>5191830.5000224952</v>
      </c>
      <c r="I611" s="369"/>
      <c r="J611" s="350">
        <v>6578805.1950885225</v>
      </c>
      <c r="K611" s="350">
        <v>1554142.5650176629</v>
      </c>
      <c r="L611" s="350">
        <v>1570206.6112957599</v>
      </c>
      <c r="M611" s="350">
        <v>1585006.5996023614</v>
      </c>
      <c r="N611" s="350">
        <v>1598500.1651578883</v>
      </c>
      <c r="O611" s="348">
        <v>12886661.136162195</v>
      </c>
      <c r="P611" s="369"/>
      <c r="Q611" s="350">
        <f t="shared" si="261"/>
        <v>1504213.9754872331</v>
      </c>
      <c r="R611" s="350">
        <f t="shared" si="262"/>
        <v>1522796.9531007055</v>
      </c>
      <c r="S611" s="350">
        <f t="shared" si="263"/>
        <v>1540194.2877887664</v>
      </c>
      <c r="T611" s="350">
        <f t="shared" si="264"/>
        <v>1556363.4411858045</v>
      </c>
      <c r="U611" s="350">
        <f t="shared" si="265"/>
        <v>1571261.9785771905</v>
      </c>
      <c r="V611" s="350">
        <f t="shared" si="266"/>
        <v>7694830.6361397002</v>
      </c>
      <c r="W611" s="365"/>
      <c r="X611" s="377">
        <f t="shared" si="244"/>
        <v>0</v>
      </c>
      <c r="Y611" s="377">
        <f t="shared" si="245"/>
        <v>0</v>
      </c>
      <c r="Z611" s="377">
        <f t="shared" si="246"/>
        <v>0</v>
      </c>
      <c r="AA611" s="377">
        <f t="shared" si="247"/>
        <v>0</v>
      </c>
      <c r="AB611" s="377">
        <f t="shared" si="248"/>
        <v>0</v>
      </c>
      <c r="AC611" s="377">
        <f t="shared" si="249"/>
        <v>0</v>
      </c>
      <c r="AD611" s="376"/>
      <c r="AE611" s="332">
        <v>596</v>
      </c>
      <c r="AF611" s="350">
        <v>5624507.8748402121</v>
      </c>
      <c r="AG611" s="350">
        <v>34742.432136723924</v>
      </c>
      <c r="AH611" s="350">
        <v>33264.659674519353</v>
      </c>
      <c r="AI611" s="350">
        <v>31747.122694717018</v>
      </c>
      <c r="AJ611" s="350">
        <v>30189.898711002432</v>
      </c>
      <c r="AK611" s="348">
        <v>5754451.9880571747</v>
      </c>
      <c r="AL611" s="369"/>
      <c r="AM611" s="350">
        <v>7427920.194541255</v>
      </c>
      <c r="AN611" s="350">
        <v>1860434.009517187</v>
      </c>
      <c r="AO611" s="350">
        <v>1879814.019403568</v>
      </c>
      <c r="AP611" s="350">
        <v>1897681.7899069698</v>
      </c>
      <c r="AQ611" s="350">
        <v>1913986.5232744042</v>
      </c>
      <c r="AR611" s="348">
        <v>14979836.536643384</v>
      </c>
      <c r="AS611" s="369"/>
      <c r="AT611" s="350">
        <f t="shared" si="267"/>
        <v>1803412.319701043</v>
      </c>
      <c r="AU611" s="350">
        <f t="shared" si="250"/>
        <v>1825691.577380463</v>
      </c>
      <c r="AV611" s="350">
        <f t="shared" si="251"/>
        <v>1846549.3597290486</v>
      </c>
      <c r="AW611" s="350">
        <f t="shared" si="252"/>
        <v>1865934.6672122527</v>
      </c>
      <c r="AX611" s="350">
        <f t="shared" si="253"/>
        <v>1883796.6245634018</v>
      </c>
      <c r="AY611" s="350">
        <f t="shared" si="254"/>
        <v>9225384.5485862084</v>
      </c>
      <c r="AZ611" s="365"/>
      <c r="BA611" s="377">
        <f t="shared" si="255"/>
        <v>0</v>
      </c>
      <c r="BB611" s="377">
        <f t="shared" si="256"/>
        <v>0</v>
      </c>
      <c r="BC611" s="377">
        <f t="shared" si="257"/>
        <v>0</v>
      </c>
      <c r="BD611" s="377">
        <f t="shared" si="258"/>
        <v>0</v>
      </c>
      <c r="BE611" s="377">
        <f t="shared" si="259"/>
        <v>0</v>
      </c>
      <c r="BF611" s="377">
        <f t="shared" si="260"/>
        <v>0</v>
      </c>
      <c r="BG611" s="328"/>
    </row>
    <row r="612" spans="2:59">
      <c r="B612" s="332">
        <v>597</v>
      </c>
      <c r="C612" s="350">
        <v>6350559.6952217193</v>
      </c>
      <c r="D612" s="350">
        <v>39227.234480088329</v>
      </c>
      <c r="E612" s="350">
        <v>37558.700548582012</v>
      </c>
      <c r="F612" s="350">
        <v>35845.269010323871</v>
      </c>
      <c r="G612" s="350">
        <v>34087.027385015412</v>
      </c>
      <c r="H612" s="348">
        <v>6497277.9266457288</v>
      </c>
      <c r="I612" s="369"/>
      <c r="J612" s="350">
        <v>7752900.2654635971</v>
      </c>
      <c r="K612" s="350">
        <v>1458892.2438296587</v>
      </c>
      <c r="L612" s="350">
        <v>1473442.8041525071</v>
      </c>
      <c r="M612" s="350">
        <v>1486803.4645749927</v>
      </c>
      <c r="N612" s="350">
        <v>1498934.751807729</v>
      </c>
      <c r="O612" s="348">
        <v>13670973.529828485</v>
      </c>
      <c r="P612" s="369"/>
      <c r="Q612" s="350">
        <f t="shared" si="261"/>
        <v>1402340.5702418778</v>
      </c>
      <c r="R612" s="350">
        <f t="shared" si="262"/>
        <v>1419665.0093495704</v>
      </c>
      <c r="S612" s="350">
        <f t="shared" si="263"/>
        <v>1435884.1036039251</v>
      </c>
      <c r="T612" s="350">
        <f t="shared" si="264"/>
        <v>1450958.1955646689</v>
      </c>
      <c r="U612" s="350">
        <f t="shared" si="265"/>
        <v>1464847.7244227135</v>
      </c>
      <c r="V612" s="350">
        <f t="shared" si="266"/>
        <v>7173695.6031827563</v>
      </c>
      <c r="W612" s="365"/>
      <c r="X612" s="377">
        <f t="shared" si="244"/>
        <v>0</v>
      </c>
      <c r="Y612" s="377">
        <f t="shared" si="245"/>
        <v>0</v>
      </c>
      <c r="Z612" s="377">
        <f t="shared" si="246"/>
        <v>0</v>
      </c>
      <c r="AA612" s="377">
        <f t="shared" si="247"/>
        <v>0</v>
      </c>
      <c r="AB612" s="377">
        <f t="shared" si="248"/>
        <v>0</v>
      </c>
      <c r="AC612" s="377">
        <f t="shared" si="249"/>
        <v>0</v>
      </c>
      <c r="AD612" s="376"/>
      <c r="AE612" s="332">
        <v>597</v>
      </c>
      <c r="AF612" s="350">
        <v>4729879.1393076126</v>
      </c>
      <c r="AG612" s="350">
        <v>29216.334774350285</v>
      </c>
      <c r="AH612" s="350">
        <v>27973.615358329247</v>
      </c>
      <c r="AI612" s="350">
        <v>26697.456330087891</v>
      </c>
      <c r="AJ612" s="350">
        <v>25387.922874058466</v>
      </c>
      <c r="AK612" s="348">
        <v>4839154.4686444392</v>
      </c>
      <c r="AL612" s="369"/>
      <c r="AM612" s="350">
        <v>6277019.4804465035</v>
      </c>
      <c r="AN612" s="350">
        <v>1595469.9635124803</v>
      </c>
      <c r="AO612" s="350">
        <v>1612121.0535961851</v>
      </c>
      <c r="AP612" s="350">
        <v>1627475.473667915</v>
      </c>
      <c r="AQ612" s="350">
        <v>1641489.6432207692</v>
      </c>
      <c r="AR612" s="348">
        <v>12753575.614443852</v>
      </c>
      <c r="AS612" s="369"/>
      <c r="AT612" s="350">
        <f t="shared" si="267"/>
        <v>1547140.3411388909</v>
      </c>
      <c r="AU612" s="350">
        <f t="shared" si="250"/>
        <v>1566253.62873813</v>
      </c>
      <c r="AV612" s="350">
        <f t="shared" si="251"/>
        <v>1584147.4382378559</v>
      </c>
      <c r="AW612" s="350">
        <f t="shared" si="252"/>
        <v>1600778.017337827</v>
      </c>
      <c r="AX612" s="350">
        <f t="shared" si="253"/>
        <v>1616101.7203467109</v>
      </c>
      <c r="AY612" s="350">
        <f t="shared" si="254"/>
        <v>7914421.1457994124</v>
      </c>
      <c r="AZ612" s="365"/>
      <c r="BA612" s="377">
        <f t="shared" si="255"/>
        <v>0</v>
      </c>
      <c r="BB612" s="377">
        <f t="shared" si="256"/>
        <v>0</v>
      </c>
      <c r="BC612" s="377">
        <f t="shared" si="257"/>
        <v>0</v>
      </c>
      <c r="BD612" s="377">
        <f t="shared" si="258"/>
        <v>0</v>
      </c>
      <c r="BE612" s="377">
        <f t="shared" si="259"/>
        <v>0</v>
      </c>
      <c r="BF612" s="377">
        <f t="shared" si="260"/>
        <v>0</v>
      </c>
      <c r="BG612" s="328"/>
    </row>
    <row r="613" spans="2:59">
      <c r="B613" s="332">
        <v>598</v>
      </c>
      <c r="C613" s="350">
        <v>8389837.3137571122</v>
      </c>
      <c r="D613" s="350">
        <v>51823.796854340137</v>
      </c>
      <c r="E613" s="350">
        <v>49619.46701419483</v>
      </c>
      <c r="F613" s="350">
        <v>47355.822147574647</v>
      </c>
      <c r="G613" s="350">
        <v>45032.977878319434</v>
      </c>
      <c r="H613" s="348">
        <v>8583669.3776515406</v>
      </c>
      <c r="I613" s="369"/>
      <c r="J613" s="350">
        <v>10925558.808194287</v>
      </c>
      <c r="K613" s="350">
        <v>2618871.4566729153</v>
      </c>
      <c r="L613" s="350">
        <v>2645994.6003394229</v>
      </c>
      <c r="M613" s="350">
        <v>2670988.0282588964</v>
      </c>
      <c r="N613" s="350">
        <v>2693780.3219385366</v>
      </c>
      <c r="O613" s="348">
        <v>21555193.21540406</v>
      </c>
      <c r="P613" s="369"/>
      <c r="Q613" s="350">
        <f t="shared" si="261"/>
        <v>2535721.4944371749</v>
      </c>
      <c r="R613" s="350">
        <f t="shared" si="262"/>
        <v>2567047.6598185753</v>
      </c>
      <c r="S613" s="350">
        <f t="shared" si="263"/>
        <v>2596375.133325228</v>
      </c>
      <c r="T613" s="350">
        <f t="shared" si="264"/>
        <v>2623632.2061113217</v>
      </c>
      <c r="U613" s="350">
        <f t="shared" si="265"/>
        <v>2648747.344060217</v>
      </c>
      <c r="V613" s="350">
        <f t="shared" si="266"/>
        <v>12971523.837752519</v>
      </c>
      <c r="W613" s="365"/>
      <c r="X613" s="377">
        <f t="shared" si="244"/>
        <v>0</v>
      </c>
      <c r="Y613" s="377">
        <f t="shared" si="245"/>
        <v>0</v>
      </c>
      <c r="Z613" s="377">
        <f t="shared" si="246"/>
        <v>0</v>
      </c>
      <c r="AA613" s="377">
        <f t="shared" si="247"/>
        <v>0</v>
      </c>
      <c r="AB613" s="377">
        <f t="shared" si="248"/>
        <v>0</v>
      </c>
      <c r="AC613" s="377">
        <f t="shared" si="249"/>
        <v>0</v>
      </c>
      <c r="AD613" s="376"/>
      <c r="AE613" s="332">
        <v>598</v>
      </c>
      <c r="AF613" s="350">
        <v>5562932.0697302939</v>
      </c>
      <c r="AG613" s="350">
        <v>34362.080063636036</v>
      </c>
      <c r="AH613" s="350">
        <v>32900.48591092087</v>
      </c>
      <c r="AI613" s="350">
        <v>31399.562573308547</v>
      </c>
      <c r="AJ613" s="350">
        <v>29859.386715875851</v>
      </c>
      <c r="AK613" s="348">
        <v>5691453.5849940348</v>
      </c>
      <c r="AL613" s="369"/>
      <c r="AM613" s="350">
        <v>8019644.2794105345</v>
      </c>
      <c r="AN613" s="350">
        <v>2521424.3787200428</v>
      </c>
      <c r="AO613" s="350">
        <v>2548376.4579147063</v>
      </c>
      <c r="AP613" s="350">
        <v>2573283.3177901376</v>
      </c>
      <c r="AQ613" s="350">
        <v>2596075.7297907188</v>
      </c>
      <c r="AR613" s="348">
        <v>18258804.163626138</v>
      </c>
      <c r="AS613" s="369"/>
      <c r="AT613" s="350">
        <f t="shared" si="267"/>
        <v>2456712.2096802406</v>
      </c>
      <c r="AU613" s="350">
        <f t="shared" si="250"/>
        <v>2487062.2986564068</v>
      </c>
      <c r="AV613" s="350">
        <f t="shared" si="251"/>
        <v>2515475.9720037854</v>
      </c>
      <c r="AW613" s="350">
        <f t="shared" si="252"/>
        <v>2541883.755216829</v>
      </c>
      <c r="AX613" s="350">
        <f t="shared" si="253"/>
        <v>2566216.3430748428</v>
      </c>
      <c r="AY613" s="350">
        <f t="shared" si="254"/>
        <v>12567350.578632103</v>
      </c>
      <c r="AZ613" s="365"/>
      <c r="BA613" s="377">
        <f t="shared" si="255"/>
        <v>0</v>
      </c>
      <c r="BB613" s="377">
        <f t="shared" si="256"/>
        <v>0</v>
      </c>
      <c r="BC613" s="377">
        <f t="shared" si="257"/>
        <v>0</v>
      </c>
      <c r="BD613" s="377">
        <f t="shared" si="258"/>
        <v>0</v>
      </c>
      <c r="BE613" s="377">
        <f t="shared" si="259"/>
        <v>0</v>
      </c>
      <c r="BF613" s="377">
        <f t="shared" si="260"/>
        <v>0</v>
      </c>
      <c r="BG613" s="328"/>
    </row>
    <row r="614" spans="2:59">
      <c r="B614" s="332">
        <v>599</v>
      </c>
      <c r="C614" s="350">
        <v>7060597.2321362412</v>
      </c>
      <c r="D614" s="350">
        <v>43613.1170301198</v>
      </c>
      <c r="E614" s="350">
        <v>41758.029191581947</v>
      </c>
      <c r="F614" s="350">
        <v>39853.023875974279</v>
      </c>
      <c r="G614" s="350">
        <v>37898.198388322715</v>
      </c>
      <c r="H614" s="348">
        <v>7223719.6006222386</v>
      </c>
      <c r="I614" s="369"/>
      <c r="J614" s="350">
        <v>10028709.227619447</v>
      </c>
      <c r="K614" s="350">
        <v>3048393.0066195978</v>
      </c>
      <c r="L614" s="350">
        <v>3080866.3046480687</v>
      </c>
      <c r="M614" s="350">
        <v>3110866.2403426059</v>
      </c>
      <c r="N614" s="350">
        <v>3138309.1789145563</v>
      </c>
      <c r="O614" s="348">
        <v>22407143.958144277</v>
      </c>
      <c r="P614" s="369"/>
      <c r="Q614" s="350">
        <f t="shared" si="261"/>
        <v>2968111.9954832057</v>
      </c>
      <c r="R614" s="350">
        <f t="shared" si="262"/>
        <v>3004779.8895894778</v>
      </c>
      <c r="S614" s="350">
        <f t="shared" si="263"/>
        <v>3039108.2754564867</v>
      </c>
      <c r="T614" s="350">
        <f t="shared" si="264"/>
        <v>3071013.2164666317</v>
      </c>
      <c r="U614" s="350">
        <f t="shared" si="265"/>
        <v>3100410.9805262336</v>
      </c>
      <c r="V614" s="350">
        <f t="shared" si="266"/>
        <v>15183424.357522039</v>
      </c>
      <c r="W614" s="365"/>
      <c r="X614" s="377">
        <f t="shared" si="244"/>
        <v>0</v>
      </c>
      <c r="Y614" s="377">
        <f t="shared" si="245"/>
        <v>0</v>
      </c>
      <c r="Z614" s="377">
        <f t="shared" si="246"/>
        <v>0</v>
      </c>
      <c r="AA614" s="377">
        <f t="shared" si="247"/>
        <v>0</v>
      </c>
      <c r="AB614" s="377">
        <f t="shared" si="248"/>
        <v>0</v>
      </c>
      <c r="AC614" s="377">
        <f t="shared" si="249"/>
        <v>0</v>
      </c>
      <c r="AD614" s="376"/>
      <c r="AE614" s="332">
        <v>599</v>
      </c>
      <c r="AF614" s="350">
        <v>5886401.5122637013</v>
      </c>
      <c r="AG614" s="350">
        <v>36360.14201067097</v>
      </c>
      <c r="AH614" s="350">
        <v>34813.560114108528</v>
      </c>
      <c r="AI614" s="350">
        <v>33225.36214699789</v>
      </c>
      <c r="AJ614" s="350">
        <v>31595.629232286869</v>
      </c>
      <c r="AK614" s="348">
        <v>6022396.2057677656</v>
      </c>
      <c r="AL614" s="369"/>
      <c r="AM614" s="350">
        <v>8975751.3407940511</v>
      </c>
      <c r="AN614" s="350">
        <v>3163875.6302405782</v>
      </c>
      <c r="AO614" s="350">
        <v>3198059.6384138488</v>
      </c>
      <c r="AP614" s="350">
        <v>3229679.5957282642</v>
      </c>
      <c r="AQ614" s="350">
        <v>3258648.4310262455</v>
      </c>
      <c r="AR614" s="348">
        <v>21826014.636202987</v>
      </c>
      <c r="AS614" s="369"/>
      <c r="AT614" s="350">
        <f t="shared" si="267"/>
        <v>3089349.8285303498</v>
      </c>
      <c r="AU614" s="350">
        <f t="shared" si="250"/>
        <v>3127515.4882299071</v>
      </c>
      <c r="AV614" s="350">
        <f t="shared" si="251"/>
        <v>3163246.0782997403</v>
      </c>
      <c r="AW614" s="350">
        <f t="shared" si="252"/>
        <v>3196454.2335812664</v>
      </c>
      <c r="AX614" s="350">
        <f t="shared" si="253"/>
        <v>3227052.8017939585</v>
      </c>
      <c r="AY614" s="350">
        <f t="shared" si="254"/>
        <v>15803618.430435222</v>
      </c>
      <c r="AZ614" s="365"/>
      <c r="BA614" s="377">
        <f t="shared" si="255"/>
        <v>0</v>
      </c>
      <c r="BB614" s="377">
        <f t="shared" si="256"/>
        <v>0</v>
      </c>
      <c r="BC614" s="377">
        <f t="shared" si="257"/>
        <v>0</v>
      </c>
      <c r="BD614" s="377">
        <f t="shared" si="258"/>
        <v>0</v>
      </c>
      <c r="BE614" s="377">
        <f t="shared" si="259"/>
        <v>0</v>
      </c>
      <c r="BF614" s="377">
        <f t="shared" si="260"/>
        <v>0</v>
      </c>
      <c r="BG614" s="328"/>
    </row>
    <row r="615" spans="2:59">
      <c r="B615" s="332">
        <v>600</v>
      </c>
      <c r="C615" s="350">
        <v>5650508.0876579322</v>
      </c>
      <c r="D615" s="350">
        <v>34903.034744002347</v>
      </c>
      <c r="E615" s="350">
        <v>33418.431035514877</v>
      </c>
      <c r="F615" s="350">
        <v>31893.87899140843</v>
      </c>
      <c r="G615" s="350">
        <v>30329.456483681148</v>
      </c>
      <c r="H615" s="348">
        <v>5781052.8889125381</v>
      </c>
      <c r="I615" s="369"/>
      <c r="J615" s="350">
        <v>7528309.0418928191</v>
      </c>
      <c r="K615" s="350">
        <v>1935902.2398020809</v>
      </c>
      <c r="L615" s="350">
        <v>1956135.7774024482</v>
      </c>
      <c r="M615" s="350">
        <v>1974796.1539475706</v>
      </c>
      <c r="N615" s="350">
        <v>1991830.4734979237</v>
      </c>
      <c r="O615" s="348">
        <v>15386973.686542843</v>
      </c>
      <c r="P615" s="369"/>
      <c r="Q615" s="350">
        <f t="shared" si="261"/>
        <v>1877800.9542348869</v>
      </c>
      <c r="R615" s="350">
        <f t="shared" si="262"/>
        <v>1900999.2050580785</v>
      </c>
      <c r="S615" s="350">
        <f t="shared" si="263"/>
        <v>1922717.3463669333</v>
      </c>
      <c r="T615" s="350">
        <f t="shared" si="264"/>
        <v>1942902.2749561621</v>
      </c>
      <c r="U615" s="350">
        <f t="shared" si="265"/>
        <v>1961501.0170142425</v>
      </c>
      <c r="V615" s="350">
        <f t="shared" si="266"/>
        <v>9605920.7976303045</v>
      </c>
      <c r="W615" s="365"/>
      <c r="X615" s="377">
        <f t="shared" si="244"/>
        <v>0</v>
      </c>
      <c r="Y615" s="377">
        <f t="shared" si="245"/>
        <v>0</v>
      </c>
      <c r="Z615" s="377">
        <f t="shared" si="246"/>
        <v>0</v>
      </c>
      <c r="AA615" s="377">
        <f t="shared" si="247"/>
        <v>0</v>
      </c>
      <c r="AB615" s="377">
        <f t="shared" si="248"/>
        <v>0</v>
      </c>
      <c r="AC615" s="377">
        <f t="shared" si="249"/>
        <v>0</v>
      </c>
      <c r="AD615" s="376"/>
      <c r="AE615" s="332">
        <v>600</v>
      </c>
      <c r="AF615" s="350">
        <v>7761125.1911841501</v>
      </c>
      <c r="AG615" s="350">
        <v>47940.259176363674</v>
      </c>
      <c r="AH615" s="350">
        <v>45901.115959128147</v>
      </c>
      <c r="AI615" s="350">
        <v>43807.102625949708</v>
      </c>
      <c r="AJ615" s="350">
        <v>41658.326136117546</v>
      </c>
      <c r="AK615" s="348">
        <v>7940431.9950817088</v>
      </c>
      <c r="AL615" s="369"/>
      <c r="AM615" s="350">
        <v>10488366.510579897</v>
      </c>
      <c r="AN615" s="350">
        <v>2808873.769451038</v>
      </c>
      <c r="AO615" s="350">
        <v>2838377.1665783478</v>
      </c>
      <c r="AP615" s="350">
        <v>2865598.9181314586</v>
      </c>
      <c r="AQ615" s="350">
        <v>2890462.1940719895</v>
      </c>
      <c r="AR615" s="348">
        <v>21891678.558812734</v>
      </c>
      <c r="AS615" s="369"/>
      <c r="AT615" s="350">
        <f t="shared" si="267"/>
        <v>2727241.319395747</v>
      </c>
      <c r="AU615" s="350">
        <f t="shared" si="250"/>
        <v>2760933.5102746743</v>
      </c>
      <c r="AV615" s="350">
        <f t="shared" si="251"/>
        <v>2792476.0506192194</v>
      </c>
      <c r="AW615" s="350">
        <f t="shared" si="252"/>
        <v>2821791.8155055088</v>
      </c>
      <c r="AX615" s="350">
        <f t="shared" si="253"/>
        <v>2848803.8679358722</v>
      </c>
      <c r="AY615" s="350">
        <f t="shared" si="254"/>
        <v>13951246.563731026</v>
      </c>
      <c r="AZ615" s="365"/>
      <c r="BA615" s="377">
        <f t="shared" si="255"/>
        <v>0</v>
      </c>
      <c r="BB615" s="377">
        <f t="shared" si="256"/>
        <v>0</v>
      </c>
      <c r="BC615" s="377">
        <f t="shared" si="257"/>
        <v>0</v>
      </c>
      <c r="BD615" s="377">
        <f t="shared" si="258"/>
        <v>0</v>
      </c>
      <c r="BE615" s="377">
        <f t="shared" si="259"/>
        <v>0</v>
      </c>
      <c r="BF615" s="377">
        <f t="shared" si="260"/>
        <v>0</v>
      </c>
      <c r="BG615" s="328"/>
    </row>
    <row r="616" spans="2:59">
      <c r="B616" s="332">
        <v>601</v>
      </c>
      <c r="C616" s="350">
        <v>4786132.2777278358</v>
      </c>
      <c r="D616" s="350">
        <v>29563.808880091459</v>
      </c>
      <c r="E616" s="350">
        <v>28306.30962186446</v>
      </c>
      <c r="F616" s="350">
        <v>27014.973049262997</v>
      </c>
      <c r="G616" s="350">
        <v>25689.865121962175</v>
      </c>
      <c r="H616" s="348">
        <v>4896707.2344010165</v>
      </c>
      <c r="I616" s="369"/>
      <c r="J616" s="350">
        <v>6156268.4284142395</v>
      </c>
      <c r="K616" s="350">
        <v>1416626.5470271432</v>
      </c>
      <c r="L616" s="350">
        <v>1431215.6743593805</v>
      </c>
      <c r="M616" s="350">
        <v>1444652.2567905225</v>
      </c>
      <c r="N616" s="350">
        <v>1456897.7079757852</v>
      </c>
      <c r="O616" s="348">
        <v>11905660.614567071</v>
      </c>
      <c r="P616" s="369"/>
      <c r="Q616" s="350">
        <f t="shared" si="261"/>
        <v>1370136.1506864037</v>
      </c>
      <c r="R616" s="350">
        <f t="shared" si="262"/>
        <v>1387062.7381470518</v>
      </c>
      <c r="S616" s="350">
        <f t="shared" si="263"/>
        <v>1402909.364737516</v>
      </c>
      <c r="T616" s="350">
        <f t="shared" si="264"/>
        <v>1417637.2837412595</v>
      </c>
      <c r="U616" s="350">
        <f t="shared" si="265"/>
        <v>1431207.842853823</v>
      </c>
      <c r="V616" s="350">
        <f t="shared" si="266"/>
        <v>7008953.3801660547</v>
      </c>
      <c r="W616" s="365"/>
      <c r="X616" s="377">
        <f t="shared" si="244"/>
        <v>0</v>
      </c>
      <c r="Y616" s="377">
        <f t="shared" si="245"/>
        <v>0</v>
      </c>
      <c r="Z616" s="377">
        <f t="shared" si="246"/>
        <v>0</v>
      </c>
      <c r="AA616" s="377">
        <f t="shared" si="247"/>
        <v>0</v>
      </c>
      <c r="AB616" s="377">
        <f t="shared" si="248"/>
        <v>0</v>
      </c>
      <c r="AC616" s="377">
        <f t="shared" si="249"/>
        <v>0</v>
      </c>
      <c r="AD616" s="376"/>
      <c r="AE616" s="332">
        <v>601</v>
      </c>
      <c r="AF616" s="350">
        <v>5563241.7903160723</v>
      </c>
      <c r="AG616" s="350">
        <v>34363.993199269527</v>
      </c>
      <c r="AH616" s="350">
        <v>32902.317671157463</v>
      </c>
      <c r="AI616" s="350">
        <v>31401.310768467345</v>
      </c>
      <c r="AJ616" s="350">
        <v>29861.049160541708</v>
      </c>
      <c r="AK616" s="348">
        <v>5691770.4611155083</v>
      </c>
      <c r="AL616" s="369"/>
      <c r="AM616" s="350">
        <v>7218192.7188450843</v>
      </c>
      <c r="AN616" s="350">
        <v>1709760.0954584938</v>
      </c>
      <c r="AO616" s="350">
        <v>1727439.137717298</v>
      </c>
      <c r="AP616" s="350">
        <v>1743727.5915323154</v>
      </c>
      <c r="AQ616" s="350">
        <v>1758578.8464848006</v>
      </c>
      <c r="AR616" s="348">
        <v>14157698.390037993</v>
      </c>
      <c r="AS616" s="369"/>
      <c r="AT616" s="350">
        <f t="shared" si="267"/>
        <v>1654950.928529012</v>
      </c>
      <c r="AU616" s="350">
        <f t="shared" si="250"/>
        <v>1675396.1022592243</v>
      </c>
      <c r="AV616" s="350">
        <f t="shared" si="251"/>
        <v>1694536.8200461406</v>
      </c>
      <c r="AW616" s="350">
        <f t="shared" si="252"/>
        <v>1712326.280763848</v>
      </c>
      <c r="AX616" s="350">
        <f t="shared" si="253"/>
        <v>1728717.7973242588</v>
      </c>
      <c r="AY616" s="350">
        <f t="shared" si="254"/>
        <v>8465927.9289224856</v>
      </c>
      <c r="AZ616" s="365"/>
      <c r="BA616" s="377">
        <f t="shared" si="255"/>
        <v>0</v>
      </c>
      <c r="BB616" s="377">
        <f t="shared" si="256"/>
        <v>0</v>
      </c>
      <c r="BC616" s="377">
        <f t="shared" si="257"/>
        <v>0</v>
      </c>
      <c r="BD616" s="377">
        <f t="shared" si="258"/>
        <v>0</v>
      </c>
      <c r="BE616" s="377">
        <f t="shared" si="259"/>
        <v>0</v>
      </c>
      <c r="BF616" s="377">
        <f t="shared" si="260"/>
        <v>0</v>
      </c>
      <c r="BG616" s="328"/>
    </row>
    <row r="617" spans="2:59">
      <c r="B617" s="332">
        <v>602</v>
      </c>
      <c r="C617" s="350">
        <v>6795486.3027742794</v>
      </c>
      <c r="D617" s="350">
        <v>41975.534031389143</v>
      </c>
      <c r="E617" s="350">
        <v>40190.100932352943</v>
      </c>
      <c r="F617" s="350">
        <v>38356.624655018961</v>
      </c>
      <c r="G617" s="350">
        <v>36475.198850811816</v>
      </c>
      <c r="H617" s="348">
        <v>6952483.7612438519</v>
      </c>
      <c r="I617" s="369"/>
      <c r="J617" s="350">
        <v>8744183.2022850811</v>
      </c>
      <c r="K617" s="350">
        <v>2014746.5290160887</v>
      </c>
      <c r="L617" s="350">
        <v>2035499.2006806368</v>
      </c>
      <c r="M617" s="350">
        <v>2054612.7303519174</v>
      </c>
      <c r="N617" s="350">
        <v>2072032.2378557106</v>
      </c>
      <c r="O617" s="348">
        <v>16921073.900189433</v>
      </c>
      <c r="P617" s="369"/>
      <c r="Q617" s="350">
        <f t="shared" si="261"/>
        <v>1948696.8995108018</v>
      </c>
      <c r="R617" s="350">
        <f t="shared" si="262"/>
        <v>1972770.9949846996</v>
      </c>
      <c r="S617" s="350">
        <f t="shared" si="263"/>
        <v>1995309.0997482839</v>
      </c>
      <c r="T617" s="350">
        <f t="shared" si="264"/>
        <v>2016256.1056968984</v>
      </c>
      <c r="U617" s="350">
        <f t="shared" si="265"/>
        <v>2035557.0390048986</v>
      </c>
      <c r="V617" s="350">
        <f t="shared" si="266"/>
        <v>9968590.1389455814</v>
      </c>
      <c r="W617" s="365"/>
      <c r="X617" s="377">
        <f t="shared" si="244"/>
        <v>0</v>
      </c>
      <c r="Y617" s="377">
        <f t="shared" si="245"/>
        <v>0</v>
      </c>
      <c r="Z617" s="377">
        <f t="shared" si="246"/>
        <v>0</v>
      </c>
      <c r="AA617" s="377">
        <f t="shared" si="247"/>
        <v>0</v>
      </c>
      <c r="AB617" s="377">
        <f t="shared" si="248"/>
        <v>0</v>
      </c>
      <c r="AC617" s="377">
        <f t="shared" si="249"/>
        <v>0</v>
      </c>
      <c r="AD617" s="376"/>
      <c r="AE617" s="332">
        <v>602</v>
      </c>
      <c r="AF617" s="350">
        <v>5918098.7880798792</v>
      </c>
      <c r="AG617" s="350">
        <v>36555.935221112719</v>
      </c>
      <c r="AH617" s="350">
        <v>35001.025242807838</v>
      </c>
      <c r="AI617" s="350">
        <v>33404.275098462706</v>
      </c>
      <c r="AJ617" s="350">
        <v>31765.766347853547</v>
      </c>
      <c r="AK617" s="348">
        <v>6054825.7899901159</v>
      </c>
      <c r="AL617" s="369"/>
      <c r="AM617" s="350">
        <v>8241735.920953786</v>
      </c>
      <c r="AN617" s="350">
        <v>2388899.1548125325</v>
      </c>
      <c r="AO617" s="350">
        <v>2414218.8075978914</v>
      </c>
      <c r="AP617" s="350">
        <v>2437599.3850497236</v>
      </c>
      <c r="AQ617" s="350">
        <v>2458975.4176291963</v>
      </c>
      <c r="AR617" s="348">
        <v>17941428.686043128</v>
      </c>
      <c r="AS617" s="369"/>
      <c r="AT617" s="350">
        <f t="shared" si="267"/>
        <v>2323637.1328739068</v>
      </c>
      <c r="AU617" s="350">
        <f t="shared" si="250"/>
        <v>2352343.2195914197</v>
      </c>
      <c r="AV617" s="350">
        <f t="shared" si="251"/>
        <v>2379217.7823550836</v>
      </c>
      <c r="AW617" s="350">
        <f t="shared" si="252"/>
        <v>2404195.109951261</v>
      </c>
      <c r="AX617" s="350">
        <f t="shared" si="253"/>
        <v>2427209.6512813428</v>
      </c>
      <c r="AY617" s="350">
        <f t="shared" si="254"/>
        <v>11886602.896053012</v>
      </c>
      <c r="AZ617" s="365"/>
      <c r="BA617" s="377">
        <f t="shared" si="255"/>
        <v>0</v>
      </c>
      <c r="BB617" s="377">
        <f t="shared" si="256"/>
        <v>0</v>
      </c>
      <c r="BC617" s="377">
        <f t="shared" si="257"/>
        <v>0</v>
      </c>
      <c r="BD617" s="377">
        <f t="shared" si="258"/>
        <v>0</v>
      </c>
      <c r="BE617" s="377">
        <f t="shared" si="259"/>
        <v>0</v>
      </c>
      <c r="BF617" s="377">
        <f t="shared" si="260"/>
        <v>0</v>
      </c>
      <c r="BG617" s="328"/>
    </row>
    <row r="618" spans="2:59">
      <c r="B618" s="332">
        <v>603</v>
      </c>
      <c r="C618" s="350">
        <v>7249847.6799466442</v>
      </c>
      <c r="D618" s="350">
        <v>44782.111897973591</v>
      </c>
      <c r="E618" s="350">
        <v>42877.300758046258</v>
      </c>
      <c r="F618" s="350">
        <v>40921.234165721973</v>
      </c>
      <c r="G618" s="350">
        <v>38914.012034163214</v>
      </c>
      <c r="H618" s="348">
        <v>7417342.3388025481</v>
      </c>
      <c r="I618" s="369"/>
      <c r="J618" s="350">
        <v>9448277.9453196824</v>
      </c>
      <c r="K618" s="350">
        <v>2270371.6651595416</v>
      </c>
      <c r="L618" s="350">
        <v>2293893.3077943632</v>
      </c>
      <c r="M618" s="350">
        <v>2315568.6904325215</v>
      </c>
      <c r="N618" s="350">
        <v>2335335.8940440849</v>
      </c>
      <c r="O618" s="348">
        <v>18663447.502750196</v>
      </c>
      <c r="P618" s="369"/>
      <c r="Q618" s="350">
        <f t="shared" si="261"/>
        <v>2198430.2653730381</v>
      </c>
      <c r="R618" s="350">
        <f t="shared" si="262"/>
        <v>2225589.5532615678</v>
      </c>
      <c r="S618" s="350">
        <f t="shared" si="263"/>
        <v>2251016.0070363171</v>
      </c>
      <c r="T618" s="350">
        <f t="shared" si="264"/>
        <v>2274647.4562667995</v>
      </c>
      <c r="U618" s="350">
        <f t="shared" si="265"/>
        <v>2296421.8820099216</v>
      </c>
      <c r="V618" s="350">
        <f t="shared" si="266"/>
        <v>11246105.163947647</v>
      </c>
      <c r="W618" s="365"/>
      <c r="X618" s="377">
        <f t="shared" si="244"/>
        <v>0</v>
      </c>
      <c r="Y618" s="377">
        <f t="shared" si="245"/>
        <v>0</v>
      </c>
      <c r="Z618" s="377">
        <f t="shared" si="246"/>
        <v>0</v>
      </c>
      <c r="AA618" s="377">
        <f t="shared" si="247"/>
        <v>0</v>
      </c>
      <c r="AB618" s="377">
        <f t="shared" si="248"/>
        <v>0</v>
      </c>
      <c r="AC618" s="377">
        <f t="shared" si="249"/>
        <v>0</v>
      </c>
      <c r="AD618" s="376"/>
      <c r="AE618" s="332">
        <v>603</v>
      </c>
      <c r="AF618" s="350">
        <v>3800831.5829793285</v>
      </c>
      <c r="AG618" s="350">
        <v>23477.633292233233</v>
      </c>
      <c r="AH618" s="350">
        <v>22479.010057668045</v>
      </c>
      <c r="AI618" s="350">
        <v>21453.515452715837</v>
      </c>
      <c r="AJ618" s="350">
        <v>20401.201858212207</v>
      </c>
      <c r="AK618" s="348">
        <v>3888642.943640158</v>
      </c>
      <c r="AL618" s="369"/>
      <c r="AM618" s="350">
        <v>5450858.5539531857</v>
      </c>
      <c r="AN618" s="350">
        <v>1693888.9476925633</v>
      </c>
      <c r="AO618" s="350">
        <v>1711974.0930748028</v>
      </c>
      <c r="AP618" s="350">
        <v>1728685.1303979536</v>
      </c>
      <c r="AQ618" s="350">
        <v>1743975.563862347</v>
      </c>
      <c r="AR618" s="348">
        <v>12329382.288980853</v>
      </c>
      <c r="AS618" s="369"/>
      <c r="AT618" s="350">
        <f t="shared" si="267"/>
        <v>1650026.9709738572</v>
      </c>
      <c r="AU618" s="350">
        <f t="shared" si="250"/>
        <v>1670411.31440033</v>
      </c>
      <c r="AV618" s="350">
        <f t="shared" si="251"/>
        <v>1689495.0830171348</v>
      </c>
      <c r="AW618" s="350">
        <f t="shared" si="252"/>
        <v>1707231.6149452378</v>
      </c>
      <c r="AX618" s="350">
        <f t="shared" si="253"/>
        <v>1723574.3620041348</v>
      </c>
      <c r="AY618" s="350">
        <f t="shared" si="254"/>
        <v>8440739.3453406952</v>
      </c>
      <c r="AZ618" s="365"/>
      <c r="BA618" s="377">
        <f t="shared" si="255"/>
        <v>0</v>
      </c>
      <c r="BB618" s="377">
        <f t="shared" si="256"/>
        <v>0</v>
      </c>
      <c r="BC618" s="377">
        <f t="shared" si="257"/>
        <v>0</v>
      </c>
      <c r="BD618" s="377">
        <f t="shared" si="258"/>
        <v>0</v>
      </c>
      <c r="BE618" s="377">
        <f t="shared" si="259"/>
        <v>0</v>
      </c>
      <c r="BF618" s="377">
        <f t="shared" si="260"/>
        <v>0</v>
      </c>
      <c r="BG618" s="328"/>
    </row>
    <row r="619" spans="2:59">
      <c r="B619" s="332">
        <v>604</v>
      </c>
      <c r="C619" s="350">
        <v>4715314.68908305</v>
      </c>
      <c r="D619" s="350">
        <v>29126.37056151704</v>
      </c>
      <c r="E619" s="350">
        <v>27887.477781344554</v>
      </c>
      <c r="F619" s="350">
        <v>26615.248357667297</v>
      </c>
      <c r="G619" s="350">
        <v>25309.747274193352</v>
      </c>
      <c r="H619" s="348">
        <v>4824253.5330577716</v>
      </c>
      <c r="I619" s="369"/>
      <c r="J619" s="350">
        <v>6531085.8810187243</v>
      </c>
      <c r="K619" s="350">
        <v>1867329.501011787</v>
      </c>
      <c r="L619" s="350">
        <v>1887091.3299758821</v>
      </c>
      <c r="M619" s="350">
        <v>1905337.2564893095</v>
      </c>
      <c r="N619" s="350">
        <v>1922016.1216184231</v>
      </c>
      <c r="O619" s="348">
        <v>14112860.090114128</v>
      </c>
      <c r="P619" s="369"/>
      <c r="Q619" s="350">
        <f t="shared" si="261"/>
        <v>1815771.1919356743</v>
      </c>
      <c r="R619" s="350">
        <f t="shared" si="262"/>
        <v>1838203.1304502699</v>
      </c>
      <c r="S619" s="350">
        <f t="shared" si="263"/>
        <v>1859203.8521945374</v>
      </c>
      <c r="T619" s="350">
        <f t="shared" si="264"/>
        <v>1878722.0081316421</v>
      </c>
      <c r="U619" s="350">
        <f t="shared" si="265"/>
        <v>1896706.3743442297</v>
      </c>
      <c r="V619" s="350">
        <f t="shared" si="266"/>
        <v>9288606.5570563562</v>
      </c>
      <c r="W619" s="365"/>
      <c r="X619" s="377">
        <f t="shared" si="244"/>
        <v>0</v>
      </c>
      <c r="Y619" s="377">
        <f t="shared" si="245"/>
        <v>0</v>
      </c>
      <c r="Z619" s="377">
        <f t="shared" si="246"/>
        <v>0</v>
      </c>
      <c r="AA619" s="377">
        <f t="shared" si="247"/>
        <v>0</v>
      </c>
      <c r="AB619" s="377">
        <f t="shared" si="248"/>
        <v>0</v>
      </c>
      <c r="AC619" s="377">
        <f t="shared" si="249"/>
        <v>0</v>
      </c>
      <c r="AD619" s="376"/>
      <c r="AE619" s="332">
        <v>604</v>
      </c>
      <c r="AF619" s="350">
        <v>5155373.4936559023</v>
      </c>
      <c r="AG619" s="350">
        <v>31844.601826233968</v>
      </c>
      <c r="AH619" s="350">
        <v>30490.088835793384</v>
      </c>
      <c r="AI619" s="350">
        <v>29099.128045019315</v>
      </c>
      <c r="AJ619" s="350">
        <v>27671.790502253851</v>
      </c>
      <c r="AK619" s="348">
        <v>5274479.1028652033</v>
      </c>
      <c r="AL619" s="369"/>
      <c r="AM619" s="350">
        <v>7643820.7327760011</v>
      </c>
      <c r="AN619" s="350">
        <v>2551033.9827495911</v>
      </c>
      <c r="AO619" s="350">
        <v>2578460.1819304582</v>
      </c>
      <c r="AP619" s="350">
        <v>2603818.1317238566</v>
      </c>
      <c r="AQ619" s="350">
        <v>2627037.702694566</v>
      </c>
      <c r="AR619" s="348">
        <v>18004170.731874473</v>
      </c>
      <c r="AS619" s="369"/>
      <c r="AT619" s="350">
        <f t="shared" si="267"/>
        <v>2488447.2391200988</v>
      </c>
      <c r="AU619" s="350">
        <f t="shared" si="250"/>
        <v>2519189.3809233573</v>
      </c>
      <c r="AV619" s="350">
        <f t="shared" si="251"/>
        <v>2547970.0930946646</v>
      </c>
      <c r="AW619" s="350">
        <f t="shared" si="252"/>
        <v>2574719.0036788373</v>
      </c>
      <c r="AX619" s="350">
        <f t="shared" si="253"/>
        <v>2599365.9121923121</v>
      </c>
      <c r="AY619" s="350">
        <f t="shared" si="254"/>
        <v>12729691.629009269</v>
      </c>
      <c r="AZ619" s="365"/>
      <c r="BA619" s="377">
        <f t="shared" si="255"/>
        <v>0</v>
      </c>
      <c r="BB619" s="377">
        <f t="shared" si="256"/>
        <v>0</v>
      </c>
      <c r="BC619" s="377">
        <f t="shared" si="257"/>
        <v>0</v>
      </c>
      <c r="BD619" s="377">
        <f t="shared" si="258"/>
        <v>0</v>
      </c>
      <c r="BE619" s="377">
        <f t="shared" si="259"/>
        <v>0</v>
      </c>
      <c r="BF619" s="377">
        <f t="shared" si="260"/>
        <v>0</v>
      </c>
      <c r="BG619" s="328"/>
    </row>
    <row r="620" spans="2:59">
      <c r="B620" s="332">
        <v>605</v>
      </c>
      <c r="C620" s="350">
        <v>5614444.9770597238</v>
      </c>
      <c r="D620" s="350">
        <v>34680.273890880198</v>
      </c>
      <c r="E620" s="350">
        <v>33205.145335227055</v>
      </c>
      <c r="F620" s="350">
        <v>31690.323405319723</v>
      </c>
      <c r="G620" s="350">
        <v>30135.885476156611</v>
      </c>
      <c r="H620" s="348">
        <v>5744156.6051673079</v>
      </c>
      <c r="I620" s="369"/>
      <c r="J620" s="350">
        <v>7739953.4262276366</v>
      </c>
      <c r="K620" s="350">
        <v>2186447.1387973754</v>
      </c>
      <c r="L620" s="350">
        <v>2209555.0698828874</v>
      </c>
      <c r="M620" s="350">
        <v>2230887.8432561439</v>
      </c>
      <c r="N620" s="350">
        <v>2250385.5745141339</v>
      </c>
      <c r="O620" s="348">
        <v>16617229.052678179</v>
      </c>
      <c r="P620" s="369"/>
      <c r="Q620" s="350">
        <f t="shared" si="261"/>
        <v>2125508.4491679128</v>
      </c>
      <c r="R620" s="350">
        <f t="shared" si="262"/>
        <v>2151766.864906495</v>
      </c>
      <c r="S620" s="350">
        <f t="shared" si="263"/>
        <v>2176349.9245476602</v>
      </c>
      <c r="T620" s="350">
        <f t="shared" si="264"/>
        <v>2199197.519850824</v>
      </c>
      <c r="U620" s="350">
        <f t="shared" si="265"/>
        <v>2220249.6890379773</v>
      </c>
      <c r="V620" s="350">
        <f t="shared" si="266"/>
        <v>10873072.447510872</v>
      </c>
      <c r="W620" s="365"/>
      <c r="X620" s="377">
        <f t="shared" si="244"/>
        <v>0</v>
      </c>
      <c r="Y620" s="377">
        <f t="shared" si="245"/>
        <v>0</v>
      </c>
      <c r="Z620" s="377">
        <f t="shared" si="246"/>
        <v>0</v>
      </c>
      <c r="AA620" s="377">
        <f t="shared" si="247"/>
        <v>0</v>
      </c>
      <c r="AB620" s="377">
        <f t="shared" si="248"/>
        <v>0</v>
      </c>
      <c r="AC620" s="377">
        <f t="shared" si="249"/>
        <v>0</v>
      </c>
      <c r="AD620" s="376"/>
      <c r="AE620" s="332">
        <v>605</v>
      </c>
      <c r="AF620" s="350">
        <v>5912680.7390455315</v>
      </c>
      <c r="AG620" s="350">
        <v>36522.468079616308</v>
      </c>
      <c r="AH620" s="350">
        <v>34968.981629173846</v>
      </c>
      <c r="AI620" s="350">
        <v>33373.693317569472</v>
      </c>
      <c r="AJ620" s="350">
        <v>31736.684629915719</v>
      </c>
      <c r="AK620" s="348">
        <v>6049282.5667018071</v>
      </c>
      <c r="AL620" s="369"/>
      <c r="AM620" s="350">
        <v>7608453.7343295328</v>
      </c>
      <c r="AN620" s="350">
        <v>1753244.9506855148</v>
      </c>
      <c r="AO620" s="350">
        <v>1771304.3190780007</v>
      </c>
      <c r="AP620" s="350">
        <v>1787937.2975782491</v>
      </c>
      <c r="AQ620" s="350">
        <v>1803096.1289700381</v>
      </c>
      <c r="AR620" s="348">
        <v>14724036.430641335</v>
      </c>
      <c r="AS620" s="369"/>
      <c r="AT620" s="350">
        <f t="shared" si="267"/>
        <v>1695772.9952840013</v>
      </c>
      <c r="AU620" s="350">
        <f t="shared" si="250"/>
        <v>1716722.4826058985</v>
      </c>
      <c r="AV620" s="350">
        <f t="shared" si="251"/>
        <v>1736335.337448827</v>
      </c>
      <c r="AW620" s="350">
        <f t="shared" si="252"/>
        <v>1754563.6042606796</v>
      </c>
      <c r="AX620" s="350">
        <f t="shared" si="253"/>
        <v>1771359.4443401224</v>
      </c>
      <c r="AY620" s="350">
        <f t="shared" si="254"/>
        <v>8674753.8639395274</v>
      </c>
      <c r="AZ620" s="365"/>
      <c r="BA620" s="377">
        <f t="shared" si="255"/>
        <v>0</v>
      </c>
      <c r="BB620" s="377">
        <f t="shared" si="256"/>
        <v>0</v>
      </c>
      <c r="BC620" s="377">
        <f t="shared" si="257"/>
        <v>0</v>
      </c>
      <c r="BD620" s="377">
        <f t="shared" si="258"/>
        <v>0</v>
      </c>
      <c r="BE620" s="377">
        <f t="shared" si="259"/>
        <v>0</v>
      </c>
      <c r="BF620" s="377">
        <f t="shared" si="260"/>
        <v>0</v>
      </c>
      <c r="BG620" s="328"/>
    </row>
    <row r="621" spans="2:59">
      <c r="B621" s="332">
        <v>606</v>
      </c>
      <c r="C621" s="350">
        <v>5500459.3876243103</v>
      </c>
      <c r="D621" s="350">
        <v>33976.188005741227</v>
      </c>
      <c r="E621" s="350">
        <v>32531.007806265847</v>
      </c>
      <c r="F621" s="350">
        <v>31046.940095392136</v>
      </c>
      <c r="G621" s="350">
        <v>29524.060677232184</v>
      </c>
      <c r="H621" s="348">
        <v>5627537.584208942</v>
      </c>
      <c r="I621" s="369"/>
      <c r="J621" s="350">
        <v>7435798.6343838666</v>
      </c>
      <c r="K621" s="350">
        <v>1993224.5105238552</v>
      </c>
      <c r="L621" s="350">
        <v>2014162.9440651785</v>
      </c>
      <c r="M621" s="350">
        <v>2033482.2977199573</v>
      </c>
      <c r="N621" s="350">
        <v>2051128.0502934807</v>
      </c>
      <c r="O621" s="348">
        <v>15527796.436986338</v>
      </c>
      <c r="P621" s="369"/>
      <c r="Q621" s="350">
        <f t="shared" si="261"/>
        <v>1935339.2467595562</v>
      </c>
      <c r="R621" s="350">
        <f t="shared" si="262"/>
        <v>1959248.322518114</v>
      </c>
      <c r="S621" s="350">
        <f t="shared" si="263"/>
        <v>1981631.9362589126</v>
      </c>
      <c r="T621" s="350">
        <f t="shared" si="264"/>
        <v>2002435.3576245653</v>
      </c>
      <c r="U621" s="350">
        <f t="shared" si="265"/>
        <v>2021603.9896162485</v>
      </c>
      <c r="V621" s="350">
        <f t="shared" si="266"/>
        <v>9900258.8527773954</v>
      </c>
      <c r="W621" s="365"/>
      <c r="X621" s="377">
        <f t="shared" si="244"/>
        <v>0</v>
      </c>
      <c r="Y621" s="377">
        <f t="shared" si="245"/>
        <v>0</v>
      </c>
      <c r="Z621" s="377">
        <f t="shared" si="246"/>
        <v>0</v>
      </c>
      <c r="AA621" s="377">
        <f t="shared" si="247"/>
        <v>0</v>
      </c>
      <c r="AB621" s="377">
        <f t="shared" si="248"/>
        <v>0</v>
      </c>
      <c r="AC621" s="377">
        <f t="shared" si="249"/>
        <v>0</v>
      </c>
      <c r="AD621" s="376"/>
      <c r="AE621" s="332">
        <v>606</v>
      </c>
      <c r="AF621" s="350">
        <v>5240255.7878454551</v>
      </c>
      <c r="AG621" s="350">
        <v>32368.917448349301</v>
      </c>
      <c r="AH621" s="350">
        <v>30992.102645968742</v>
      </c>
      <c r="AI621" s="350">
        <v>29578.239936797741</v>
      </c>
      <c r="AJ621" s="350">
        <v>28127.401538981852</v>
      </c>
      <c r="AK621" s="348">
        <v>5361322.4494155534</v>
      </c>
      <c r="AL621" s="369"/>
      <c r="AM621" s="350">
        <v>7047437.7539215833</v>
      </c>
      <c r="AN621" s="350">
        <v>1861876.71121012</v>
      </c>
      <c r="AO621" s="350">
        <v>1881401.2774734711</v>
      </c>
      <c r="AP621" s="350">
        <v>1899413.2430719915</v>
      </c>
      <c r="AQ621" s="350">
        <v>1915861.6986133265</v>
      </c>
      <c r="AR621" s="348">
        <v>14605990.684290495</v>
      </c>
      <c r="AS621" s="369"/>
      <c r="AT621" s="350">
        <f t="shared" si="267"/>
        <v>1807181.9660761282</v>
      </c>
      <c r="AU621" s="350">
        <f t="shared" si="250"/>
        <v>1829507.7937617707</v>
      </c>
      <c r="AV621" s="350">
        <f t="shared" si="251"/>
        <v>1850409.1748275023</v>
      </c>
      <c r="AW621" s="350">
        <f t="shared" si="252"/>
        <v>1869835.0031351938</v>
      </c>
      <c r="AX621" s="350">
        <f t="shared" si="253"/>
        <v>1887734.2970743447</v>
      </c>
      <c r="AY621" s="350">
        <f t="shared" si="254"/>
        <v>9244668.2348749414</v>
      </c>
      <c r="AZ621" s="365"/>
      <c r="BA621" s="377">
        <f t="shared" si="255"/>
        <v>0</v>
      </c>
      <c r="BB621" s="377">
        <f t="shared" si="256"/>
        <v>0</v>
      </c>
      <c r="BC621" s="377">
        <f t="shared" si="257"/>
        <v>0</v>
      </c>
      <c r="BD621" s="377">
        <f t="shared" si="258"/>
        <v>0</v>
      </c>
      <c r="BE621" s="377">
        <f t="shared" si="259"/>
        <v>0</v>
      </c>
      <c r="BF621" s="377">
        <f t="shared" si="260"/>
        <v>0</v>
      </c>
      <c r="BG621" s="328"/>
    </row>
    <row r="622" spans="2:59">
      <c r="B622" s="332">
        <v>607</v>
      </c>
      <c r="C622" s="350">
        <v>4532995.6561346957</v>
      </c>
      <c r="D622" s="350">
        <v>28000.190854705594</v>
      </c>
      <c r="E622" s="350">
        <v>26809.200229215592</v>
      </c>
      <c r="F622" s="350">
        <v>25586.161931371371</v>
      </c>
      <c r="G622" s="350">
        <v>24331.138432267482</v>
      </c>
      <c r="H622" s="348">
        <v>4637722.3475822555</v>
      </c>
      <c r="I622" s="369"/>
      <c r="J622" s="350">
        <v>6105381.1666205004</v>
      </c>
      <c r="K622" s="350">
        <v>1619810.8663883484</v>
      </c>
      <c r="L622" s="350">
        <v>1636805.6641083758</v>
      </c>
      <c r="M622" s="350">
        <v>1652484.5712336174</v>
      </c>
      <c r="N622" s="350">
        <v>1666803.2923635338</v>
      </c>
      <c r="O622" s="348">
        <v>12681285.560714375</v>
      </c>
      <c r="P622" s="369"/>
      <c r="Q622" s="350">
        <f t="shared" si="261"/>
        <v>1572385.5104858046</v>
      </c>
      <c r="R622" s="350">
        <f t="shared" si="262"/>
        <v>1591810.6755336428</v>
      </c>
      <c r="S622" s="350">
        <f t="shared" si="263"/>
        <v>1609996.4638791601</v>
      </c>
      <c r="T622" s="350">
        <f t="shared" si="264"/>
        <v>1626898.4093022461</v>
      </c>
      <c r="U622" s="350">
        <f t="shared" si="265"/>
        <v>1642472.1539312662</v>
      </c>
      <c r="V622" s="350">
        <f t="shared" si="266"/>
        <v>8043563.2131321197</v>
      </c>
      <c r="W622" s="365"/>
      <c r="X622" s="377">
        <f t="shared" si="244"/>
        <v>0</v>
      </c>
      <c r="Y622" s="377">
        <f t="shared" si="245"/>
        <v>0</v>
      </c>
      <c r="Z622" s="377">
        <f t="shared" si="246"/>
        <v>0</v>
      </c>
      <c r="AA622" s="377">
        <f t="shared" si="247"/>
        <v>0</v>
      </c>
      <c r="AB622" s="377">
        <f t="shared" si="248"/>
        <v>0</v>
      </c>
      <c r="AC622" s="377">
        <f t="shared" si="249"/>
        <v>0</v>
      </c>
      <c r="AD622" s="376"/>
      <c r="AE622" s="332">
        <v>607</v>
      </c>
      <c r="AF622" s="350">
        <v>3735732.645912468</v>
      </c>
      <c r="AG622" s="350">
        <v>23075.518928889629</v>
      </c>
      <c r="AH622" s="350">
        <v>22093.99966477813</v>
      </c>
      <c r="AI622" s="350">
        <v>21086.069271049862</v>
      </c>
      <c r="AJ622" s="350">
        <v>20051.779231385481</v>
      </c>
      <c r="AK622" s="348">
        <v>3822040.0130085712</v>
      </c>
      <c r="AL622" s="369"/>
      <c r="AM622" s="350">
        <v>6197534.8397913976</v>
      </c>
      <c r="AN622" s="350">
        <v>2515290.6831718478</v>
      </c>
      <c r="AO622" s="350">
        <v>2542781.7066447753</v>
      </c>
      <c r="AP622" s="350">
        <v>2568236.2729135323</v>
      </c>
      <c r="AQ622" s="350">
        <v>2591584.9846498133</v>
      </c>
      <c r="AR622" s="348">
        <v>16415428.487171365</v>
      </c>
      <c r="AS622" s="369"/>
      <c r="AT622" s="350">
        <f t="shared" si="267"/>
        <v>2461802.1938789296</v>
      </c>
      <c r="AU622" s="350">
        <f t="shared" si="250"/>
        <v>2492215.1642429582</v>
      </c>
      <c r="AV622" s="350">
        <f t="shared" si="251"/>
        <v>2520687.706979997</v>
      </c>
      <c r="AW622" s="350">
        <f t="shared" si="252"/>
        <v>2547150.2036424824</v>
      </c>
      <c r="AX622" s="350">
        <f t="shared" si="253"/>
        <v>2571533.2054184279</v>
      </c>
      <c r="AY622" s="350">
        <f t="shared" si="254"/>
        <v>12593388.474162795</v>
      </c>
      <c r="AZ622" s="365"/>
      <c r="BA622" s="377">
        <f t="shared" si="255"/>
        <v>0</v>
      </c>
      <c r="BB622" s="377">
        <f t="shared" si="256"/>
        <v>0</v>
      </c>
      <c r="BC622" s="377">
        <f t="shared" si="257"/>
        <v>0</v>
      </c>
      <c r="BD622" s="377">
        <f t="shared" si="258"/>
        <v>0</v>
      </c>
      <c r="BE622" s="377">
        <f t="shared" si="259"/>
        <v>0</v>
      </c>
      <c r="BF622" s="377">
        <f t="shared" si="260"/>
        <v>0</v>
      </c>
      <c r="BG622" s="328"/>
    </row>
    <row r="623" spans="2:59">
      <c r="B623" s="332">
        <v>608</v>
      </c>
      <c r="C623" s="350">
        <v>3568777.6356294155</v>
      </c>
      <c r="D623" s="350">
        <v>22044.242372126664</v>
      </c>
      <c r="E623" s="350">
        <v>21106.588548712964</v>
      </c>
      <c r="F623" s="350">
        <v>20143.703945247256</v>
      </c>
      <c r="G623" s="350">
        <v>19155.637744537864</v>
      </c>
      <c r="H623" s="348">
        <v>3651227.8082400407</v>
      </c>
      <c r="I623" s="369"/>
      <c r="J623" s="350">
        <v>4828366.5481962748</v>
      </c>
      <c r="K623" s="350">
        <v>1297194.0478344432</v>
      </c>
      <c r="L623" s="350">
        <v>1310824.4609472509</v>
      </c>
      <c r="M623" s="350">
        <v>1323401.1968209222</v>
      </c>
      <c r="N623" s="350">
        <v>1334888.7709330022</v>
      </c>
      <c r="O623" s="348">
        <v>10094675.024731893</v>
      </c>
      <c r="P623" s="369"/>
      <c r="Q623" s="350">
        <f t="shared" si="261"/>
        <v>1259588.9125668593</v>
      </c>
      <c r="R623" s="350">
        <f t="shared" si="262"/>
        <v>1275149.8054623166</v>
      </c>
      <c r="S623" s="350">
        <f t="shared" si="263"/>
        <v>1289717.872398538</v>
      </c>
      <c r="T623" s="350">
        <f t="shared" si="264"/>
        <v>1303257.492875675</v>
      </c>
      <c r="U623" s="350">
        <f t="shared" si="265"/>
        <v>1315733.1331884644</v>
      </c>
      <c r="V623" s="350">
        <f t="shared" si="266"/>
        <v>6443447.216491852</v>
      </c>
      <c r="W623" s="365"/>
      <c r="X623" s="377">
        <f t="shared" si="244"/>
        <v>0</v>
      </c>
      <c r="Y623" s="377">
        <f t="shared" si="245"/>
        <v>0</v>
      </c>
      <c r="Z623" s="377">
        <f t="shared" si="246"/>
        <v>0</v>
      </c>
      <c r="AA623" s="377">
        <f t="shared" si="247"/>
        <v>0</v>
      </c>
      <c r="AB623" s="377">
        <f t="shared" si="248"/>
        <v>0</v>
      </c>
      <c r="AC623" s="377">
        <f t="shared" si="249"/>
        <v>0</v>
      </c>
      <c r="AD623" s="376"/>
      <c r="AE623" s="332">
        <v>608</v>
      </c>
      <c r="AF623" s="350">
        <v>6281772.4368929239</v>
      </c>
      <c r="AG623" s="350">
        <v>38802.337456643509</v>
      </c>
      <c r="AH623" s="350">
        <v>37151.876558080396</v>
      </c>
      <c r="AI623" s="350">
        <v>35457.004369471899</v>
      </c>
      <c r="AJ623" s="350">
        <v>33717.807462532852</v>
      </c>
      <c r="AK623" s="348">
        <v>6426901.462739653</v>
      </c>
      <c r="AL623" s="369"/>
      <c r="AM623" s="350">
        <v>8316845.7064214023</v>
      </c>
      <c r="AN623" s="350">
        <v>2099016.7914347425</v>
      </c>
      <c r="AO623" s="350">
        <v>2120903.441187772</v>
      </c>
      <c r="AP623" s="350">
        <v>2141084.055070593</v>
      </c>
      <c r="AQ623" s="350">
        <v>2159501.3091037231</v>
      </c>
      <c r="AR623" s="348">
        <v>16837351.303218234</v>
      </c>
      <c r="AS623" s="369"/>
      <c r="AT623" s="350">
        <f t="shared" si="267"/>
        <v>2035073.2695284784</v>
      </c>
      <c r="AU623" s="350">
        <f t="shared" si="250"/>
        <v>2060214.4539780989</v>
      </c>
      <c r="AV623" s="350">
        <f t="shared" si="251"/>
        <v>2083751.5646296917</v>
      </c>
      <c r="AW623" s="350">
        <f t="shared" si="252"/>
        <v>2105627.0507011213</v>
      </c>
      <c r="AX623" s="350">
        <f t="shared" si="253"/>
        <v>2125783.5016411901</v>
      </c>
      <c r="AY623" s="350">
        <f t="shared" si="254"/>
        <v>10410449.84047858</v>
      </c>
      <c r="AZ623" s="365"/>
      <c r="BA623" s="377">
        <f t="shared" si="255"/>
        <v>0</v>
      </c>
      <c r="BB623" s="377">
        <f t="shared" si="256"/>
        <v>0</v>
      </c>
      <c r="BC623" s="377">
        <f t="shared" si="257"/>
        <v>0</v>
      </c>
      <c r="BD623" s="377">
        <f t="shared" si="258"/>
        <v>0</v>
      </c>
      <c r="BE623" s="377">
        <f t="shared" si="259"/>
        <v>0</v>
      </c>
      <c r="BF623" s="377">
        <f t="shared" si="260"/>
        <v>0</v>
      </c>
      <c r="BG623" s="328"/>
    </row>
    <row r="624" spans="2:59">
      <c r="B624" s="332">
        <v>609</v>
      </c>
      <c r="C624" s="350">
        <v>5803123.2025370291</v>
      </c>
      <c r="D624" s="350">
        <v>35845.734156948878</v>
      </c>
      <c r="E624" s="350">
        <v>34321.032644511084</v>
      </c>
      <c r="F624" s="350">
        <v>32755.303828024385</v>
      </c>
      <c r="G624" s="350">
        <v>31148.627682743176</v>
      </c>
      <c r="H624" s="348">
        <v>5937193.9008492567</v>
      </c>
      <c r="I624" s="369"/>
      <c r="J624" s="350">
        <v>7886352.4373900555</v>
      </c>
      <c r="K624" s="350">
        <v>2144811.0696351957</v>
      </c>
      <c r="L624" s="350">
        <v>2167380.4377307445</v>
      </c>
      <c r="M624" s="350">
        <v>2188207.8348979596</v>
      </c>
      <c r="N624" s="350">
        <v>2207234.5720542902</v>
      </c>
      <c r="O624" s="348">
        <v>16593986.351708245</v>
      </c>
      <c r="P624" s="369"/>
      <c r="Q624" s="350">
        <f t="shared" si="261"/>
        <v>2083229.2348530265</v>
      </c>
      <c r="R624" s="350">
        <f t="shared" si="262"/>
        <v>2108965.3354782467</v>
      </c>
      <c r="S624" s="350">
        <f t="shared" si="263"/>
        <v>2133059.4050862333</v>
      </c>
      <c r="T624" s="350">
        <f t="shared" si="264"/>
        <v>2155452.5310699353</v>
      </c>
      <c r="U624" s="350">
        <f t="shared" si="265"/>
        <v>2176085.9443715471</v>
      </c>
      <c r="V624" s="350">
        <f t="shared" si="266"/>
        <v>10656792.450858988</v>
      </c>
      <c r="W624" s="365"/>
      <c r="X624" s="377">
        <f t="shared" si="244"/>
        <v>0</v>
      </c>
      <c r="Y624" s="377">
        <f t="shared" si="245"/>
        <v>0</v>
      </c>
      <c r="Z624" s="377">
        <f t="shared" si="246"/>
        <v>0</v>
      </c>
      <c r="AA624" s="377">
        <f t="shared" si="247"/>
        <v>0</v>
      </c>
      <c r="AB624" s="377">
        <f t="shared" si="248"/>
        <v>0</v>
      </c>
      <c r="AC624" s="377">
        <f t="shared" si="249"/>
        <v>0</v>
      </c>
      <c r="AD624" s="376"/>
      <c r="AE624" s="332">
        <v>609</v>
      </c>
      <c r="AF624" s="350">
        <v>8000867.3924610969</v>
      </c>
      <c r="AG624" s="350">
        <v>49421.140231828882</v>
      </c>
      <c r="AH624" s="350">
        <v>47319.007606283732</v>
      </c>
      <c r="AI624" s="350">
        <v>45160.309919531668</v>
      </c>
      <c r="AJ624" s="350">
        <v>42945.157434847635</v>
      </c>
      <c r="AK624" s="348">
        <v>8185713.0076535884</v>
      </c>
      <c r="AL624" s="369"/>
      <c r="AM624" s="350">
        <v>11049258.90872867</v>
      </c>
      <c r="AN624" s="350">
        <v>3135472.3194376789</v>
      </c>
      <c r="AO624" s="350">
        <v>3168627.0640470223</v>
      </c>
      <c r="AP624" s="350">
        <v>3199236.2510123136</v>
      </c>
      <c r="AQ624" s="350">
        <v>3227213.9937731219</v>
      </c>
      <c r="AR624" s="348">
        <v>23779808.536998808</v>
      </c>
      <c r="AS624" s="369"/>
      <c r="AT624" s="350">
        <f t="shared" si="267"/>
        <v>3048391.5162675735</v>
      </c>
      <c r="AU624" s="350">
        <f t="shared" si="250"/>
        <v>3086051.1792058502</v>
      </c>
      <c r="AV624" s="350">
        <f t="shared" si="251"/>
        <v>3121308.0564407385</v>
      </c>
      <c r="AW624" s="350">
        <f t="shared" si="252"/>
        <v>3154075.9410927822</v>
      </c>
      <c r="AX624" s="350">
        <f t="shared" si="253"/>
        <v>3184268.8363382742</v>
      </c>
      <c r="AY624" s="350">
        <f t="shared" si="254"/>
        <v>15594095.52934522</v>
      </c>
      <c r="AZ624" s="365"/>
      <c r="BA624" s="377">
        <f t="shared" si="255"/>
        <v>0</v>
      </c>
      <c r="BB624" s="377">
        <f t="shared" si="256"/>
        <v>0</v>
      </c>
      <c r="BC624" s="377">
        <f t="shared" si="257"/>
        <v>0</v>
      </c>
      <c r="BD624" s="377">
        <f t="shared" si="258"/>
        <v>0</v>
      </c>
      <c r="BE624" s="377">
        <f t="shared" si="259"/>
        <v>0</v>
      </c>
      <c r="BF624" s="377">
        <f t="shared" si="260"/>
        <v>0</v>
      </c>
      <c r="BG624" s="328"/>
    </row>
    <row r="625" spans="2:59">
      <c r="B625" s="332">
        <v>610</v>
      </c>
      <c r="C625" s="350">
        <v>8082367.9541669469</v>
      </c>
      <c r="D625" s="350">
        <v>49924.566984388759</v>
      </c>
      <c r="E625" s="350">
        <v>47801.02105683853</v>
      </c>
      <c r="F625" s="350">
        <v>45620.333870025541</v>
      </c>
      <c r="G625" s="350">
        <v>43382.616810413718</v>
      </c>
      <c r="H625" s="348">
        <v>8269096.4928886136</v>
      </c>
      <c r="I625" s="369"/>
      <c r="J625" s="350">
        <v>10695660.213460667</v>
      </c>
      <c r="K625" s="350">
        <v>2695501.2966681588</v>
      </c>
      <c r="L625" s="350">
        <v>2723602.3868718632</v>
      </c>
      <c r="M625" s="350">
        <v>2749512.5990520311</v>
      </c>
      <c r="N625" s="350">
        <v>2773158.3221639488</v>
      </c>
      <c r="O625" s="348">
        <v>21637434.818216667</v>
      </c>
      <c r="P625" s="369"/>
      <c r="Q625" s="350">
        <f t="shared" si="261"/>
        <v>2613292.2592937201</v>
      </c>
      <c r="R625" s="350">
        <f t="shared" si="262"/>
        <v>2645576.7296837699</v>
      </c>
      <c r="S625" s="350">
        <f t="shared" si="263"/>
        <v>2675801.3658150248</v>
      </c>
      <c r="T625" s="350">
        <f t="shared" si="264"/>
        <v>2703892.2651820057</v>
      </c>
      <c r="U625" s="350">
        <f t="shared" si="265"/>
        <v>2729775.7053535352</v>
      </c>
      <c r="V625" s="350">
        <f t="shared" si="266"/>
        <v>13368338.325328052</v>
      </c>
      <c r="W625" s="365"/>
      <c r="X625" s="377">
        <f t="shared" si="244"/>
        <v>0</v>
      </c>
      <c r="Y625" s="377">
        <f t="shared" si="245"/>
        <v>0</v>
      </c>
      <c r="Z625" s="377">
        <f t="shared" si="246"/>
        <v>0</v>
      </c>
      <c r="AA625" s="377">
        <f t="shared" si="247"/>
        <v>0</v>
      </c>
      <c r="AB625" s="377">
        <f t="shared" si="248"/>
        <v>0</v>
      </c>
      <c r="AC625" s="377">
        <f t="shared" si="249"/>
        <v>0</v>
      </c>
      <c r="AD625" s="376"/>
      <c r="AE625" s="332">
        <v>610</v>
      </c>
      <c r="AF625" s="350">
        <v>7111033.7315149782</v>
      </c>
      <c r="AG625" s="350">
        <v>43924.661914733995</v>
      </c>
      <c r="AH625" s="350">
        <v>42056.322486630044</v>
      </c>
      <c r="AI625" s="350">
        <v>40137.709002158175</v>
      </c>
      <c r="AJ625" s="350">
        <v>38168.919461429163</v>
      </c>
      <c r="AK625" s="348">
        <v>7275321.3443799298</v>
      </c>
      <c r="AL625" s="369"/>
      <c r="AM625" s="350">
        <v>9067680.075476747</v>
      </c>
      <c r="AN625" s="350">
        <v>2024743.3083546455</v>
      </c>
      <c r="AO625" s="350">
        <v>2045505.014828786</v>
      </c>
      <c r="AP625" s="350">
        <v>2064618.8577599803</v>
      </c>
      <c r="AQ625" s="350">
        <v>2082029.737064431</v>
      </c>
      <c r="AR625" s="348">
        <v>17284576.99348459</v>
      </c>
      <c r="AS625" s="369"/>
      <c r="AT625" s="350">
        <f t="shared" si="267"/>
        <v>1956646.3439617688</v>
      </c>
      <c r="AU625" s="350">
        <f t="shared" si="250"/>
        <v>1980818.6464399116</v>
      </c>
      <c r="AV625" s="350">
        <f t="shared" si="251"/>
        <v>2003448.6923421561</v>
      </c>
      <c r="AW625" s="350">
        <f t="shared" si="252"/>
        <v>2024481.1487578221</v>
      </c>
      <c r="AX625" s="350">
        <f t="shared" si="253"/>
        <v>2043860.8176030018</v>
      </c>
      <c r="AY625" s="350">
        <f t="shared" si="254"/>
        <v>10009255.64910466</v>
      </c>
      <c r="AZ625" s="365"/>
      <c r="BA625" s="377">
        <f t="shared" si="255"/>
        <v>0</v>
      </c>
      <c r="BB625" s="377">
        <f t="shared" si="256"/>
        <v>0</v>
      </c>
      <c r="BC625" s="377">
        <f t="shared" si="257"/>
        <v>0</v>
      </c>
      <c r="BD625" s="377">
        <f t="shared" si="258"/>
        <v>0</v>
      </c>
      <c r="BE625" s="377">
        <f t="shared" si="259"/>
        <v>0</v>
      </c>
      <c r="BF625" s="377">
        <f t="shared" si="260"/>
        <v>0</v>
      </c>
      <c r="BG625" s="328"/>
    </row>
    <row r="626" spans="2:59">
      <c r="B626" s="332">
        <v>611</v>
      </c>
      <c r="C626" s="350">
        <v>5082026.3060427587</v>
      </c>
      <c r="D626" s="350">
        <v>31391.538243646188</v>
      </c>
      <c r="E626" s="350">
        <v>30056.296353264097</v>
      </c>
      <c r="F626" s="350">
        <v>28685.125217343568</v>
      </c>
      <c r="G626" s="350">
        <v>27278.094873399179</v>
      </c>
      <c r="H626" s="348">
        <v>5199437.3607304115</v>
      </c>
      <c r="I626" s="369"/>
      <c r="J626" s="350">
        <v>6594374.0432648826</v>
      </c>
      <c r="K626" s="350">
        <v>1562422.7371291819</v>
      </c>
      <c r="L626" s="350">
        <v>1578578.9028297076</v>
      </c>
      <c r="M626" s="350">
        <v>1593464.3168281503</v>
      </c>
      <c r="N626" s="350">
        <v>1607036.3849894451</v>
      </c>
      <c r="O626" s="348">
        <v>12935876.385041367</v>
      </c>
      <c r="P626" s="369"/>
      <c r="Q626" s="350">
        <f t="shared" si="261"/>
        <v>1512347.7372221239</v>
      </c>
      <c r="R626" s="350">
        <f t="shared" si="262"/>
        <v>1531031.1988855356</v>
      </c>
      <c r="S626" s="350">
        <f t="shared" si="263"/>
        <v>1548522.6064764436</v>
      </c>
      <c r="T626" s="350">
        <f t="shared" si="264"/>
        <v>1564779.1916108066</v>
      </c>
      <c r="U626" s="350">
        <f t="shared" si="265"/>
        <v>1579758.2901160459</v>
      </c>
      <c r="V626" s="350">
        <f t="shared" si="266"/>
        <v>7736439.0243109558</v>
      </c>
      <c r="W626" s="365"/>
      <c r="X626" s="377">
        <f t="shared" si="244"/>
        <v>0</v>
      </c>
      <c r="Y626" s="377">
        <f t="shared" si="245"/>
        <v>0</v>
      </c>
      <c r="Z626" s="377">
        <f t="shared" si="246"/>
        <v>0</v>
      </c>
      <c r="AA626" s="377">
        <f t="shared" si="247"/>
        <v>0</v>
      </c>
      <c r="AB626" s="377">
        <f t="shared" si="248"/>
        <v>0</v>
      </c>
      <c r="AC626" s="377">
        <f t="shared" si="249"/>
        <v>0</v>
      </c>
      <c r="AD626" s="376"/>
      <c r="AE626" s="332">
        <v>611</v>
      </c>
      <c r="AF626" s="350">
        <v>7113256.4204618717</v>
      </c>
      <c r="AG626" s="350">
        <v>43938.391403893511</v>
      </c>
      <c r="AH626" s="350">
        <v>42069.467990738311</v>
      </c>
      <c r="AI626" s="350">
        <v>40150.254807104233</v>
      </c>
      <c r="AJ626" s="350">
        <v>38180.849883729163</v>
      </c>
      <c r="AK626" s="348">
        <v>7277595.3845473379</v>
      </c>
      <c r="AL626" s="369"/>
      <c r="AM626" s="350">
        <v>8777943.6829864178</v>
      </c>
      <c r="AN626" s="350">
        <v>1729191.1097991075</v>
      </c>
      <c r="AO626" s="350">
        <v>1746575.5119959021</v>
      </c>
      <c r="AP626" s="350">
        <v>1762550.4176972744</v>
      </c>
      <c r="AQ626" s="350">
        <v>1777068.9631784651</v>
      </c>
      <c r="AR626" s="348">
        <v>15793329.685657168</v>
      </c>
      <c r="AS626" s="369"/>
      <c r="AT626" s="350">
        <f t="shared" si="267"/>
        <v>1664687.2625245461</v>
      </c>
      <c r="AU626" s="350">
        <f t="shared" si="250"/>
        <v>1685252.7183952141</v>
      </c>
      <c r="AV626" s="350">
        <f t="shared" si="251"/>
        <v>1704506.0440051637</v>
      </c>
      <c r="AW626" s="350">
        <f t="shared" si="252"/>
        <v>1722400.1628901702</v>
      </c>
      <c r="AX626" s="350">
        <f t="shared" si="253"/>
        <v>1738888.113294736</v>
      </c>
      <c r="AY626" s="350">
        <f t="shared" si="254"/>
        <v>8515734.3011098299</v>
      </c>
      <c r="AZ626" s="365"/>
      <c r="BA626" s="377">
        <f t="shared" si="255"/>
        <v>0</v>
      </c>
      <c r="BB626" s="377">
        <f t="shared" si="256"/>
        <v>0</v>
      </c>
      <c r="BC626" s="377">
        <f t="shared" si="257"/>
        <v>0</v>
      </c>
      <c r="BD626" s="377">
        <f t="shared" si="258"/>
        <v>0</v>
      </c>
      <c r="BE626" s="377">
        <f t="shared" si="259"/>
        <v>0</v>
      </c>
      <c r="BF626" s="377">
        <f t="shared" si="260"/>
        <v>0</v>
      </c>
      <c r="BG626" s="328"/>
    </row>
    <row r="627" spans="2:59">
      <c r="B627" s="332">
        <v>612</v>
      </c>
      <c r="C627" s="350">
        <v>6592108.4134443132</v>
      </c>
      <c r="D627" s="350">
        <v>40719.274341585253</v>
      </c>
      <c r="E627" s="350">
        <v>38987.276360952441</v>
      </c>
      <c r="F627" s="350">
        <v>37208.673056475578</v>
      </c>
      <c r="G627" s="350">
        <v>35383.555276732637</v>
      </c>
      <c r="H627" s="348">
        <v>6744407.1924800593</v>
      </c>
      <c r="I627" s="369"/>
      <c r="J627" s="350">
        <v>8783378.399415154</v>
      </c>
      <c r="K627" s="350">
        <v>2259060.0904987901</v>
      </c>
      <c r="L627" s="350">
        <v>2282671.7324251649</v>
      </c>
      <c r="M627" s="350">
        <v>2304447.6108067213</v>
      </c>
      <c r="N627" s="350">
        <v>2324325.9995444166</v>
      </c>
      <c r="O627" s="348">
        <v>17953883.832690246</v>
      </c>
      <c r="P627" s="369"/>
      <c r="Q627" s="350">
        <f t="shared" si="261"/>
        <v>2191269.9859708408</v>
      </c>
      <c r="R627" s="350">
        <f t="shared" si="262"/>
        <v>2218340.816157205</v>
      </c>
      <c r="S627" s="350">
        <f t="shared" si="263"/>
        <v>2243684.4560642126</v>
      </c>
      <c r="T627" s="350">
        <f t="shared" si="264"/>
        <v>2267238.9377502459</v>
      </c>
      <c r="U627" s="350">
        <f t="shared" si="265"/>
        <v>2288942.4442676841</v>
      </c>
      <c r="V627" s="350">
        <f t="shared" si="266"/>
        <v>11209476.640210187</v>
      </c>
      <c r="W627" s="365"/>
      <c r="X627" s="377">
        <f t="shared" si="244"/>
        <v>0</v>
      </c>
      <c r="Y627" s="377">
        <f t="shared" si="245"/>
        <v>0</v>
      </c>
      <c r="Z627" s="377">
        <f t="shared" si="246"/>
        <v>0</v>
      </c>
      <c r="AA627" s="377">
        <f t="shared" si="247"/>
        <v>0</v>
      </c>
      <c r="AB627" s="377">
        <f t="shared" si="248"/>
        <v>0</v>
      </c>
      <c r="AC627" s="377">
        <f t="shared" si="249"/>
        <v>0</v>
      </c>
      <c r="AD627" s="376"/>
      <c r="AE627" s="332">
        <v>612</v>
      </c>
      <c r="AF627" s="350">
        <v>5672377.844482528</v>
      </c>
      <c r="AG627" s="350">
        <v>35038.123636974538</v>
      </c>
      <c r="AH627" s="350">
        <v>33547.773910326912</v>
      </c>
      <c r="AI627" s="350">
        <v>32017.321231806385</v>
      </c>
      <c r="AJ627" s="350">
        <v>30446.843774812274</v>
      </c>
      <c r="AK627" s="348">
        <v>5803427.9070364488</v>
      </c>
      <c r="AL627" s="369"/>
      <c r="AM627" s="350">
        <v>7090624.8266880531</v>
      </c>
      <c r="AN627" s="350">
        <v>1470806.0518981731</v>
      </c>
      <c r="AO627" s="350">
        <v>1485718.7657129141</v>
      </c>
      <c r="AP627" s="350">
        <v>1499433.3867964158</v>
      </c>
      <c r="AQ627" s="350">
        <v>1511909.983784243</v>
      </c>
      <c r="AR627" s="348">
        <v>13058493.014879797</v>
      </c>
      <c r="AS627" s="369"/>
      <c r="AT627" s="350">
        <f t="shared" si="267"/>
        <v>1418246.982205525</v>
      </c>
      <c r="AU627" s="350">
        <f t="shared" si="250"/>
        <v>1435767.9282611986</v>
      </c>
      <c r="AV627" s="350">
        <f t="shared" si="251"/>
        <v>1452170.9918025872</v>
      </c>
      <c r="AW627" s="350">
        <f t="shared" si="252"/>
        <v>1467416.0655646094</v>
      </c>
      <c r="AX627" s="350">
        <f t="shared" si="253"/>
        <v>1481463.1400094307</v>
      </c>
      <c r="AY627" s="350">
        <f t="shared" si="254"/>
        <v>7255065.1078433478</v>
      </c>
      <c r="AZ627" s="365"/>
      <c r="BA627" s="377">
        <f t="shared" si="255"/>
        <v>0</v>
      </c>
      <c r="BB627" s="377">
        <f t="shared" si="256"/>
        <v>0</v>
      </c>
      <c r="BC627" s="377">
        <f t="shared" si="257"/>
        <v>0</v>
      </c>
      <c r="BD627" s="377">
        <f t="shared" si="258"/>
        <v>0</v>
      </c>
      <c r="BE627" s="377">
        <f t="shared" si="259"/>
        <v>0</v>
      </c>
      <c r="BF627" s="377">
        <f t="shared" si="260"/>
        <v>0</v>
      </c>
      <c r="BG627" s="328"/>
    </row>
    <row r="628" spans="2:59">
      <c r="B628" s="332">
        <v>613</v>
      </c>
      <c r="C628" s="350">
        <v>5970922.9541842472</v>
      </c>
      <c r="D628" s="350">
        <v>36882.228658138687</v>
      </c>
      <c r="E628" s="350">
        <v>35313.439759269233</v>
      </c>
      <c r="F628" s="350">
        <v>33702.437234579083</v>
      </c>
      <c r="G628" s="350">
        <v>32049.303371832932</v>
      </c>
      <c r="H628" s="348">
        <v>6108870.3632080667</v>
      </c>
      <c r="I628" s="369"/>
      <c r="J628" s="350">
        <v>7767512.9983595926</v>
      </c>
      <c r="K628" s="350">
        <v>1855667.2484922386</v>
      </c>
      <c r="L628" s="350">
        <v>1874877.3373362322</v>
      </c>
      <c r="M628" s="350">
        <v>1892578.3080342729</v>
      </c>
      <c r="N628" s="350">
        <v>1908719.5600676332</v>
      </c>
      <c r="O628" s="348">
        <v>15299355.452289971</v>
      </c>
      <c r="P628" s="369"/>
      <c r="Q628" s="350">
        <f t="shared" si="261"/>
        <v>1796590.0441753455</v>
      </c>
      <c r="R628" s="350">
        <f t="shared" si="262"/>
        <v>1818785.0198340998</v>
      </c>
      <c r="S628" s="350">
        <f t="shared" si="263"/>
        <v>1839563.8975769631</v>
      </c>
      <c r="T628" s="350">
        <f t="shared" si="264"/>
        <v>1858875.8707996937</v>
      </c>
      <c r="U628" s="350">
        <f t="shared" si="265"/>
        <v>1876670.2566958002</v>
      </c>
      <c r="V628" s="350">
        <f t="shared" si="266"/>
        <v>9190485.0890819039</v>
      </c>
      <c r="W628" s="365"/>
      <c r="X628" s="377">
        <f t="shared" si="244"/>
        <v>0</v>
      </c>
      <c r="Y628" s="377">
        <f t="shared" si="245"/>
        <v>0</v>
      </c>
      <c r="Z628" s="377">
        <f t="shared" si="246"/>
        <v>0</v>
      </c>
      <c r="AA628" s="377">
        <f t="shared" si="247"/>
        <v>0</v>
      </c>
      <c r="AB628" s="377">
        <f t="shared" si="248"/>
        <v>0</v>
      </c>
      <c r="AC628" s="377">
        <f t="shared" si="249"/>
        <v>0</v>
      </c>
      <c r="AD628" s="376"/>
      <c r="AE628" s="332">
        <v>613</v>
      </c>
      <c r="AF628" s="350">
        <v>4403891.7262799768</v>
      </c>
      <c r="AG628" s="350">
        <v>27202.71939206931</v>
      </c>
      <c r="AH628" s="350">
        <v>26045.649286657619</v>
      </c>
      <c r="AI628" s="350">
        <v>24857.444256389001</v>
      </c>
      <c r="AJ628" s="350">
        <v>23638.164993126495</v>
      </c>
      <c r="AK628" s="348">
        <v>4505635.7042082194</v>
      </c>
      <c r="AL628" s="369"/>
      <c r="AM628" s="350">
        <v>6202194.6757697817</v>
      </c>
      <c r="AN628" s="350">
        <v>1847721.8056796892</v>
      </c>
      <c r="AO628" s="350">
        <v>1867363.424319787</v>
      </c>
      <c r="AP628" s="350">
        <v>1885505.6049384249</v>
      </c>
      <c r="AQ628" s="350">
        <v>1902097.677098976</v>
      </c>
      <c r="AR628" s="348">
        <v>13704883.18780666</v>
      </c>
      <c r="AS628" s="369"/>
      <c r="AT628" s="350">
        <f t="shared" si="267"/>
        <v>1798302.9494898049</v>
      </c>
      <c r="AU628" s="350">
        <f t="shared" si="250"/>
        <v>1820519.0862876198</v>
      </c>
      <c r="AV628" s="350">
        <f t="shared" si="251"/>
        <v>1841317.7750331294</v>
      </c>
      <c r="AW628" s="350">
        <f t="shared" si="252"/>
        <v>1860648.1606820358</v>
      </c>
      <c r="AX628" s="350">
        <f t="shared" si="253"/>
        <v>1878459.5121058496</v>
      </c>
      <c r="AY628" s="350">
        <f t="shared" si="254"/>
        <v>9199247.4835984409</v>
      </c>
      <c r="AZ628" s="365"/>
      <c r="BA628" s="377">
        <f t="shared" si="255"/>
        <v>0</v>
      </c>
      <c r="BB628" s="377">
        <f t="shared" si="256"/>
        <v>0</v>
      </c>
      <c r="BC628" s="377">
        <f t="shared" si="257"/>
        <v>0</v>
      </c>
      <c r="BD628" s="377">
        <f t="shared" si="258"/>
        <v>0</v>
      </c>
      <c r="BE628" s="377">
        <f t="shared" si="259"/>
        <v>0</v>
      </c>
      <c r="BF628" s="377">
        <f t="shared" si="260"/>
        <v>0</v>
      </c>
      <c r="BG628" s="328"/>
    </row>
    <row r="629" spans="2:59">
      <c r="B629" s="332">
        <v>614</v>
      </c>
      <c r="C629" s="350">
        <v>7460110.296739446</v>
      </c>
      <c r="D629" s="350">
        <v>46080.898362029722</v>
      </c>
      <c r="E629" s="350">
        <v>44120.843223543459</v>
      </c>
      <c r="F629" s="350">
        <v>42108.046104113324</v>
      </c>
      <c r="G629" s="350">
        <v>40042.609814616393</v>
      </c>
      <c r="H629" s="348">
        <v>7632462.6942437496</v>
      </c>
      <c r="I629" s="369"/>
      <c r="J629" s="350">
        <v>10230422.176192835</v>
      </c>
      <c r="K629" s="350">
        <v>2850617.0600499604</v>
      </c>
      <c r="L629" s="350">
        <v>2880697.6877814448</v>
      </c>
      <c r="M629" s="350">
        <v>2908463.6312311627</v>
      </c>
      <c r="N629" s="350">
        <v>2933836.8411678225</v>
      </c>
      <c r="O629" s="348">
        <v>21804037.396423224</v>
      </c>
      <c r="P629" s="369"/>
      <c r="Q629" s="350">
        <f t="shared" si="261"/>
        <v>2770311.879453389</v>
      </c>
      <c r="R629" s="350">
        <f t="shared" si="262"/>
        <v>2804536.1616879306</v>
      </c>
      <c r="S629" s="350">
        <f t="shared" si="263"/>
        <v>2836576.8445579014</v>
      </c>
      <c r="T629" s="350">
        <f t="shared" si="264"/>
        <v>2866355.5851270496</v>
      </c>
      <c r="U629" s="350">
        <f t="shared" si="265"/>
        <v>2893794.2313532061</v>
      </c>
      <c r="V629" s="350">
        <f t="shared" si="266"/>
        <v>14171574.702179475</v>
      </c>
      <c r="W629" s="365"/>
      <c r="X629" s="377">
        <f t="shared" si="244"/>
        <v>0</v>
      </c>
      <c r="Y629" s="377">
        <f t="shared" si="245"/>
        <v>0</v>
      </c>
      <c r="Z629" s="377">
        <f t="shared" si="246"/>
        <v>0</v>
      </c>
      <c r="AA629" s="377">
        <f t="shared" si="247"/>
        <v>0</v>
      </c>
      <c r="AB629" s="377">
        <f t="shared" si="248"/>
        <v>0</v>
      </c>
      <c r="AC629" s="377">
        <f t="shared" si="249"/>
        <v>0</v>
      </c>
      <c r="AD629" s="376"/>
      <c r="AE629" s="332">
        <v>614</v>
      </c>
      <c r="AF629" s="350">
        <v>5637715.9300615201</v>
      </c>
      <c r="AG629" s="350">
        <v>34824.017934520991</v>
      </c>
      <c r="AH629" s="350">
        <v>33342.775213100373</v>
      </c>
      <c r="AI629" s="350">
        <v>31821.674594900993</v>
      </c>
      <c r="AJ629" s="350">
        <v>30260.793775632636</v>
      </c>
      <c r="AK629" s="348">
        <v>5767965.1915796744</v>
      </c>
      <c r="AL629" s="369"/>
      <c r="AM629" s="350">
        <v>7417358.3975630403</v>
      </c>
      <c r="AN629" s="350">
        <v>1836452.0916546332</v>
      </c>
      <c r="AO629" s="350">
        <v>1855553.7155577447</v>
      </c>
      <c r="AP629" s="350">
        <v>1873162.4146341621</v>
      </c>
      <c r="AQ629" s="350">
        <v>1889228.0618736986</v>
      </c>
      <c r="AR629" s="348">
        <v>14871754.681283278</v>
      </c>
      <c r="AS629" s="369"/>
      <c r="AT629" s="350">
        <f t="shared" si="267"/>
        <v>1779642.4675015202</v>
      </c>
      <c r="AU629" s="350">
        <f t="shared" si="250"/>
        <v>1801628.0737201122</v>
      </c>
      <c r="AV629" s="350">
        <f t="shared" si="251"/>
        <v>1822210.9403446442</v>
      </c>
      <c r="AW629" s="350">
        <f t="shared" si="252"/>
        <v>1841340.7400392611</v>
      </c>
      <c r="AX629" s="350">
        <f t="shared" si="253"/>
        <v>1858967.2680980659</v>
      </c>
      <c r="AY629" s="350">
        <f t="shared" si="254"/>
        <v>9103789.4897036031</v>
      </c>
      <c r="AZ629" s="365"/>
      <c r="BA629" s="377">
        <f t="shared" si="255"/>
        <v>0</v>
      </c>
      <c r="BB629" s="377">
        <f t="shared" si="256"/>
        <v>0</v>
      </c>
      <c r="BC629" s="377">
        <f t="shared" si="257"/>
        <v>0</v>
      </c>
      <c r="BD629" s="377">
        <f t="shared" si="258"/>
        <v>0</v>
      </c>
      <c r="BE629" s="377">
        <f t="shared" si="259"/>
        <v>0</v>
      </c>
      <c r="BF629" s="377">
        <f t="shared" si="260"/>
        <v>0</v>
      </c>
      <c r="BG629" s="328"/>
    </row>
    <row r="630" spans="2:59">
      <c r="B630" s="332">
        <v>615</v>
      </c>
      <c r="C630" s="350">
        <v>3957167.3334590816</v>
      </c>
      <c r="D630" s="350">
        <v>24443.314970070685</v>
      </c>
      <c r="E630" s="350">
        <v>23403.616378859781</v>
      </c>
      <c r="F630" s="350">
        <v>22335.941144437227</v>
      </c>
      <c r="G630" s="350">
        <v>21240.343802170304</v>
      </c>
      <c r="H630" s="348">
        <v>4048590.5497546191</v>
      </c>
      <c r="I630" s="369"/>
      <c r="J630" s="350">
        <v>6109931.1393373907</v>
      </c>
      <c r="K630" s="350">
        <v>2203802.2477808837</v>
      </c>
      <c r="L630" s="350">
        <v>2227660.8369635767</v>
      </c>
      <c r="M630" s="350">
        <v>2249733.731336988</v>
      </c>
      <c r="N630" s="350">
        <v>2269960.2547696698</v>
      </c>
      <c r="O630" s="348">
        <v>15061088.21018851</v>
      </c>
      <c r="P630" s="369"/>
      <c r="Q630" s="350">
        <f t="shared" si="261"/>
        <v>2152763.8058783091</v>
      </c>
      <c r="R630" s="350">
        <f t="shared" si="262"/>
        <v>2179358.9328108132</v>
      </c>
      <c r="S630" s="350">
        <f t="shared" si="263"/>
        <v>2204257.2205847171</v>
      </c>
      <c r="T630" s="350">
        <f t="shared" si="264"/>
        <v>2227397.790192551</v>
      </c>
      <c r="U630" s="350">
        <f t="shared" si="265"/>
        <v>2248719.9109674995</v>
      </c>
      <c r="V630" s="350">
        <f t="shared" si="266"/>
        <v>11012497.66043389</v>
      </c>
      <c r="W630" s="365"/>
      <c r="X630" s="377">
        <f t="shared" si="244"/>
        <v>0</v>
      </c>
      <c r="Y630" s="377">
        <f t="shared" si="245"/>
        <v>0</v>
      </c>
      <c r="Z630" s="377">
        <f t="shared" si="246"/>
        <v>0</v>
      </c>
      <c r="AA630" s="377">
        <f t="shared" si="247"/>
        <v>0</v>
      </c>
      <c r="AB630" s="377">
        <f t="shared" si="248"/>
        <v>0</v>
      </c>
      <c r="AC630" s="377">
        <f t="shared" si="249"/>
        <v>0</v>
      </c>
      <c r="AD630" s="376"/>
      <c r="AE630" s="332">
        <v>615</v>
      </c>
      <c r="AF630" s="350">
        <v>4782006.320434764</v>
      </c>
      <c r="AG630" s="350">
        <v>29538.322954132724</v>
      </c>
      <c r="AH630" s="350">
        <v>28281.907742048326</v>
      </c>
      <c r="AI630" s="350">
        <v>26991.684385556349</v>
      </c>
      <c r="AJ630" s="350">
        <v>25667.71878746746</v>
      </c>
      <c r="AK630" s="348">
        <v>4892485.9543039696</v>
      </c>
      <c r="AL630" s="369"/>
      <c r="AM630" s="350">
        <v>6887891.2579823425</v>
      </c>
      <c r="AN630" s="350">
        <v>2161439.248445394</v>
      </c>
      <c r="AO630" s="350">
        <v>2184538.9326115195</v>
      </c>
      <c r="AP630" s="350">
        <v>2205885.3667695913</v>
      </c>
      <c r="AQ630" s="350">
        <v>2225419.208634594</v>
      </c>
      <c r="AR630" s="348">
        <v>15665174.014443442</v>
      </c>
      <c r="AS630" s="369"/>
      <c r="AT630" s="350">
        <f t="shared" si="267"/>
        <v>2105884.9375475785</v>
      </c>
      <c r="AU630" s="350">
        <f t="shared" si="250"/>
        <v>2131900.9254912613</v>
      </c>
      <c r="AV630" s="350">
        <f t="shared" si="251"/>
        <v>2156257.0248694713</v>
      </c>
      <c r="AW630" s="350">
        <f t="shared" si="252"/>
        <v>2178893.6823840351</v>
      </c>
      <c r="AX630" s="350">
        <f t="shared" si="253"/>
        <v>2199751.4898471264</v>
      </c>
      <c r="AY630" s="350">
        <f t="shared" si="254"/>
        <v>10772688.060139474</v>
      </c>
      <c r="AZ630" s="365"/>
      <c r="BA630" s="377">
        <f t="shared" si="255"/>
        <v>0</v>
      </c>
      <c r="BB630" s="377">
        <f t="shared" si="256"/>
        <v>0</v>
      </c>
      <c r="BC630" s="377">
        <f t="shared" si="257"/>
        <v>0</v>
      </c>
      <c r="BD630" s="377">
        <f t="shared" si="258"/>
        <v>0</v>
      </c>
      <c r="BE630" s="377">
        <f t="shared" si="259"/>
        <v>0</v>
      </c>
      <c r="BF630" s="377">
        <f t="shared" si="260"/>
        <v>0</v>
      </c>
      <c r="BG630" s="328"/>
    </row>
    <row r="631" spans="2:59">
      <c r="B631" s="332">
        <v>616</v>
      </c>
      <c r="C631" s="350">
        <v>4563577.1992125493</v>
      </c>
      <c r="D631" s="350">
        <v>28189.092214374057</v>
      </c>
      <c r="E631" s="350">
        <v>26990.066652633071</v>
      </c>
      <c r="F631" s="350">
        <v>25758.777211123306</v>
      </c>
      <c r="G631" s="350">
        <v>24495.286782397801</v>
      </c>
      <c r="H631" s="348">
        <v>4669010.4220730774</v>
      </c>
      <c r="I631" s="369"/>
      <c r="J631" s="350">
        <v>5615935.0259326985</v>
      </c>
      <c r="K631" s="350">
        <v>1093547.6902702411</v>
      </c>
      <c r="L631" s="350">
        <v>1104519.9525846965</v>
      </c>
      <c r="M631" s="350">
        <v>1114600.70744413</v>
      </c>
      <c r="N631" s="350">
        <v>1123760.3301402726</v>
      </c>
      <c r="O631" s="348">
        <v>10052363.706372038</v>
      </c>
      <c r="P631" s="369"/>
      <c r="Q631" s="350">
        <f t="shared" si="261"/>
        <v>1052357.8267201493</v>
      </c>
      <c r="R631" s="350">
        <f t="shared" si="262"/>
        <v>1065358.598055867</v>
      </c>
      <c r="S631" s="350">
        <f t="shared" si="263"/>
        <v>1077529.8859320635</v>
      </c>
      <c r="T631" s="350">
        <f t="shared" si="264"/>
        <v>1088841.9302330066</v>
      </c>
      <c r="U631" s="350">
        <f t="shared" si="265"/>
        <v>1099265.0433578747</v>
      </c>
      <c r="V631" s="350">
        <f t="shared" si="266"/>
        <v>5383353.2842989601</v>
      </c>
      <c r="W631" s="365"/>
      <c r="X631" s="377">
        <f t="shared" si="244"/>
        <v>0</v>
      </c>
      <c r="Y631" s="377">
        <f t="shared" si="245"/>
        <v>0</v>
      </c>
      <c r="Z631" s="377">
        <f t="shared" si="246"/>
        <v>0</v>
      </c>
      <c r="AA631" s="377">
        <f t="shared" si="247"/>
        <v>0</v>
      </c>
      <c r="AB631" s="377">
        <f t="shared" si="248"/>
        <v>0</v>
      </c>
      <c r="AC631" s="377">
        <f t="shared" si="249"/>
        <v>0</v>
      </c>
      <c r="AD631" s="376"/>
      <c r="AE631" s="332">
        <v>616</v>
      </c>
      <c r="AF631" s="350">
        <v>4691816.8038679594</v>
      </c>
      <c r="AG631" s="350">
        <v>28981.224763767492</v>
      </c>
      <c r="AH631" s="350">
        <v>27748.50577310162</v>
      </c>
      <c r="AI631" s="350">
        <v>26482.616265829933</v>
      </c>
      <c r="AJ631" s="350">
        <v>25183.620901833267</v>
      </c>
      <c r="AK631" s="348">
        <v>4800212.7715724921</v>
      </c>
      <c r="AL631" s="369"/>
      <c r="AM631" s="350">
        <v>6709961.9295055363</v>
      </c>
      <c r="AN631" s="350">
        <v>2072058.4054823462</v>
      </c>
      <c r="AO631" s="350">
        <v>2094167.0107792877</v>
      </c>
      <c r="AP631" s="350">
        <v>2114594.6427029325</v>
      </c>
      <c r="AQ631" s="350">
        <v>2133284.4329143516</v>
      </c>
      <c r="AR631" s="348">
        <v>15124066.421384456</v>
      </c>
      <c r="AS631" s="369"/>
      <c r="AT631" s="350">
        <f t="shared" si="267"/>
        <v>2018145.1256375769</v>
      </c>
      <c r="AU631" s="350">
        <f t="shared" si="250"/>
        <v>2043077.1807185786</v>
      </c>
      <c r="AV631" s="350">
        <f t="shared" si="251"/>
        <v>2066418.505006186</v>
      </c>
      <c r="AW631" s="350">
        <f t="shared" si="252"/>
        <v>2088112.0264371026</v>
      </c>
      <c r="AX631" s="350">
        <f t="shared" si="253"/>
        <v>2108100.8120125183</v>
      </c>
      <c r="AY631" s="350">
        <f t="shared" si="254"/>
        <v>10323853.649811964</v>
      </c>
      <c r="AZ631" s="365"/>
      <c r="BA631" s="377">
        <f t="shared" si="255"/>
        <v>0</v>
      </c>
      <c r="BB631" s="377">
        <f t="shared" si="256"/>
        <v>0</v>
      </c>
      <c r="BC631" s="377">
        <f t="shared" si="257"/>
        <v>0</v>
      </c>
      <c r="BD631" s="377">
        <f t="shared" si="258"/>
        <v>0</v>
      </c>
      <c r="BE631" s="377">
        <f t="shared" si="259"/>
        <v>0</v>
      </c>
      <c r="BF631" s="377">
        <f t="shared" si="260"/>
        <v>0</v>
      </c>
      <c r="BG631" s="328"/>
    </row>
    <row r="632" spans="2:59">
      <c r="B632" s="332">
        <v>617</v>
      </c>
      <c r="C632" s="350">
        <v>5684556.3060975671</v>
      </c>
      <c r="D632" s="350">
        <v>35113.349663074048</v>
      </c>
      <c r="E632" s="350">
        <v>33619.800190669339</v>
      </c>
      <c r="F632" s="350">
        <v>32086.061666299618</v>
      </c>
      <c r="G632" s="350">
        <v>30512.212431198921</v>
      </c>
      <c r="H632" s="348">
        <v>5815887.7300488092</v>
      </c>
      <c r="I632" s="369"/>
      <c r="J632" s="350">
        <v>7954717.2611280028</v>
      </c>
      <c r="K632" s="350">
        <v>2333319.7496194164</v>
      </c>
      <c r="L632" s="350">
        <v>2358082.2718057269</v>
      </c>
      <c r="M632" s="350">
        <v>2380951.0327369059</v>
      </c>
      <c r="N632" s="350">
        <v>2401862.0682483586</v>
      </c>
      <c r="O632" s="348">
        <v>17428932.38353841</v>
      </c>
      <c r="P632" s="369"/>
      <c r="Q632" s="350">
        <f t="shared" si="261"/>
        <v>2270160.9550304357</v>
      </c>
      <c r="R632" s="350">
        <f t="shared" si="262"/>
        <v>2298206.3999563423</v>
      </c>
      <c r="S632" s="350">
        <f t="shared" si="263"/>
        <v>2324462.4716150574</v>
      </c>
      <c r="T632" s="350">
        <f t="shared" si="264"/>
        <v>2348864.9710706063</v>
      </c>
      <c r="U632" s="350">
        <f t="shared" si="265"/>
        <v>2371349.8558171596</v>
      </c>
      <c r="V632" s="350">
        <f t="shared" si="266"/>
        <v>11613044.653489601</v>
      </c>
      <c r="W632" s="365"/>
      <c r="X632" s="377">
        <f t="shared" si="244"/>
        <v>0</v>
      </c>
      <c r="Y632" s="377">
        <f t="shared" si="245"/>
        <v>0</v>
      </c>
      <c r="Z632" s="377">
        <f t="shared" si="246"/>
        <v>0</v>
      </c>
      <c r="AA632" s="377">
        <f t="shared" si="247"/>
        <v>0</v>
      </c>
      <c r="AB632" s="377">
        <f t="shared" si="248"/>
        <v>0</v>
      </c>
      <c r="AC632" s="377">
        <f t="shared" si="249"/>
        <v>0</v>
      </c>
      <c r="AD632" s="376"/>
      <c r="AE632" s="332">
        <v>617</v>
      </c>
      <c r="AF632" s="350">
        <v>5319582.0110998191</v>
      </c>
      <c r="AG632" s="350">
        <v>32858.913371443989</v>
      </c>
      <c r="AH632" s="350">
        <v>31461.256548592115</v>
      </c>
      <c r="AI632" s="350">
        <v>30025.990993175685</v>
      </c>
      <c r="AJ632" s="350">
        <v>28553.190016563552</v>
      </c>
      <c r="AK632" s="348">
        <v>5442481.3620295944</v>
      </c>
      <c r="AL632" s="369"/>
      <c r="AM632" s="350">
        <v>7981530.2981699388</v>
      </c>
      <c r="AN632" s="350">
        <v>2727692.7647515382</v>
      </c>
      <c r="AO632" s="350">
        <v>2757082.4866042947</v>
      </c>
      <c r="AP632" s="350">
        <v>2784261.1356182327</v>
      </c>
      <c r="AQ632" s="350">
        <v>2809153.6900598956</v>
      </c>
      <c r="AR632" s="348">
        <v>19059720.3752039</v>
      </c>
      <c r="AS632" s="369"/>
      <c r="AT632" s="350">
        <f t="shared" si="267"/>
        <v>2661948.2870701198</v>
      </c>
      <c r="AU632" s="350">
        <f t="shared" si="250"/>
        <v>2694833.851380094</v>
      </c>
      <c r="AV632" s="350">
        <f t="shared" si="251"/>
        <v>2725621.2300557029</v>
      </c>
      <c r="AW632" s="350">
        <f t="shared" si="252"/>
        <v>2754235.144625057</v>
      </c>
      <c r="AX632" s="350">
        <f t="shared" si="253"/>
        <v>2780600.5000433321</v>
      </c>
      <c r="AY632" s="350">
        <f t="shared" si="254"/>
        <v>13617239.013174307</v>
      </c>
      <c r="AZ632" s="365"/>
      <c r="BA632" s="377">
        <f t="shared" si="255"/>
        <v>0</v>
      </c>
      <c r="BB632" s="377">
        <f t="shared" si="256"/>
        <v>0</v>
      </c>
      <c r="BC632" s="377">
        <f t="shared" si="257"/>
        <v>0</v>
      </c>
      <c r="BD632" s="377">
        <f t="shared" si="258"/>
        <v>0</v>
      </c>
      <c r="BE632" s="377">
        <f t="shared" si="259"/>
        <v>0</v>
      </c>
      <c r="BF632" s="377">
        <f t="shared" si="260"/>
        <v>0</v>
      </c>
      <c r="BG632" s="328"/>
    </row>
    <row r="633" spans="2:59">
      <c r="B633" s="332">
        <v>618</v>
      </c>
      <c r="C633" s="350">
        <v>6888578.2667631535</v>
      </c>
      <c r="D633" s="350">
        <v>42550.560560522557</v>
      </c>
      <c r="E633" s="350">
        <v>40740.668656576316</v>
      </c>
      <c r="F633" s="350">
        <v>38882.075426609015</v>
      </c>
      <c r="G633" s="350">
        <v>36974.875804987147</v>
      </c>
      <c r="H633" s="348">
        <v>7047726.4472118486</v>
      </c>
      <c r="I633" s="369"/>
      <c r="J633" s="350">
        <v>9198319.955470955</v>
      </c>
      <c r="K633" s="350">
        <v>2380826.6724246144</v>
      </c>
      <c r="L633" s="350">
        <v>2405730.6323105418</v>
      </c>
      <c r="M633" s="350">
        <v>2428700.0012460956</v>
      </c>
      <c r="N633" s="350">
        <v>2449669.7150652716</v>
      </c>
      <c r="O633" s="348">
        <v>18863246.976517476</v>
      </c>
      <c r="P633" s="369"/>
      <c r="Q633" s="350">
        <f t="shared" si="261"/>
        <v>2309741.6887078015</v>
      </c>
      <c r="R633" s="350">
        <f t="shared" si="262"/>
        <v>2338276.1118640918</v>
      </c>
      <c r="S633" s="350">
        <f t="shared" si="263"/>
        <v>2364989.9636539654</v>
      </c>
      <c r="T633" s="350">
        <f t="shared" si="264"/>
        <v>2389817.9258194868</v>
      </c>
      <c r="U633" s="350">
        <f t="shared" si="265"/>
        <v>2412694.8392602843</v>
      </c>
      <c r="V633" s="350">
        <f t="shared" si="266"/>
        <v>11815520.529305628</v>
      </c>
      <c r="W633" s="365"/>
      <c r="X633" s="377">
        <f t="shared" si="244"/>
        <v>0</v>
      </c>
      <c r="Y633" s="377">
        <f t="shared" si="245"/>
        <v>0</v>
      </c>
      <c r="Z633" s="377">
        <f t="shared" si="246"/>
        <v>0</v>
      </c>
      <c r="AA633" s="377">
        <f t="shared" si="247"/>
        <v>0</v>
      </c>
      <c r="AB633" s="377">
        <f t="shared" si="248"/>
        <v>0</v>
      </c>
      <c r="AC633" s="377">
        <f t="shared" si="249"/>
        <v>0</v>
      </c>
      <c r="AD633" s="376"/>
      <c r="AE633" s="332">
        <v>618</v>
      </c>
      <c r="AF633" s="350">
        <v>6921907.324723253</v>
      </c>
      <c r="AG633" s="350">
        <v>42756.433244875174</v>
      </c>
      <c r="AH633" s="350">
        <v>40937.784527862554</v>
      </c>
      <c r="AI633" s="350">
        <v>39070.198852856061</v>
      </c>
      <c r="AJ633" s="350">
        <v>37153.771613533201</v>
      </c>
      <c r="AK633" s="348">
        <v>7081825.5129623804</v>
      </c>
      <c r="AL633" s="369"/>
      <c r="AM633" s="350">
        <v>8881715.1077790335</v>
      </c>
      <c r="AN633" s="350">
        <v>2026775.5750253575</v>
      </c>
      <c r="AO633" s="350">
        <v>2047623.5365657369</v>
      </c>
      <c r="AP633" s="350">
        <v>2066822.3903663198</v>
      </c>
      <c r="AQ633" s="350">
        <v>2084316.9445509196</v>
      </c>
      <c r="AR633" s="348">
        <v>17107253.554287367</v>
      </c>
      <c r="AS633" s="369"/>
      <c r="AT633" s="350">
        <f t="shared" si="267"/>
        <v>1959807.7830557805</v>
      </c>
      <c r="AU633" s="350">
        <f t="shared" si="250"/>
        <v>1984019.1417804824</v>
      </c>
      <c r="AV633" s="350">
        <f t="shared" si="251"/>
        <v>2006685.7520378744</v>
      </c>
      <c r="AW633" s="350">
        <f t="shared" si="252"/>
        <v>2027752.1915134639</v>
      </c>
      <c r="AX633" s="350">
        <f t="shared" si="253"/>
        <v>2047163.1729373864</v>
      </c>
      <c r="AY633" s="350">
        <f t="shared" si="254"/>
        <v>10025428.041324986</v>
      </c>
      <c r="AZ633" s="365"/>
      <c r="BA633" s="377">
        <f t="shared" si="255"/>
        <v>0</v>
      </c>
      <c r="BB633" s="377">
        <f t="shared" si="256"/>
        <v>0</v>
      </c>
      <c r="BC633" s="377">
        <f t="shared" si="257"/>
        <v>0</v>
      </c>
      <c r="BD633" s="377">
        <f t="shared" si="258"/>
        <v>0</v>
      </c>
      <c r="BE633" s="377">
        <f t="shared" si="259"/>
        <v>0</v>
      </c>
      <c r="BF633" s="377">
        <f t="shared" si="260"/>
        <v>0</v>
      </c>
      <c r="BG633" s="328"/>
    </row>
    <row r="634" spans="2:59">
      <c r="B634" s="332">
        <v>619</v>
      </c>
      <c r="C634" s="350">
        <v>6294303.7948706523</v>
      </c>
      <c r="D634" s="350">
        <v>38879.743313975225</v>
      </c>
      <c r="E634" s="350">
        <v>37225.989950338822</v>
      </c>
      <c r="F634" s="350">
        <v>35527.736701633112</v>
      </c>
      <c r="G634" s="350">
        <v>33785.070312275122</v>
      </c>
      <c r="H634" s="348">
        <v>6439722.3351488747</v>
      </c>
      <c r="I634" s="369"/>
      <c r="J634" s="350">
        <v>8841055.3311087713</v>
      </c>
      <c r="K634" s="350">
        <v>2617093.7094697924</v>
      </c>
      <c r="L634" s="350">
        <v>2644895.0001127217</v>
      </c>
      <c r="M634" s="350">
        <v>2670572.3841899754</v>
      </c>
      <c r="N634" s="350">
        <v>2694054.1031656861</v>
      </c>
      <c r="O634" s="348">
        <v>19467670.528046947</v>
      </c>
      <c r="P634" s="369"/>
      <c r="Q634" s="350">
        <f t="shared" si="261"/>
        <v>2546751.536238119</v>
      </c>
      <c r="R634" s="350">
        <f t="shared" si="262"/>
        <v>2578213.9661558173</v>
      </c>
      <c r="S634" s="350">
        <f t="shared" si="263"/>
        <v>2607669.0101623829</v>
      </c>
      <c r="T634" s="350">
        <f t="shared" si="264"/>
        <v>2635044.6474883421</v>
      </c>
      <c r="U634" s="350">
        <f t="shared" si="265"/>
        <v>2660269.032853411</v>
      </c>
      <c r="V634" s="350">
        <f t="shared" si="266"/>
        <v>13027948.192898072</v>
      </c>
      <c r="W634" s="365"/>
      <c r="X634" s="377">
        <f t="shared" si="244"/>
        <v>0</v>
      </c>
      <c r="Y634" s="377">
        <f t="shared" si="245"/>
        <v>0</v>
      </c>
      <c r="Z634" s="377">
        <f t="shared" si="246"/>
        <v>0</v>
      </c>
      <c r="AA634" s="377">
        <f t="shared" si="247"/>
        <v>0</v>
      </c>
      <c r="AB634" s="377">
        <f t="shared" si="248"/>
        <v>0</v>
      </c>
      <c r="AC634" s="377">
        <f t="shared" si="249"/>
        <v>0</v>
      </c>
      <c r="AD634" s="376"/>
      <c r="AE634" s="332">
        <v>619</v>
      </c>
      <c r="AF634" s="350">
        <v>6541832.4419674054</v>
      </c>
      <c r="AG634" s="350">
        <v>40408.72103345114</v>
      </c>
      <c r="AH634" s="350">
        <v>38689.932465594356</v>
      </c>
      <c r="AI634" s="350">
        <v>36924.894018274477</v>
      </c>
      <c r="AJ634" s="350">
        <v>35113.695847203569</v>
      </c>
      <c r="AK634" s="348">
        <v>6692969.6853319295</v>
      </c>
      <c r="AL634" s="369"/>
      <c r="AM634" s="350">
        <v>8347956.0713829342</v>
      </c>
      <c r="AN634" s="350">
        <v>1868845.1035010968</v>
      </c>
      <c r="AO634" s="350">
        <v>1888015.4555615098</v>
      </c>
      <c r="AP634" s="350">
        <v>1905664.8691096737</v>
      </c>
      <c r="AQ634" s="350">
        <v>1921742.482547069</v>
      </c>
      <c r="AR634" s="348">
        <v>15932223.982102282</v>
      </c>
      <c r="AS634" s="369"/>
      <c r="AT634" s="350">
        <f t="shared" si="267"/>
        <v>1806123.6294155288</v>
      </c>
      <c r="AU634" s="350">
        <f t="shared" si="250"/>
        <v>1828436.3824676457</v>
      </c>
      <c r="AV634" s="350">
        <f t="shared" si="251"/>
        <v>1849325.5230959156</v>
      </c>
      <c r="AW634" s="350">
        <f t="shared" si="252"/>
        <v>1868739.9750913992</v>
      </c>
      <c r="AX634" s="350">
        <f t="shared" si="253"/>
        <v>1886628.7866998655</v>
      </c>
      <c r="AY634" s="350">
        <f t="shared" si="254"/>
        <v>9239254.2967703529</v>
      </c>
      <c r="AZ634" s="365"/>
      <c r="BA634" s="377">
        <f t="shared" si="255"/>
        <v>0</v>
      </c>
      <c r="BB634" s="377">
        <f t="shared" si="256"/>
        <v>0</v>
      </c>
      <c r="BC634" s="377">
        <f t="shared" si="257"/>
        <v>0</v>
      </c>
      <c r="BD634" s="377">
        <f t="shared" si="258"/>
        <v>0</v>
      </c>
      <c r="BE634" s="377">
        <f t="shared" si="259"/>
        <v>0</v>
      </c>
      <c r="BF634" s="377">
        <f t="shared" si="260"/>
        <v>0</v>
      </c>
      <c r="BG634" s="328"/>
    </row>
    <row r="635" spans="2:59">
      <c r="B635" s="332">
        <v>620</v>
      </c>
      <c r="C635" s="350">
        <v>7468274.4248819025</v>
      </c>
      <c r="D635" s="350">
        <v>46131.327959473165</v>
      </c>
      <c r="E635" s="350">
        <v>44169.1277935424</v>
      </c>
      <c r="F635" s="350">
        <v>42154.127927375732</v>
      </c>
      <c r="G635" s="350">
        <v>40086.431284365317</v>
      </c>
      <c r="H635" s="348">
        <v>7640815.4398466591</v>
      </c>
      <c r="I635" s="369"/>
      <c r="J635" s="350">
        <v>10062526.951893819</v>
      </c>
      <c r="K635" s="350">
        <v>2672433.1095447205</v>
      </c>
      <c r="L635" s="350">
        <v>2700475.337082074</v>
      </c>
      <c r="M635" s="350">
        <v>2726346.5739770862</v>
      </c>
      <c r="N635" s="350">
        <v>2749973.7378434427</v>
      </c>
      <c r="O635" s="348">
        <v>20911755.710341144</v>
      </c>
      <c r="P635" s="369"/>
      <c r="Q635" s="350">
        <f t="shared" si="261"/>
        <v>2594252.527011917</v>
      </c>
      <c r="R635" s="350">
        <f t="shared" si="262"/>
        <v>2626301.7815852473</v>
      </c>
      <c r="S635" s="350">
        <f t="shared" si="263"/>
        <v>2656306.2092885314</v>
      </c>
      <c r="T635" s="350">
        <f t="shared" si="264"/>
        <v>2684192.4460497103</v>
      </c>
      <c r="U635" s="350">
        <f t="shared" si="265"/>
        <v>2709887.3065590775</v>
      </c>
      <c r="V635" s="350">
        <f t="shared" si="266"/>
        <v>13270940.270494485</v>
      </c>
      <c r="W635" s="365"/>
      <c r="X635" s="377">
        <f t="shared" si="244"/>
        <v>0</v>
      </c>
      <c r="Y635" s="377">
        <f t="shared" si="245"/>
        <v>0</v>
      </c>
      <c r="Z635" s="377">
        <f t="shared" si="246"/>
        <v>0</v>
      </c>
      <c r="AA635" s="377">
        <f t="shared" si="247"/>
        <v>0</v>
      </c>
      <c r="AB635" s="377">
        <f t="shared" si="248"/>
        <v>0</v>
      </c>
      <c r="AC635" s="377">
        <f t="shared" si="249"/>
        <v>0</v>
      </c>
      <c r="AD635" s="376"/>
      <c r="AE635" s="332">
        <v>620</v>
      </c>
      <c r="AF635" s="350">
        <v>7773374.0492730411</v>
      </c>
      <c r="AG635" s="350">
        <v>48015.920039567878</v>
      </c>
      <c r="AH635" s="350">
        <v>45973.558580740304</v>
      </c>
      <c r="AI635" s="350">
        <v>43876.240408182661</v>
      </c>
      <c r="AJ635" s="350">
        <v>41724.07264999106</v>
      </c>
      <c r="AK635" s="348">
        <v>7952963.8409515237</v>
      </c>
      <c r="AL635" s="369"/>
      <c r="AM635" s="350">
        <v>10277960.647044111</v>
      </c>
      <c r="AN635" s="350">
        <v>2583544.0443725828</v>
      </c>
      <c r="AO635" s="350">
        <v>2610469.0585708926</v>
      </c>
      <c r="AP635" s="350">
        <v>2635294.136783069</v>
      </c>
      <c r="AQ635" s="350">
        <v>2657948.7303533466</v>
      </c>
      <c r="AR635" s="348">
        <v>20765216.617124006</v>
      </c>
      <c r="AS635" s="369"/>
      <c r="AT635" s="350">
        <f t="shared" si="267"/>
        <v>2504586.59777107</v>
      </c>
      <c r="AU635" s="350">
        <f t="shared" si="250"/>
        <v>2535528.1243330147</v>
      </c>
      <c r="AV635" s="350">
        <f t="shared" si="251"/>
        <v>2564495.4999901522</v>
      </c>
      <c r="AW635" s="350">
        <f t="shared" si="252"/>
        <v>2591417.8963748864</v>
      </c>
      <c r="AX635" s="350">
        <f t="shared" si="253"/>
        <v>2616224.6577033554</v>
      </c>
      <c r="AY635" s="350">
        <f t="shared" si="254"/>
        <v>12812252.776172481</v>
      </c>
      <c r="AZ635" s="365"/>
      <c r="BA635" s="377">
        <f t="shared" si="255"/>
        <v>0</v>
      </c>
      <c r="BB635" s="377">
        <f t="shared" si="256"/>
        <v>0</v>
      </c>
      <c r="BC635" s="377">
        <f t="shared" si="257"/>
        <v>0</v>
      </c>
      <c r="BD635" s="377">
        <f t="shared" si="258"/>
        <v>0</v>
      </c>
      <c r="BE635" s="377">
        <f t="shared" si="259"/>
        <v>0</v>
      </c>
      <c r="BF635" s="377">
        <f t="shared" si="260"/>
        <v>0</v>
      </c>
      <c r="BG635" s="328"/>
    </row>
    <row r="636" spans="2:59">
      <c r="B636" s="332">
        <v>621</v>
      </c>
      <c r="C636" s="350">
        <v>6494645.3673552955</v>
      </c>
      <c r="D636" s="350">
        <v>40117.247757225443</v>
      </c>
      <c r="E636" s="350">
        <v>38410.857031273874</v>
      </c>
      <c r="F636" s="350">
        <v>36658.550032160798</v>
      </c>
      <c r="G636" s="350">
        <v>34860.416265290412</v>
      </c>
      <c r="H636" s="348">
        <v>6644692.4384412458</v>
      </c>
      <c r="I636" s="369"/>
      <c r="J636" s="350">
        <v>8853984.8163842987</v>
      </c>
      <c r="K636" s="350">
        <v>2428603.8479750659</v>
      </c>
      <c r="L636" s="350">
        <v>2454184.9434089274</v>
      </c>
      <c r="M636" s="350">
        <v>2477793.7366845785</v>
      </c>
      <c r="N636" s="350">
        <v>2499363.7590265786</v>
      </c>
      <c r="O636" s="348">
        <v>18713931.103479449</v>
      </c>
      <c r="P636" s="369"/>
      <c r="Q636" s="350">
        <f t="shared" si="261"/>
        <v>2359339.4490290033</v>
      </c>
      <c r="R636" s="350">
        <f t="shared" si="262"/>
        <v>2388486.6002178406</v>
      </c>
      <c r="S636" s="350">
        <f t="shared" si="263"/>
        <v>2415774.0863776538</v>
      </c>
      <c r="T636" s="350">
        <f t="shared" si="264"/>
        <v>2441135.1866524178</v>
      </c>
      <c r="U636" s="350">
        <f t="shared" si="265"/>
        <v>2464503.3427612884</v>
      </c>
      <c r="V636" s="350">
        <f t="shared" si="266"/>
        <v>12069238.665038202</v>
      </c>
      <c r="W636" s="365"/>
      <c r="X636" s="377">
        <f t="shared" si="244"/>
        <v>0</v>
      </c>
      <c r="Y636" s="377">
        <f t="shared" si="245"/>
        <v>0</v>
      </c>
      <c r="Z636" s="377">
        <f t="shared" si="246"/>
        <v>0</v>
      </c>
      <c r="AA636" s="377">
        <f t="shared" si="247"/>
        <v>0</v>
      </c>
      <c r="AB636" s="377">
        <f t="shared" si="248"/>
        <v>0</v>
      </c>
      <c r="AC636" s="377">
        <f t="shared" si="249"/>
        <v>0</v>
      </c>
      <c r="AD636" s="376"/>
      <c r="AE636" s="332">
        <v>621</v>
      </c>
      <c r="AF636" s="350">
        <v>6390253.8497453714</v>
      </c>
      <c r="AG636" s="350">
        <v>39472.42419276126</v>
      </c>
      <c r="AH636" s="350">
        <v>37793.461094869774</v>
      </c>
      <c r="AI636" s="350">
        <v>36069.319757868579</v>
      </c>
      <c r="AJ636" s="350">
        <v>34300.088248500135</v>
      </c>
      <c r="AK636" s="348">
        <v>6537889.1430393718</v>
      </c>
      <c r="AL636" s="369"/>
      <c r="AM636" s="350">
        <v>9637319.9777856916</v>
      </c>
      <c r="AN636" s="350">
        <v>3326652.6305159219</v>
      </c>
      <c r="AO636" s="350">
        <v>3362528.3618327575</v>
      </c>
      <c r="AP636" s="350">
        <v>3395707.7057513078</v>
      </c>
      <c r="AQ636" s="350">
        <v>3426099.1487930743</v>
      </c>
      <c r="AR636" s="348">
        <v>23148307.824678753</v>
      </c>
      <c r="AS636" s="369"/>
      <c r="AT636" s="350">
        <f t="shared" si="267"/>
        <v>3247066.1280403202</v>
      </c>
      <c r="AU636" s="350">
        <f t="shared" si="250"/>
        <v>3287180.2063231608</v>
      </c>
      <c r="AV636" s="350">
        <f t="shared" si="251"/>
        <v>3324734.9007378877</v>
      </c>
      <c r="AW636" s="350">
        <f t="shared" si="252"/>
        <v>3359638.3859934392</v>
      </c>
      <c r="AX636" s="350">
        <f t="shared" si="253"/>
        <v>3391799.0605445742</v>
      </c>
      <c r="AY636" s="350">
        <f t="shared" si="254"/>
        <v>16610418.681639381</v>
      </c>
      <c r="AZ636" s="365"/>
      <c r="BA636" s="377">
        <f t="shared" si="255"/>
        <v>0</v>
      </c>
      <c r="BB636" s="377">
        <f t="shared" si="256"/>
        <v>0</v>
      </c>
      <c r="BC636" s="377">
        <f t="shared" si="257"/>
        <v>0</v>
      </c>
      <c r="BD636" s="377">
        <f t="shared" si="258"/>
        <v>0</v>
      </c>
      <c r="BE636" s="377">
        <f t="shared" si="259"/>
        <v>0</v>
      </c>
      <c r="BF636" s="377">
        <f t="shared" si="260"/>
        <v>0</v>
      </c>
      <c r="BG636" s="328"/>
    </row>
    <row r="637" spans="2:59">
      <c r="B637" s="332">
        <v>622</v>
      </c>
      <c r="C637" s="350">
        <v>5765154.9034199007</v>
      </c>
      <c r="D637" s="350">
        <v>35611.205006173303</v>
      </c>
      <c r="E637" s="350">
        <v>34096.479212164551</v>
      </c>
      <c r="F637" s="350">
        <v>32540.994544900303</v>
      </c>
      <c r="G637" s="350">
        <v>30944.830456376316</v>
      </c>
      <c r="H637" s="348">
        <v>5898348.4126395145</v>
      </c>
      <c r="I637" s="369"/>
      <c r="J637" s="350">
        <v>7853367.7527655689</v>
      </c>
      <c r="K637" s="350">
        <v>2149621.7222793614</v>
      </c>
      <c r="L637" s="350">
        <v>2172258.7052395609</v>
      </c>
      <c r="M637" s="350">
        <v>2193149.9166121995</v>
      </c>
      <c r="N637" s="350">
        <v>2212236.5262009194</v>
      </c>
      <c r="O637" s="348">
        <v>16580634.62309761</v>
      </c>
      <c r="P637" s="369"/>
      <c r="Q637" s="350">
        <f t="shared" si="261"/>
        <v>2088212.8493456682</v>
      </c>
      <c r="R637" s="350">
        <f t="shared" si="262"/>
        <v>2114010.5172731881</v>
      </c>
      <c r="S637" s="350">
        <f t="shared" si="263"/>
        <v>2138162.2260273965</v>
      </c>
      <c r="T637" s="350">
        <f t="shared" si="264"/>
        <v>2160608.922067299</v>
      </c>
      <c r="U637" s="350">
        <f t="shared" si="265"/>
        <v>2181291.6957445429</v>
      </c>
      <c r="V637" s="350">
        <f t="shared" si="266"/>
        <v>10682286.210458096</v>
      </c>
      <c r="W637" s="365"/>
      <c r="X637" s="377">
        <f t="shared" si="244"/>
        <v>0</v>
      </c>
      <c r="Y637" s="377">
        <f t="shared" si="245"/>
        <v>0</v>
      </c>
      <c r="Z637" s="377">
        <f t="shared" si="246"/>
        <v>0</v>
      </c>
      <c r="AA637" s="377">
        <f t="shared" si="247"/>
        <v>0</v>
      </c>
      <c r="AB637" s="377">
        <f t="shared" si="248"/>
        <v>0</v>
      </c>
      <c r="AC637" s="377">
        <f t="shared" si="249"/>
        <v>0</v>
      </c>
      <c r="AD637" s="376"/>
      <c r="AE637" s="332">
        <v>622</v>
      </c>
      <c r="AF637" s="350">
        <v>5734703.832613118</v>
      </c>
      <c r="AG637" s="350">
        <v>35423.109570174405</v>
      </c>
      <c r="AH637" s="350">
        <v>33916.384432380575</v>
      </c>
      <c r="AI637" s="350">
        <v>32369.115706325279</v>
      </c>
      <c r="AJ637" s="350">
        <v>30781.382424342246</v>
      </c>
      <c r="AK637" s="348">
        <v>5867193.8247463414</v>
      </c>
      <c r="AL637" s="369"/>
      <c r="AM637" s="350">
        <v>7427438.025359327</v>
      </c>
      <c r="AN637" s="350">
        <v>1749069.2484370607</v>
      </c>
      <c r="AO637" s="350">
        <v>1767140.232168508</v>
      </c>
      <c r="AP637" s="350">
        <v>1783788.5654438618</v>
      </c>
      <c r="AQ637" s="350">
        <v>1798966.574320432</v>
      </c>
      <c r="AR637" s="348">
        <v>14526402.64572919</v>
      </c>
      <c r="AS637" s="369"/>
      <c r="AT637" s="350">
        <f t="shared" si="267"/>
        <v>1692734.192746209</v>
      </c>
      <c r="AU637" s="350">
        <f t="shared" si="250"/>
        <v>1713646.1388668863</v>
      </c>
      <c r="AV637" s="350">
        <f t="shared" si="251"/>
        <v>1733223.8477361274</v>
      </c>
      <c r="AW637" s="350">
        <f t="shared" si="252"/>
        <v>1751419.4497375365</v>
      </c>
      <c r="AX637" s="350">
        <f t="shared" si="253"/>
        <v>1768185.1918960898</v>
      </c>
      <c r="AY637" s="350">
        <f t="shared" si="254"/>
        <v>8659208.8209828474</v>
      </c>
      <c r="AZ637" s="365"/>
      <c r="BA637" s="377">
        <f t="shared" si="255"/>
        <v>0</v>
      </c>
      <c r="BB637" s="377">
        <f t="shared" si="256"/>
        <v>0</v>
      </c>
      <c r="BC637" s="377">
        <f t="shared" si="257"/>
        <v>0</v>
      </c>
      <c r="BD637" s="377">
        <f t="shared" si="258"/>
        <v>0</v>
      </c>
      <c r="BE637" s="377">
        <f t="shared" si="259"/>
        <v>0</v>
      </c>
      <c r="BF637" s="377">
        <f t="shared" si="260"/>
        <v>0</v>
      </c>
      <c r="BG637" s="328"/>
    </row>
    <row r="638" spans="2:59">
      <c r="B638" s="332">
        <v>623</v>
      </c>
      <c r="C638" s="350">
        <v>6882998.4256325411</v>
      </c>
      <c r="D638" s="350">
        <v>42516.094033651658</v>
      </c>
      <c r="E638" s="350">
        <v>40707.668166508018</v>
      </c>
      <c r="F638" s="350">
        <v>38850.580422081504</v>
      </c>
      <c r="G638" s="350">
        <v>36944.925657825785</v>
      </c>
      <c r="H638" s="348">
        <v>7042017.6939126076</v>
      </c>
      <c r="I638" s="369"/>
      <c r="J638" s="350">
        <v>10065184.962898742</v>
      </c>
      <c r="K638" s="350">
        <v>3264015.190648173</v>
      </c>
      <c r="L638" s="350">
        <v>3299011.0792807182</v>
      </c>
      <c r="M638" s="350">
        <v>3331360.0706563774</v>
      </c>
      <c r="N638" s="350">
        <v>3360972.4883767627</v>
      </c>
      <c r="O638" s="348">
        <v>23320543.791860774</v>
      </c>
      <c r="P638" s="369"/>
      <c r="Q638" s="350">
        <f t="shared" si="261"/>
        <v>3182186.5372662013</v>
      </c>
      <c r="R638" s="350">
        <f t="shared" si="262"/>
        <v>3221499.0966145215</v>
      </c>
      <c r="S638" s="350">
        <f t="shared" si="263"/>
        <v>3258303.4111142103</v>
      </c>
      <c r="T638" s="350">
        <f t="shared" si="264"/>
        <v>3292509.4902342958</v>
      </c>
      <c r="U638" s="350">
        <f t="shared" si="265"/>
        <v>3324027.5627189367</v>
      </c>
      <c r="V638" s="350">
        <f t="shared" si="266"/>
        <v>16278526.097948167</v>
      </c>
      <c r="W638" s="365"/>
      <c r="X638" s="377">
        <f t="shared" si="244"/>
        <v>0</v>
      </c>
      <c r="Y638" s="377">
        <f t="shared" si="245"/>
        <v>0</v>
      </c>
      <c r="Z638" s="377">
        <f t="shared" si="246"/>
        <v>0</v>
      </c>
      <c r="AA638" s="377">
        <f t="shared" si="247"/>
        <v>0</v>
      </c>
      <c r="AB638" s="377">
        <f t="shared" si="248"/>
        <v>0</v>
      </c>
      <c r="AC638" s="377">
        <f t="shared" si="249"/>
        <v>0</v>
      </c>
      <c r="AD638" s="376"/>
      <c r="AE638" s="332">
        <v>623</v>
      </c>
      <c r="AF638" s="350">
        <v>4686021.8719104035</v>
      </c>
      <c r="AG638" s="350">
        <v>28945.429626708021</v>
      </c>
      <c r="AH638" s="350">
        <v>27714.233185401496</v>
      </c>
      <c r="AI638" s="350">
        <v>26449.907196884848</v>
      </c>
      <c r="AJ638" s="350">
        <v>25152.516241170928</v>
      </c>
      <c r="AK638" s="348">
        <v>4794283.958160568</v>
      </c>
      <c r="AL638" s="369"/>
      <c r="AM638" s="350">
        <v>7153773.3461804483</v>
      </c>
      <c r="AN638" s="350">
        <v>2527183.3713470474</v>
      </c>
      <c r="AO638" s="350">
        <v>2554493.5254213335</v>
      </c>
      <c r="AP638" s="350">
        <v>2579755.6463236688</v>
      </c>
      <c r="AQ638" s="350">
        <v>2602900.1819895664</v>
      </c>
      <c r="AR638" s="348">
        <v>17418106.071262065</v>
      </c>
      <c r="AS638" s="369"/>
      <c r="AT638" s="350">
        <f t="shared" si="267"/>
        <v>2467751.4742700448</v>
      </c>
      <c r="AU638" s="350">
        <f t="shared" si="250"/>
        <v>2498237.9417203395</v>
      </c>
      <c r="AV638" s="350">
        <f t="shared" si="251"/>
        <v>2526779.2922359318</v>
      </c>
      <c r="AW638" s="350">
        <f t="shared" si="252"/>
        <v>2553305.7391267838</v>
      </c>
      <c r="AX638" s="350">
        <f t="shared" si="253"/>
        <v>2577747.6657483955</v>
      </c>
      <c r="AY638" s="350">
        <f t="shared" si="254"/>
        <v>12623822.113101497</v>
      </c>
      <c r="AZ638" s="365"/>
      <c r="BA638" s="377">
        <f t="shared" si="255"/>
        <v>0</v>
      </c>
      <c r="BB638" s="377">
        <f t="shared" si="256"/>
        <v>0</v>
      </c>
      <c r="BC638" s="377">
        <f t="shared" si="257"/>
        <v>0</v>
      </c>
      <c r="BD638" s="377">
        <f t="shared" si="258"/>
        <v>0</v>
      </c>
      <c r="BE638" s="377">
        <f t="shared" si="259"/>
        <v>0</v>
      </c>
      <c r="BF638" s="377">
        <f t="shared" si="260"/>
        <v>0</v>
      </c>
      <c r="BG638" s="328"/>
    </row>
    <row r="639" spans="2:59">
      <c r="B639" s="332">
        <v>624</v>
      </c>
      <c r="C639" s="350">
        <v>5523914.6171520352</v>
      </c>
      <c r="D639" s="350">
        <v>34121.070320470099</v>
      </c>
      <c r="E639" s="350">
        <v>32669.727538763174</v>
      </c>
      <c r="F639" s="350">
        <v>31179.331420325838</v>
      </c>
      <c r="G639" s="350">
        <v>29649.958092517398</v>
      </c>
      <c r="H639" s="348">
        <v>5651534.7045241119</v>
      </c>
      <c r="I639" s="369"/>
      <c r="J639" s="350">
        <v>7009894.7130436841</v>
      </c>
      <c r="K639" s="350">
        <v>1538458.8834691173</v>
      </c>
      <c r="L639" s="350">
        <v>1554193.9872231502</v>
      </c>
      <c r="M639" s="350">
        <v>1568676.7441979321</v>
      </c>
      <c r="N639" s="350">
        <v>1581865.3101941019</v>
      </c>
      <c r="O639" s="348">
        <v>13253089.638127986</v>
      </c>
      <c r="P639" s="369"/>
      <c r="Q639" s="350">
        <f t="shared" si="261"/>
        <v>1485980.0958916489</v>
      </c>
      <c r="R639" s="350">
        <f t="shared" si="262"/>
        <v>1504337.8131486473</v>
      </c>
      <c r="S639" s="350">
        <f t="shared" si="263"/>
        <v>1521524.2596843871</v>
      </c>
      <c r="T639" s="350">
        <f t="shared" si="264"/>
        <v>1537497.4127776062</v>
      </c>
      <c r="U639" s="350">
        <f t="shared" si="265"/>
        <v>1552215.3521015844</v>
      </c>
      <c r="V639" s="350">
        <f t="shared" si="266"/>
        <v>7601554.9336038744</v>
      </c>
      <c r="W639" s="365"/>
      <c r="X639" s="377">
        <f t="shared" si="244"/>
        <v>0</v>
      </c>
      <c r="Y639" s="377">
        <f t="shared" si="245"/>
        <v>0</v>
      </c>
      <c r="Z639" s="377">
        <f t="shared" si="246"/>
        <v>0</v>
      </c>
      <c r="AA639" s="377">
        <f t="shared" si="247"/>
        <v>0</v>
      </c>
      <c r="AB639" s="377">
        <f t="shared" si="248"/>
        <v>0</v>
      </c>
      <c r="AC639" s="377">
        <f t="shared" si="249"/>
        <v>0</v>
      </c>
      <c r="AD639" s="376"/>
      <c r="AE639" s="332">
        <v>624</v>
      </c>
      <c r="AF639" s="350">
        <v>6745470.8812493747</v>
      </c>
      <c r="AG639" s="350">
        <v>41666.590133223792</v>
      </c>
      <c r="AH639" s="350">
        <v>39894.297990560808</v>
      </c>
      <c r="AI639" s="350">
        <v>38074.31627193858</v>
      </c>
      <c r="AJ639" s="350">
        <v>36206.737939487975</v>
      </c>
      <c r="AK639" s="348">
        <v>6901312.8235845855</v>
      </c>
      <c r="AL639" s="369"/>
      <c r="AM639" s="350">
        <v>9594934.2016914859</v>
      </c>
      <c r="AN639" s="350">
        <v>2926332.0254054656</v>
      </c>
      <c r="AO639" s="350">
        <v>2957515.8604328251</v>
      </c>
      <c r="AP639" s="350">
        <v>2986325.4369275183</v>
      </c>
      <c r="AQ639" s="350">
        <v>3012680.4629032277</v>
      </c>
      <c r="AR639" s="348">
        <v>21477787.987360526</v>
      </c>
      <c r="AS639" s="369"/>
      <c r="AT639" s="350">
        <f t="shared" si="267"/>
        <v>2849463.3204421112</v>
      </c>
      <c r="AU639" s="350">
        <f t="shared" si="250"/>
        <v>2884665.4352722419</v>
      </c>
      <c r="AV639" s="350">
        <f t="shared" si="251"/>
        <v>2917621.5624422641</v>
      </c>
      <c r="AW639" s="350">
        <f t="shared" si="252"/>
        <v>2948251.12065558</v>
      </c>
      <c r="AX639" s="350">
        <f t="shared" si="253"/>
        <v>2976473.7249637395</v>
      </c>
      <c r="AY639" s="350">
        <f t="shared" si="254"/>
        <v>14576475.163775939</v>
      </c>
      <c r="AZ639" s="365"/>
      <c r="BA639" s="377">
        <f t="shared" si="255"/>
        <v>0</v>
      </c>
      <c r="BB639" s="377">
        <f t="shared" si="256"/>
        <v>0</v>
      </c>
      <c r="BC639" s="377">
        <f t="shared" si="257"/>
        <v>0</v>
      </c>
      <c r="BD639" s="377">
        <f t="shared" si="258"/>
        <v>0</v>
      </c>
      <c r="BE639" s="377">
        <f t="shared" si="259"/>
        <v>0</v>
      </c>
      <c r="BF639" s="377">
        <f t="shared" si="260"/>
        <v>0</v>
      </c>
      <c r="BG639" s="328"/>
    </row>
    <row r="640" spans="2:59">
      <c r="B640" s="332">
        <v>625</v>
      </c>
      <c r="C640" s="350">
        <v>5075230.4311152212</v>
      </c>
      <c r="D640" s="350">
        <v>31349.56030909067</v>
      </c>
      <c r="E640" s="350">
        <v>30016.10395391304</v>
      </c>
      <c r="F640" s="350">
        <v>28646.76639912376</v>
      </c>
      <c r="G640" s="350">
        <v>27241.617588581881</v>
      </c>
      <c r="H640" s="348">
        <v>5192484.47936593</v>
      </c>
      <c r="I640" s="369"/>
      <c r="J640" s="350">
        <v>6737839.6973756012</v>
      </c>
      <c r="K640" s="350">
        <v>1714498.6109873501</v>
      </c>
      <c r="L640" s="350">
        <v>1732394.4466956467</v>
      </c>
      <c r="M640" s="350">
        <v>1748896.8911503241</v>
      </c>
      <c r="N640" s="350">
        <v>1763959.1111611775</v>
      </c>
      <c r="O640" s="348">
        <v>13697588.757370099</v>
      </c>
      <c r="P640" s="369"/>
      <c r="Q640" s="350">
        <f t="shared" si="261"/>
        <v>1662609.2662603799</v>
      </c>
      <c r="R640" s="350">
        <f t="shared" si="262"/>
        <v>1683149.0506782595</v>
      </c>
      <c r="S640" s="350">
        <f t="shared" si="263"/>
        <v>1702378.3427417336</v>
      </c>
      <c r="T640" s="350">
        <f t="shared" si="264"/>
        <v>1720250.1247512004</v>
      </c>
      <c r="U640" s="350">
        <f t="shared" si="265"/>
        <v>1736717.4935725955</v>
      </c>
      <c r="V640" s="350">
        <f t="shared" si="266"/>
        <v>8505104.2780041695</v>
      </c>
      <c r="W640" s="365"/>
      <c r="X640" s="377">
        <f t="shared" si="244"/>
        <v>0</v>
      </c>
      <c r="Y640" s="377">
        <f t="shared" si="245"/>
        <v>0</v>
      </c>
      <c r="Z640" s="377">
        <f t="shared" si="246"/>
        <v>0</v>
      </c>
      <c r="AA640" s="377">
        <f t="shared" si="247"/>
        <v>0</v>
      </c>
      <c r="AB640" s="377">
        <f t="shared" si="248"/>
        <v>0</v>
      </c>
      <c r="AC640" s="377">
        <f t="shared" si="249"/>
        <v>0</v>
      </c>
      <c r="AD640" s="376"/>
      <c r="AE640" s="332">
        <v>625</v>
      </c>
      <c r="AF640" s="350">
        <v>5285625.9847296868</v>
      </c>
      <c r="AG640" s="350">
        <v>32649.167920276181</v>
      </c>
      <c r="AH640" s="350">
        <v>31260.432638974213</v>
      </c>
      <c r="AI640" s="350">
        <v>29834.328689667571</v>
      </c>
      <c r="AJ640" s="350">
        <v>28370.928915760676</v>
      </c>
      <c r="AK640" s="348">
        <v>5407740.8428943651</v>
      </c>
      <c r="AL640" s="369"/>
      <c r="AM640" s="350">
        <v>7638138.8536603153</v>
      </c>
      <c r="AN640" s="350">
        <v>2414224.8528406192</v>
      </c>
      <c r="AO640" s="350">
        <v>2440044.6493278774</v>
      </c>
      <c r="AP640" s="350">
        <v>2463906.2651219852</v>
      </c>
      <c r="AQ640" s="350">
        <v>2485743.4073671261</v>
      </c>
      <c r="AR640" s="348">
        <v>17442058.028317925</v>
      </c>
      <c r="AS640" s="369"/>
      <c r="AT640" s="350">
        <f t="shared" si="267"/>
        <v>2352512.8689306285</v>
      </c>
      <c r="AU640" s="350">
        <f t="shared" si="250"/>
        <v>2381575.6849203431</v>
      </c>
      <c r="AV640" s="350">
        <f t="shared" si="251"/>
        <v>2408784.216688903</v>
      </c>
      <c r="AW640" s="350">
        <f t="shared" si="252"/>
        <v>2434071.9364323178</v>
      </c>
      <c r="AX640" s="350">
        <f t="shared" si="253"/>
        <v>2457372.4784513656</v>
      </c>
      <c r="AY640" s="350">
        <f t="shared" si="254"/>
        <v>12034317.18542356</v>
      </c>
      <c r="AZ640" s="365"/>
      <c r="BA640" s="377">
        <f t="shared" si="255"/>
        <v>0</v>
      </c>
      <c r="BB640" s="377">
        <f t="shared" si="256"/>
        <v>0</v>
      </c>
      <c r="BC640" s="377">
        <f t="shared" si="257"/>
        <v>0</v>
      </c>
      <c r="BD640" s="377">
        <f t="shared" si="258"/>
        <v>0</v>
      </c>
      <c r="BE640" s="377">
        <f t="shared" si="259"/>
        <v>0</v>
      </c>
      <c r="BF640" s="377">
        <f t="shared" si="260"/>
        <v>0</v>
      </c>
      <c r="BG640" s="328"/>
    </row>
    <row r="641" spans="2:59">
      <c r="B641" s="332">
        <v>626</v>
      </c>
      <c r="C641" s="350">
        <v>5523372.6725511206</v>
      </c>
      <c r="D641" s="350">
        <v>34117.722743413338</v>
      </c>
      <c r="E641" s="350">
        <v>32666.522351196239</v>
      </c>
      <c r="F641" s="350">
        <v>31176.27245372393</v>
      </c>
      <c r="G641" s="350">
        <v>29647.049170887825</v>
      </c>
      <c r="H641" s="348">
        <v>5650980.2392703416</v>
      </c>
      <c r="I641" s="369"/>
      <c r="J641" s="350">
        <v>7024457.9221695568</v>
      </c>
      <c r="K641" s="350">
        <v>1553747.2978661628</v>
      </c>
      <c r="L641" s="350">
        <v>1569657.2461592357</v>
      </c>
      <c r="M641" s="350">
        <v>1584302.5182411072</v>
      </c>
      <c r="N641" s="350">
        <v>1597640.8437801432</v>
      </c>
      <c r="O641" s="348">
        <v>13329805.828216206</v>
      </c>
      <c r="P641" s="369"/>
      <c r="Q641" s="350">
        <f t="shared" si="261"/>
        <v>1501085.2496184362</v>
      </c>
      <c r="R641" s="350">
        <f t="shared" si="262"/>
        <v>1519629.5751227494</v>
      </c>
      <c r="S641" s="350">
        <f t="shared" si="263"/>
        <v>1536990.7238080394</v>
      </c>
      <c r="T641" s="350">
        <f t="shared" si="264"/>
        <v>1553126.2457873833</v>
      </c>
      <c r="U641" s="350">
        <f t="shared" si="265"/>
        <v>1567993.7946092554</v>
      </c>
      <c r="V641" s="350">
        <f t="shared" si="266"/>
        <v>7678825.5889458647</v>
      </c>
      <c r="W641" s="365"/>
      <c r="X641" s="377">
        <f t="shared" si="244"/>
        <v>0</v>
      </c>
      <c r="Y641" s="377">
        <f t="shared" si="245"/>
        <v>0</v>
      </c>
      <c r="Z641" s="377">
        <f t="shared" si="246"/>
        <v>0</v>
      </c>
      <c r="AA641" s="377">
        <f t="shared" si="247"/>
        <v>0</v>
      </c>
      <c r="AB641" s="377">
        <f t="shared" si="248"/>
        <v>0</v>
      </c>
      <c r="AC641" s="377">
        <f t="shared" si="249"/>
        <v>0</v>
      </c>
      <c r="AD641" s="376"/>
      <c r="AE641" s="332">
        <v>626</v>
      </c>
      <c r="AF641" s="350">
        <v>6433813.3494826956</v>
      </c>
      <c r="AG641" s="350">
        <v>39741.490037669537</v>
      </c>
      <c r="AH641" s="350">
        <v>38051.082199968048</v>
      </c>
      <c r="AI641" s="350">
        <v>36315.188163328225</v>
      </c>
      <c r="AJ641" s="350">
        <v>34533.896594800033</v>
      </c>
      <c r="AK641" s="348">
        <v>6582455.0064784614</v>
      </c>
      <c r="AL641" s="369"/>
      <c r="AM641" s="350">
        <v>8800923.5178369209</v>
      </c>
      <c r="AN641" s="350">
        <v>2436094.8086244944</v>
      </c>
      <c r="AO641" s="350">
        <v>2461781.760998481</v>
      </c>
      <c r="AP641" s="350">
        <v>2485490.4965448189</v>
      </c>
      <c r="AQ641" s="350">
        <v>2507154.3264333857</v>
      </c>
      <c r="AR641" s="348">
        <v>18691444.910438102</v>
      </c>
      <c r="AS641" s="369"/>
      <c r="AT641" s="350">
        <f t="shared" si="267"/>
        <v>2367110.1683542253</v>
      </c>
      <c r="AU641" s="350">
        <f t="shared" si="250"/>
        <v>2396353.3185868249</v>
      </c>
      <c r="AV641" s="350">
        <f t="shared" si="251"/>
        <v>2423730.678798513</v>
      </c>
      <c r="AW641" s="350">
        <f t="shared" si="252"/>
        <v>2449175.3083814904</v>
      </c>
      <c r="AX641" s="350">
        <f t="shared" si="253"/>
        <v>2472620.4298385857</v>
      </c>
      <c r="AY641" s="350">
        <f t="shared" si="254"/>
        <v>12108989.903959639</v>
      </c>
      <c r="AZ641" s="365"/>
      <c r="BA641" s="377">
        <f t="shared" si="255"/>
        <v>0</v>
      </c>
      <c r="BB641" s="377">
        <f t="shared" si="256"/>
        <v>0</v>
      </c>
      <c r="BC641" s="377">
        <f t="shared" si="257"/>
        <v>0</v>
      </c>
      <c r="BD641" s="377">
        <f t="shared" si="258"/>
        <v>0</v>
      </c>
      <c r="BE641" s="377">
        <f t="shared" si="259"/>
        <v>0</v>
      </c>
      <c r="BF641" s="377">
        <f t="shared" si="260"/>
        <v>0</v>
      </c>
      <c r="BG641" s="328"/>
    </row>
    <row r="642" spans="2:59">
      <c r="B642" s="332">
        <v>627</v>
      </c>
      <c r="C642" s="350">
        <v>4998028.8589180419</v>
      </c>
      <c r="D642" s="350">
        <v>30872.688297779303</v>
      </c>
      <c r="E642" s="350">
        <v>29559.51573630932</v>
      </c>
      <c r="F642" s="350">
        <v>28211.007780003172</v>
      </c>
      <c r="G642" s="350">
        <v>26827.233308778621</v>
      </c>
      <c r="H642" s="348">
        <v>5113499.3040409125</v>
      </c>
      <c r="I642" s="369"/>
      <c r="J642" s="350">
        <v>6564376.4585412983</v>
      </c>
      <c r="K642" s="350">
        <v>1616570.8609465822</v>
      </c>
      <c r="L642" s="350">
        <v>1633373.6438758613</v>
      </c>
      <c r="M642" s="350">
        <v>1648862.1784042744</v>
      </c>
      <c r="N642" s="350">
        <v>1662992.3458729526</v>
      </c>
      <c r="O642" s="348">
        <v>13126175.487640969</v>
      </c>
      <c r="P642" s="369"/>
      <c r="Q642" s="350">
        <f t="shared" si="261"/>
        <v>1566347.5996232564</v>
      </c>
      <c r="R642" s="350">
        <f t="shared" si="262"/>
        <v>1585698.1726488029</v>
      </c>
      <c r="S642" s="350">
        <f t="shared" si="263"/>
        <v>1603814.128139552</v>
      </c>
      <c r="T642" s="350">
        <f t="shared" si="264"/>
        <v>1620651.1706242713</v>
      </c>
      <c r="U642" s="350">
        <f t="shared" si="265"/>
        <v>1636165.112564174</v>
      </c>
      <c r="V642" s="350">
        <f t="shared" si="266"/>
        <v>8012676.1836000569</v>
      </c>
      <c r="W642" s="365"/>
      <c r="X642" s="377">
        <f t="shared" si="244"/>
        <v>0</v>
      </c>
      <c r="Y642" s="377">
        <f t="shared" si="245"/>
        <v>0</v>
      </c>
      <c r="Z642" s="377">
        <f t="shared" si="246"/>
        <v>0</v>
      </c>
      <c r="AA642" s="377">
        <f t="shared" si="247"/>
        <v>0</v>
      </c>
      <c r="AB642" s="377">
        <f t="shared" si="248"/>
        <v>0</v>
      </c>
      <c r="AC642" s="377">
        <f t="shared" si="249"/>
        <v>0</v>
      </c>
      <c r="AD642" s="376"/>
      <c r="AE642" s="332">
        <v>627</v>
      </c>
      <c r="AF642" s="350">
        <v>7151237.9835062195</v>
      </c>
      <c r="AG642" s="350">
        <v>44173.002485587436</v>
      </c>
      <c r="AH642" s="350">
        <v>42294.099869063306</v>
      </c>
      <c r="AI642" s="350">
        <v>40364.638957493094</v>
      </c>
      <c r="AJ642" s="350">
        <v>38384.718305057824</v>
      </c>
      <c r="AK642" s="348">
        <v>7316454.4431234207</v>
      </c>
      <c r="AL642" s="369"/>
      <c r="AM642" s="350">
        <v>9305795.191906184</v>
      </c>
      <c r="AN642" s="350">
        <v>2225347.4934152323</v>
      </c>
      <c r="AO642" s="350">
        <v>2248387.6205843268</v>
      </c>
      <c r="AP642" s="350">
        <v>2269618.0069903769</v>
      </c>
      <c r="AQ642" s="350">
        <v>2288977.9699278614</v>
      </c>
      <c r="AR642" s="348">
        <v>18338126.282823984</v>
      </c>
      <c r="AS642" s="369"/>
      <c r="AT642" s="350">
        <f t="shared" si="267"/>
        <v>2154557.2083999645</v>
      </c>
      <c r="AU642" s="350">
        <f t="shared" si="250"/>
        <v>2181174.490929645</v>
      </c>
      <c r="AV642" s="350">
        <f t="shared" si="251"/>
        <v>2206093.5207152637</v>
      </c>
      <c r="AW642" s="350">
        <f t="shared" si="252"/>
        <v>2229253.3680328839</v>
      </c>
      <c r="AX642" s="350">
        <f t="shared" si="253"/>
        <v>2250593.2516228035</v>
      </c>
      <c r="AY642" s="350">
        <f t="shared" si="254"/>
        <v>11021671.839700563</v>
      </c>
      <c r="AZ642" s="365"/>
      <c r="BA642" s="377">
        <f t="shared" si="255"/>
        <v>0</v>
      </c>
      <c r="BB642" s="377">
        <f t="shared" si="256"/>
        <v>0</v>
      </c>
      <c r="BC642" s="377">
        <f t="shared" si="257"/>
        <v>0</v>
      </c>
      <c r="BD642" s="377">
        <f t="shared" si="258"/>
        <v>0</v>
      </c>
      <c r="BE642" s="377">
        <f t="shared" si="259"/>
        <v>0</v>
      </c>
      <c r="BF642" s="377">
        <f t="shared" si="260"/>
        <v>0</v>
      </c>
      <c r="BG642" s="328"/>
    </row>
    <row r="643" spans="2:59">
      <c r="B643" s="332">
        <v>628</v>
      </c>
      <c r="C643" s="350">
        <v>5108466.728821001</v>
      </c>
      <c r="D643" s="350">
        <v>31554.860015875653</v>
      </c>
      <c r="E643" s="350">
        <v>30212.671219286334</v>
      </c>
      <c r="F643" s="350">
        <v>28834.366246908277</v>
      </c>
      <c r="G643" s="350">
        <v>27420.015500647147</v>
      </c>
      <c r="H643" s="348">
        <v>5226488.6418037182</v>
      </c>
      <c r="I643" s="369"/>
      <c r="J643" s="350">
        <v>7314556.1334740222</v>
      </c>
      <c r="K643" s="350">
        <v>2264898.173147379</v>
      </c>
      <c r="L643" s="350">
        <v>2289071.0216725944</v>
      </c>
      <c r="M643" s="350">
        <v>2311406.4958384922</v>
      </c>
      <c r="N643" s="350">
        <v>2331842.4310353068</v>
      </c>
      <c r="O643" s="348">
        <v>16511774.255167793</v>
      </c>
      <c r="P643" s="369"/>
      <c r="Q643" s="350">
        <f t="shared" si="261"/>
        <v>2206089.4046530211</v>
      </c>
      <c r="R643" s="350">
        <f t="shared" si="262"/>
        <v>2233343.3131315033</v>
      </c>
      <c r="S643" s="350">
        <f t="shared" si="263"/>
        <v>2258858.3504533079</v>
      </c>
      <c r="T643" s="350">
        <f t="shared" si="264"/>
        <v>2282572.1295915837</v>
      </c>
      <c r="U643" s="350">
        <f t="shared" si="265"/>
        <v>2304422.4155346598</v>
      </c>
      <c r="V643" s="350">
        <f t="shared" si="266"/>
        <v>11285285.613364074</v>
      </c>
      <c r="W643" s="365"/>
      <c r="X643" s="377">
        <f t="shared" si="244"/>
        <v>0</v>
      </c>
      <c r="Y643" s="377">
        <f t="shared" si="245"/>
        <v>0</v>
      </c>
      <c r="Z643" s="377">
        <f t="shared" si="246"/>
        <v>0</v>
      </c>
      <c r="AA643" s="377">
        <f t="shared" si="247"/>
        <v>0</v>
      </c>
      <c r="AB643" s="377">
        <f t="shared" si="248"/>
        <v>0</v>
      </c>
      <c r="AC643" s="377">
        <f t="shared" si="249"/>
        <v>0</v>
      </c>
      <c r="AD643" s="376"/>
      <c r="AE643" s="332">
        <v>628</v>
      </c>
      <c r="AF643" s="350">
        <v>5571718.1039167522</v>
      </c>
      <c r="AG643" s="350">
        <v>34416.351157796082</v>
      </c>
      <c r="AH643" s="350">
        <v>32952.448579229225</v>
      </c>
      <c r="AI643" s="350">
        <v>31449.154699681232</v>
      </c>
      <c r="AJ643" s="350">
        <v>29906.546305312208</v>
      </c>
      <c r="AK643" s="348">
        <v>5700442.6046587704</v>
      </c>
      <c r="AL643" s="369"/>
      <c r="AM643" s="350">
        <v>8271578.5187471509</v>
      </c>
      <c r="AN643" s="350">
        <v>2767630.6946618352</v>
      </c>
      <c r="AO643" s="350">
        <v>2797392.6522423164</v>
      </c>
      <c r="AP643" s="350">
        <v>2824910.7994006667</v>
      </c>
      <c r="AQ643" s="350">
        <v>2850109.0483559612</v>
      </c>
      <c r="AR643" s="348">
        <v>19511621.71340793</v>
      </c>
      <c r="AS643" s="369"/>
      <c r="AT643" s="350">
        <f t="shared" si="267"/>
        <v>2699860.4148303987</v>
      </c>
      <c r="AU643" s="350">
        <f t="shared" si="250"/>
        <v>2733214.3435040391</v>
      </c>
      <c r="AV643" s="350">
        <f t="shared" si="251"/>
        <v>2764440.203663087</v>
      </c>
      <c r="AW643" s="350">
        <f t="shared" si="252"/>
        <v>2793461.6447009854</v>
      </c>
      <c r="AX643" s="350">
        <f t="shared" si="253"/>
        <v>2820202.5020506489</v>
      </c>
      <c r="AY643" s="350">
        <f t="shared" si="254"/>
        <v>13811179.108749159</v>
      </c>
      <c r="AZ643" s="365"/>
      <c r="BA643" s="377">
        <f t="shared" si="255"/>
        <v>0</v>
      </c>
      <c r="BB643" s="377">
        <f t="shared" si="256"/>
        <v>0</v>
      </c>
      <c r="BC643" s="377">
        <f t="shared" si="257"/>
        <v>0</v>
      </c>
      <c r="BD643" s="377">
        <f t="shared" si="258"/>
        <v>0</v>
      </c>
      <c r="BE643" s="377">
        <f t="shared" si="259"/>
        <v>0</v>
      </c>
      <c r="BF643" s="377">
        <f t="shared" si="260"/>
        <v>0</v>
      </c>
      <c r="BG643" s="328"/>
    </row>
    <row r="644" spans="2:59">
      <c r="B644" s="332">
        <v>629</v>
      </c>
      <c r="C644" s="350">
        <v>5503043.2103197658</v>
      </c>
      <c r="D644" s="350">
        <v>33992.148208242106</v>
      </c>
      <c r="E644" s="350">
        <v>32546.289140123576</v>
      </c>
      <c r="F644" s="350">
        <v>31061.524293327297</v>
      </c>
      <c r="G644" s="350">
        <v>29537.929507573219</v>
      </c>
      <c r="H644" s="348">
        <v>5630181.1014690325</v>
      </c>
      <c r="I644" s="369"/>
      <c r="J644" s="350">
        <v>7895986.6711766962</v>
      </c>
      <c r="K644" s="350">
        <v>2456497.9023878388</v>
      </c>
      <c r="L644" s="350">
        <v>2482728.1844516038</v>
      </c>
      <c r="M644" s="350">
        <v>2506965.7373864269</v>
      </c>
      <c r="N644" s="350">
        <v>2529143.1307632788</v>
      </c>
      <c r="O644" s="348">
        <v>17871321.626165845</v>
      </c>
      <c r="P644" s="369"/>
      <c r="Q644" s="350">
        <f t="shared" si="261"/>
        <v>2392943.4608569304</v>
      </c>
      <c r="R644" s="350">
        <f t="shared" si="262"/>
        <v>2422505.7541795969</v>
      </c>
      <c r="S644" s="350">
        <f t="shared" si="263"/>
        <v>2450181.8953114804</v>
      </c>
      <c r="T644" s="350">
        <f t="shared" si="264"/>
        <v>2475904.2130930996</v>
      </c>
      <c r="U644" s="350">
        <f t="shared" si="265"/>
        <v>2499605.2012557057</v>
      </c>
      <c r="V644" s="350">
        <f t="shared" si="266"/>
        <v>12241140.524696812</v>
      </c>
      <c r="W644" s="365"/>
      <c r="X644" s="377">
        <f t="shared" si="244"/>
        <v>0</v>
      </c>
      <c r="Y644" s="377">
        <f t="shared" si="245"/>
        <v>0</v>
      </c>
      <c r="Z644" s="377">
        <f t="shared" si="246"/>
        <v>0</v>
      </c>
      <c r="AA644" s="377">
        <f t="shared" si="247"/>
        <v>0</v>
      </c>
      <c r="AB644" s="377">
        <f t="shared" si="248"/>
        <v>0</v>
      </c>
      <c r="AC644" s="377">
        <f t="shared" si="249"/>
        <v>0</v>
      </c>
      <c r="AD644" s="376"/>
      <c r="AE644" s="332">
        <v>629</v>
      </c>
      <c r="AF644" s="350">
        <v>5711052.3948273556</v>
      </c>
      <c r="AG644" s="350">
        <v>35277.015282373919</v>
      </c>
      <c r="AH644" s="350">
        <v>33776.504278193104</v>
      </c>
      <c r="AI644" s="350">
        <v>32235.616898251163</v>
      </c>
      <c r="AJ644" s="350">
        <v>30654.431848931254</v>
      </c>
      <c r="AK644" s="348">
        <v>5842995.9631351046</v>
      </c>
      <c r="AL644" s="369"/>
      <c r="AM644" s="350">
        <v>7164750.887226155</v>
      </c>
      <c r="AN644" s="350">
        <v>1506934.4197649655</v>
      </c>
      <c r="AO644" s="350">
        <v>1522246.994943951</v>
      </c>
      <c r="AP644" s="350">
        <v>1536332.2580317485</v>
      </c>
      <c r="AQ644" s="350">
        <v>1549149.2780900444</v>
      </c>
      <c r="AR644" s="348">
        <v>13279413.838056864</v>
      </c>
      <c r="AS644" s="369"/>
      <c r="AT644" s="350">
        <f t="shared" si="267"/>
        <v>1453698.4923987994</v>
      </c>
      <c r="AU644" s="350">
        <f t="shared" si="250"/>
        <v>1471657.4044825917</v>
      </c>
      <c r="AV644" s="350">
        <f t="shared" si="251"/>
        <v>1488470.490665758</v>
      </c>
      <c r="AW644" s="350">
        <f t="shared" si="252"/>
        <v>1504096.6411334972</v>
      </c>
      <c r="AX644" s="350">
        <f t="shared" si="253"/>
        <v>1518494.846241113</v>
      </c>
      <c r="AY644" s="350">
        <f t="shared" si="254"/>
        <v>7436417.8749217596</v>
      </c>
      <c r="AZ644" s="365"/>
      <c r="BA644" s="377">
        <f t="shared" si="255"/>
        <v>0</v>
      </c>
      <c r="BB644" s="377">
        <f t="shared" si="256"/>
        <v>0</v>
      </c>
      <c r="BC644" s="377">
        <f t="shared" si="257"/>
        <v>0</v>
      </c>
      <c r="BD644" s="377">
        <f t="shared" si="258"/>
        <v>0</v>
      </c>
      <c r="BE644" s="377">
        <f t="shared" si="259"/>
        <v>0</v>
      </c>
      <c r="BF644" s="377">
        <f t="shared" si="260"/>
        <v>0</v>
      </c>
      <c r="BG644" s="328"/>
    </row>
    <row r="645" spans="2:59">
      <c r="B645" s="332">
        <v>630</v>
      </c>
      <c r="C645" s="350">
        <v>5193560.6044893404</v>
      </c>
      <c r="D645" s="350">
        <v>32080.482571030767</v>
      </c>
      <c r="E645" s="350">
        <v>30715.936371985266</v>
      </c>
      <c r="F645" s="350">
        <v>29314.672394846457</v>
      </c>
      <c r="G645" s="350">
        <v>27876.762214229646</v>
      </c>
      <c r="H645" s="348">
        <v>5313548.4580414323</v>
      </c>
      <c r="I645" s="369"/>
      <c r="J645" s="350">
        <v>7078778.9903143719</v>
      </c>
      <c r="K645" s="350">
        <v>1940588.7537655598</v>
      </c>
      <c r="L645" s="350">
        <v>1961028.1368962224</v>
      </c>
      <c r="M645" s="350">
        <v>1979891.5332427239</v>
      </c>
      <c r="N645" s="350">
        <v>1997125.8313182814</v>
      </c>
      <c r="O645" s="348">
        <v>14957413.245537162</v>
      </c>
      <c r="P645" s="369"/>
      <c r="Q645" s="350">
        <f t="shared" si="261"/>
        <v>1885218.3858250314</v>
      </c>
      <c r="R645" s="350">
        <f t="shared" si="262"/>
        <v>1908508.271194529</v>
      </c>
      <c r="S645" s="350">
        <f t="shared" si="263"/>
        <v>1930312.200524237</v>
      </c>
      <c r="T645" s="350">
        <f t="shared" si="264"/>
        <v>1950576.8608478773</v>
      </c>
      <c r="U645" s="350">
        <f t="shared" si="265"/>
        <v>1969249.0691040517</v>
      </c>
      <c r="V645" s="350">
        <f t="shared" si="266"/>
        <v>9643864.7874957286</v>
      </c>
      <c r="W645" s="365"/>
      <c r="X645" s="377">
        <f t="shared" si="244"/>
        <v>0</v>
      </c>
      <c r="Y645" s="377">
        <f t="shared" si="245"/>
        <v>0</v>
      </c>
      <c r="Z645" s="377">
        <f t="shared" si="246"/>
        <v>0</v>
      </c>
      <c r="AA645" s="377">
        <f t="shared" si="247"/>
        <v>0</v>
      </c>
      <c r="AB645" s="377">
        <f t="shared" si="248"/>
        <v>0</v>
      </c>
      <c r="AC645" s="377">
        <f t="shared" si="249"/>
        <v>0</v>
      </c>
      <c r="AD645" s="376"/>
      <c r="AE645" s="332">
        <v>630</v>
      </c>
      <c r="AF645" s="350">
        <v>6019438.2358989883</v>
      </c>
      <c r="AG645" s="350">
        <v>37181.906233505077</v>
      </c>
      <c r="AH645" s="350">
        <v>35600.370522133162</v>
      </c>
      <c r="AI645" s="350">
        <v>33976.278188389937</v>
      </c>
      <c r="AJ645" s="350">
        <v>32309.712188656904</v>
      </c>
      <c r="AK645" s="348">
        <v>6158506.5030316729</v>
      </c>
      <c r="AL645" s="369"/>
      <c r="AM645" s="350">
        <v>7320254.4080432989</v>
      </c>
      <c r="AN645" s="350">
        <v>1354068.2905950441</v>
      </c>
      <c r="AO645" s="350">
        <v>1367531.6452272201</v>
      </c>
      <c r="AP645" s="350">
        <v>1379890.3349786748</v>
      </c>
      <c r="AQ645" s="350">
        <v>1391107.7460565632</v>
      </c>
      <c r="AR645" s="348">
        <v>12812852.4249008</v>
      </c>
      <c r="AS645" s="369"/>
      <c r="AT645" s="350">
        <f t="shared" si="267"/>
        <v>1300816.1721443105</v>
      </c>
      <c r="AU645" s="350">
        <f t="shared" si="250"/>
        <v>1316886.384361539</v>
      </c>
      <c r="AV645" s="350">
        <f t="shared" si="251"/>
        <v>1331931.2747050871</v>
      </c>
      <c r="AW645" s="350">
        <f t="shared" si="252"/>
        <v>1345914.0567902848</v>
      </c>
      <c r="AX645" s="350">
        <f t="shared" si="253"/>
        <v>1358798.0338679063</v>
      </c>
      <c r="AY645" s="350">
        <f t="shared" si="254"/>
        <v>6654345.9218691271</v>
      </c>
      <c r="AZ645" s="365"/>
      <c r="BA645" s="377">
        <f t="shared" si="255"/>
        <v>0</v>
      </c>
      <c r="BB645" s="377">
        <f t="shared" si="256"/>
        <v>0</v>
      </c>
      <c r="BC645" s="377">
        <f t="shared" si="257"/>
        <v>0</v>
      </c>
      <c r="BD645" s="377">
        <f t="shared" si="258"/>
        <v>0</v>
      </c>
      <c r="BE645" s="377">
        <f t="shared" si="259"/>
        <v>0</v>
      </c>
      <c r="BF645" s="377">
        <f t="shared" si="260"/>
        <v>0</v>
      </c>
      <c r="BG645" s="328"/>
    </row>
    <row r="646" spans="2:59">
      <c r="B646" s="332">
        <v>631</v>
      </c>
      <c r="C646" s="350">
        <v>5005829.1049936824</v>
      </c>
      <c r="D646" s="350">
        <v>30920.870205595031</v>
      </c>
      <c r="E646" s="350">
        <v>29605.648222360353</v>
      </c>
      <c r="F646" s="350">
        <v>28255.035697595777</v>
      </c>
      <c r="G646" s="350">
        <v>26869.101618715438</v>
      </c>
      <c r="H646" s="348">
        <v>5121479.76073795</v>
      </c>
      <c r="I646" s="369"/>
      <c r="J646" s="350">
        <v>6970201.5352798374</v>
      </c>
      <c r="K646" s="350">
        <v>2019561.0506199894</v>
      </c>
      <c r="L646" s="350">
        <v>2040965.2323775813</v>
      </c>
      <c r="M646" s="350">
        <v>2060730.1258059652</v>
      </c>
      <c r="N646" s="350">
        <v>2078800.3838514443</v>
      </c>
      <c r="O646" s="348">
        <v>15170258.327934816</v>
      </c>
      <c r="P646" s="369"/>
      <c r="Q646" s="350">
        <f t="shared" si="261"/>
        <v>1964372.4302861551</v>
      </c>
      <c r="R646" s="350">
        <f t="shared" si="262"/>
        <v>1988640.1804143945</v>
      </c>
      <c r="S646" s="350">
        <f t="shared" si="263"/>
        <v>2011359.584155221</v>
      </c>
      <c r="T646" s="350">
        <f t="shared" si="264"/>
        <v>2032475.0901083695</v>
      </c>
      <c r="U646" s="350">
        <f t="shared" si="265"/>
        <v>2051931.282232729</v>
      </c>
      <c r="V646" s="350">
        <f t="shared" si="266"/>
        <v>10048778.567196866</v>
      </c>
      <c r="W646" s="365"/>
      <c r="X646" s="377">
        <f t="shared" si="244"/>
        <v>0</v>
      </c>
      <c r="Y646" s="377">
        <f t="shared" si="245"/>
        <v>0</v>
      </c>
      <c r="Z646" s="377">
        <f t="shared" si="246"/>
        <v>0</v>
      </c>
      <c r="AA646" s="377">
        <f t="shared" si="247"/>
        <v>0</v>
      </c>
      <c r="AB646" s="377">
        <f t="shared" si="248"/>
        <v>0</v>
      </c>
      <c r="AC646" s="377">
        <f t="shared" si="249"/>
        <v>0</v>
      </c>
      <c r="AD646" s="376"/>
      <c r="AE646" s="332">
        <v>631</v>
      </c>
      <c r="AF646" s="350">
        <v>6459509.0149419019</v>
      </c>
      <c r="AG646" s="350">
        <v>39900.21146419963</v>
      </c>
      <c r="AH646" s="350">
        <v>38203.052396406536</v>
      </c>
      <c r="AI646" s="350">
        <v>36460.22546476093</v>
      </c>
      <c r="AJ646" s="350">
        <v>34671.819690436365</v>
      </c>
      <c r="AK646" s="348">
        <v>6608744.3239577049</v>
      </c>
      <c r="AL646" s="369"/>
      <c r="AM646" s="350">
        <v>9388020.6668543331</v>
      </c>
      <c r="AN646" s="350">
        <v>3004590.5369929662</v>
      </c>
      <c r="AO646" s="350">
        <v>3036763.7568582674</v>
      </c>
      <c r="AP646" s="350">
        <v>3066500.1974353837</v>
      </c>
      <c r="AQ646" s="350">
        <v>3093717.3327995781</v>
      </c>
      <c r="AR646" s="348">
        <v>21589592.490940526</v>
      </c>
      <c r="AS646" s="369"/>
      <c r="AT646" s="350">
        <f t="shared" si="267"/>
        <v>2928511.6519124312</v>
      </c>
      <c r="AU646" s="350">
        <f t="shared" si="250"/>
        <v>2964690.3255287665</v>
      </c>
      <c r="AV646" s="350">
        <f t="shared" si="251"/>
        <v>2998560.7044618609</v>
      </c>
      <c r="AW646" s="350">
        <f t="shared" si="252"/>
        <v>3030039.9719706229</v>
      </c>
      <c r="AX646" s="350">
        <f t="shared" si="253"/>
        <v>3059045.5131091415</v>
      </c>
      <c r="AY646" s="350">
        <f t="shared" si="254"/>
        <v>14980848.166982822</v>
      </c>
      <c r="AZ646" s="365"/>
      <c r="BA646" s="377">
        <f t="shared" si="255"/>
        <v>0</v>
      </c>
      <c r="BB646" s="377">
        <f t="shared" si="256"/>
        <v>0</v>
      </c>
      <c r="BC646" s="377">
        <f t="shared" si="257"/>
        <v>0</v>
      </c>
      <c r="BD646" s="377">
        <f t="shared" si="258"/>
        <v>0</v>
      </c>
      <c r="BE646" s="377">
        <f t="shared" si="259"/>
        <v>0</v>
      </c>
      <c r="BF646" s="377">
        <f t="shared" si="260"/>
        <v>0</v>
      </c>
      <c r="BG646" s="328"/>
    </row>
    <row r="647" spans="2:59">
      <c r="B647" s="332">
        <v>632</v>
      </c>
      <c r="C647" s="350">
        <v>6319829.4754305808</v>
      </c>
      <c r="D647" s="350">
        <v>39037.414748406125</v>
      </c>
      <c r="E647" s="350">
        <v>37376.954816187681</v>
      </c>
      <c r="F647" s="350">
        <v>35671.814535752979</v>
      </c>
      <c r="G647" s="350">
        <v>33922.081003304971</v>
      </c>
      <c r="H647" s="348">
        <v>6465837.740534232</v>
      </c>
      <c r="I647" s="369"/>
      <c r="J647" s="350">
        <v>8003214.9694002289</v>
      </c>
      <c r="K647" s="350">
        <v>1743219.3615226815</v>
      </c>
      <c r="L647" s="350">
        <v>1761028.4859214637</v>
      </c>
      <c r="M647" s="350">
        <v>1777418.4562582055</v>
      </c>
      <c r="N647" s="350">
        <v>1792341.8703860827</v>
      </c>
      <c r="O647" s="348">
        <v>15077223.143488662</v>
      </c>
      <c r="P647" s="369"/>
      <c r="Q647" s="350">
        <f t="shared" si="261"/>
        <v>1683385.4939696481</v>
      </c>
      <c r="R647" s="350">
        <f t="shared" si="262"/>
        <v>1704181.9467742755</v>
      </c>
      <c r="S647" s="350">
        <f t="shared" si="263"/>
        <v>1723651.531105276</v>
      </c>
      <c r="T647" s="350">
        <f t="shared" si="264"/>
        <v>1741746.6417224526</v>
      </c>
      <c r="U647" s="350">
        <f t="shared" si="265"/>
        <v>1758419.7893827776</v>
      </c>
      <c r="V647" s="350">
        <f t="shared" si="266"/>
        <v>8611385.4029544294</v>
      </c>
      <c r="W647" s="365"/>
      <c r="X647" s="377">
        <f t="shared" si="244"/>
        <v>0</v>
      </c>
      <c r="Y647" s="377">
        <f t="shared" si="245"/>
        <v>0</v>
      </c>
      <c r="Z647" s="377">
        <f t="shared" si="246"/>
        <v>0</v>
      </c>
      <c r="AA647" s="377">
        <f t="shared" si="247"/>
        <v>0</v>
      </c>
      <c r="AB647" s="377">
        <f t="shared" si="248"/>
        <v>0</v>
      </c>
      <c r="AC647" s="377">
        <f t="shared" si="249"/>
        <v>0</v>
      </c>
      <c r="AD647" s="376"/>
      <c r="AE647" s="332">
        <v>632</v>
      </c>
      <c r="AF647" s="350">
        <v>7131923.9892542046</v>
      </c>
      <c r="AG647" s="350">
        <v>44053.700468501062</v>
      </c>
      <c r="AH647" s="350">
        <v>42179.872373957936</v>
      </c>
      <c r="AI647" s="350">
        <v>40255.622531718764</v>
      </c>
      <c r="AJ647" s="350">
        <v>38281.049229800024</v>
      </c>
      <c r="AK647" s="348">
        <v>7296694.2338581821</v>
      </c>
      <c r="AL647" s="369"/>
      <c r="AM647" s="350">
        <v>9299046.924884893</v>
      </c>
      <c r="AN647" s="350">
        <v>2237949.1549394149</v>
      </c>
      <c r="AO647" s="350">
        <v>2261139.6884554802</v>
      </c>
      <c r="AP647" s="350">
        <v>2282510.3579182578</v>
      </c>
      <c r="AQ647" s="350">
        <v>2302000.1258698949</v>
      </c>
      <c r="AR647" s="348">
        <v>18382646.252067942</v>
      </c>
      <c r="AS647" s="369"/>
      <c r="AT647" s="350">
        <f t="shared" si="267"/>
        <v>2167122.9356306884</v>
      </c>
      <c r="AU647" s="350">
        <f t="shared" si="250"/>
        <v>2193895.4544709139</v>
      </c>
      <c r="AV647" s="350">
        <f t="shared" si="251"/>
        <v>2218959.816081522</v>
      </c>
      <c r="AW647" s="350">
        <f t="shared" si="252"/>
        <v>2242254.7353865393</v>
      </c>
      <c r="AX647" s="350">
        <f t="shared" si="253"/>
        <v>2263719.0766400946</v>
      </c>
      <c r="AY647" s="350">
        <f t="shared" si="254"/>
        <v>11085952.018209759</v>
      </c>
      <c r="AZ647" s="365"/>
      <c r="BA647" s="377">
        <f t="shared" si="255"/>
        <v>0</v>
      </c>
      <c r="BB647" s="377">
        <f t="shared" si="256"/>
        <v>0</v>
      </c>
      <c r="BC647" s="377">
        <f t="shared" si="257"/>
        <v>0</v>
      </c>
      <c r="BD647" s="377">
        <f t="shared" si="258"/>
        <v>0</v>
      </c>
      <c r="BE647" s="377">
        <f t="shared" si="259"/>
        <v>0</v>
      </c>
      <c r="BF647" s="377">
        <f t="shared" si="260"/>
        <v>0</v>
      </c>
      <c r="BG647" s="328"/>
    </row>
    <row r="648" spans="2:59">
      <c r="B648" s="332">
        <v>633</v>
      </c>
      <c r="C648" s="350">
        <v>6242772.6621076707</v>
      </c>
      <c r="D648" s="350">
        <v>38561.436908723736</v>
      </c>
      <c r="E648" s="350">
        <v>36921.222736541524</v>
      </c>
      <c r="F648" s="350">
        <v>35236.872997495615</v>
      </c>
      <c r="G648" s="350">
        <v>33508.473725837226</v>
      </c>
      <c r="H648" s="348">
        <v>6387000.6684762686</v>
      </c>
      <c r="I648" s="369"/>
      <c r="J648" s="350">
        <v>8239489.7677327394</v>
      </c>
      <c r="K648" s="350">
        <v>2059945.8770213933</v>
      </c>
      <c r="L648" s="350">
        <v>2081399.1564146371</v>
      </c>
      <c r="M648" s="350">
        <v>2101177.9932284765</v>
      </c>
      <c r="N648" s="350">
        <v>2119226.1449947399</v>
      </c>
      <c r="O648" s="348">
        <v>16601238.939391986</v>
      </c>
      <c r="P648" s="369"/>
      <c r="Q648" s="350">
        <f t="shared" si="261"/>
        <v>1996717.1056250688</v>
      </c>
      <c r="R648" s="350">
        <f t="shared" si="262"/>
        <v>2021384.4401126695</v>
      </c>
      <c r="S648" s="350">
        <f t="shared" si="263"/>
        <v>2044477.9336780957</v>
      </c>
      <c r="T648" s="350">
        <f t="shared" si="264"/>
        <v>2065941.1202309809</v>
      </c>
      <c r="U648" s="350">
        <f t="shared" si="265"/>
        <v>2085717.6712689027</v>
      </c>
      <c r="V648" s="350">
        <f t="shared" si="266"/>
        <v>10214238.270915717</v>
      </c>
      <c r="W648" s="365"/>
      <c r="X648" s="377">
        <f t="shared" si="244"/>
        <v>0</v>
      </c>
      <c r="Y648" s="377">
        <f t="shared" si="245"/>
        <v>0</v>
      </c>
      <c r="Z648" s="377">
        <f t="shared" si="246"/>
        <v>0</v>
      </c>
      <c r="AA648" s="377">
        <f t="shared" si="247"/>
        <v>0</v>
      </c>
      <c r="AB648" s="377">
        <f t="shared" si="248"/>
        <v>0</v>
      </c>
      <c r="AC648" s="377">
        <f t="shared" si="249"/>
        <v>0</v>
      </c>
      <c r="AD648" s="376"/>
      <c r="AE648" s="332">
        <v>633</v>
      </c>
      <c r="AF648" s="350">
        <v>5813084.3562838119</v>
      </c>
      <c r="AG648" s="350">
        <v>35907.263932666181</v>
      </c>
      <c r="AH648" s="350">
        <v>34379.945245706775</v>
      </c>
      <c r="AI648" s="350">
        <v>32811.528830675961</v>
      </c>
      <c r="AJ648" s="350">
        <v>31202.094800107534</v>
      </c>
      <c r="AK648" s="348">
        <v>5947385.1890929677</v>
      </c>
      <c r="AL648" s="369"/>
      <c r="AM648" s="350">
        <v>8065080.8799594473</v>
      </c>
      <c r="AN648" s="350">
        <v>2315724.8301375248</v>
      </c>
      <c r="AO648" s="350">
        <v>2340243.4981766529</v>
      </c>
      <c r="AP648" s="350">
        <v>2362882.3274289886</v>
      </c>
      <c r="AQ648" s="350">
        <v>2383577.8679299755</v>
      </c>
      <c r="AR648" s="348">
        <v>17467509.403632589</v>
      </c>
      <c r="AS648" s="369"/>
      <c r="AT648" s="350">
        <f t="shared" si="267"/>
        <v>2251996.5236756355</v>
      </c>
      <c r="AU648" s="350">
        <f t="shared" si="250"/>
        <v>2279817.5662048585</v>
      </c>
      <c r="AV648" s="350">
        <f t="shared" si="251"/>
        <v>2305863.552930946</v>
      </c>
      <c r="AW648" s="350">
        <f t="shared" si="252"/>
        <v>2330070.7985983128</v>
      </c>
      <c r="AX648" s="350">
        <f t="shared" si="253"/>
        <v>2352375.7731298679</v>
      </c>
      <c r="AY648" s="350">
        <f t="shared" si="254"/>
        <v>11520124.214539621</v>
      </c>
      <c r="AZ648" s="365"/>
      <c r="BA648" s="377">
        <f t="shared" si="255"/>
        <v>0</v>
      </c>
      <c r="BB648" s="377">
        <f t="shared" si="256"/>
        <v>0</v>
      </c>
      <c r="BC648" s="377">
        <f t="shared" si="257"/>
        <v>0</v>
      </c>
      <c r="BD648" s="377">
        <f t="shared" si="258"/>
        <v>0</v>
      </c>
      <c r="BE648" s="377">
        <f t="shared" si="259"/>
        <v>0</v>
      </c>
      <c r="BF648" s="377">
        <f t="shared" si="260"/>
        <v>0</v>
      </c>
      <c r="BG648" s="328"/>
    </row>
    <row r="649" spans="2:59">
      <c r="B649" s="332">
        <v>634</v>
      </c>
      <c r="C649" s="350">
        <v>6415174.6802661782</v>
      </c>
      <c r="D649" s="350">
        <v>39626.359484955989</v>
      </c>
      <c r="E649" s="350">
        <v>37940.848735624015</v>
      </c>
      <c r="F649" s="350">
        <v>36209.983560249995</v>
      </c>
      <c r="G649" s="350">
        <v>34433.852369017135</v>
      </c>
      <c r="H649" s="348">
        <v>6563385.724416025</v>
      </c>
      <c r="I649" s="369"/>
      <c r="J649" s="350">
        <v>8125807.5327208582</v>
      </c>
      <c r="K649" s="350">
        <v>1771392.2771285425</v>
      </c>
      <c r="L649" s="350">
        <v>1789491.4863376238</v>
      </c>
      <c r="M649" s="350">
        <v>1806148.6201092703</v>
      </c>
      <c r="N649" s="350">
        <v>1821315.5089474702</v>
      </c>
      <c r="O649" s="348">
        <v>15314155.425243765</v>
      </c>
      <c r="P649" s="369"/>
      <c r="Q649" s="350">
        <f t="shared" si="261"/>
        <v>1710632.85245468</v>
      </c>
      <c r="R649" s="350">
        <f t="shared" si="262"/>
        <v>1731765.9176435866</v>
      </c>
      <c r="S649" s="350">
        <f t="shared" si="263"/>
        <v>1751550.6376019998</v>
      </c>
      <c r="T649" s="350">
        <f t="shared" si="264"/>
        <v>1769938.6365490204</v>
      </c>
      <c r="U649" s="350">
        <f t="shared" si="265"/>
        <v>1786881.656578453</v>
      </c>
      <c r="V649" s="350">
        <f t="shared" si="266"/>
        <v>8750769.7008277401</v>
      </c>
      <c r="W649" s="365"/>
      <c r="X649" s="377">
        <f t="shared" si="244"/>
        <v>0</v>
      </c>
      <c r="Y649" s="377">
        <f t="shared" si="245"/>
        <v>0</v>
      </c>
      <c r="Z649" s="377">
        <f t="shared" si="246"/>
        <v>0</v>
      </c>
      <c r="AA649" s="377">
        <f t="shared" si="247"/>
        <v>0</v>
      </c>
      <c r="AB649" s="377">
        <f t="shared" si="248"/>
        <v>0</v>
      </c>
      <c r="AC649" s="377">
        <f t="shared" si="249"/>
        <v>0</v>
      </c>
      <c r="AD649" s="376"/>
      <c r="AE649" s="332">
        <v>634</v>
      </c>
      <c r="AF649" s="350">
        <v>7575219.8017833428</v>
      </c>
      <c r="AG649" s="350">
        <v>46791.926643306339</v>
      </c>
      <c r="AH649" s="350">
        <v>44801.627853203034</v>
      </c>
      <c r="AI649" s="350">
        <v>42757.773273364292</v>
      </c>
      <c r="AJ649" s="350">
        <v>40660.467301045508</v>
      </c>
      <c r="AK649" s="348">
        <v>7750231.5968542621</v>
      </c>
      <c r="AL649" s="369"/>
      <c r="AM649" s="350">
        <v>10835350.589992994</v>
      </c>
      <c r="AN649" s="350">
        <v>3347198.1932367198</v>
      </c>
      <c r="AO649" s="350">
        <v>3382913.6912106504</v>
      </c>
      <c r="AP649" s="350">
        <v>3415913.7570224493</v>
      </c>
      <c r="AQ649" s="350">
        <v>3446106.5249628024</v>
      </c>
      <c r="AR649" s="348">
        <v>24427482.756425615</v>
      </c>
      <c r="AS649" s="369"/>
      <c r="AT649" s="350">
        <f t="shared" si="267"/>
        <v>3260130.7882096516</v>
      </c>
      <c r="AU649" s="350">
        <f t="shared" si="250"/>
        <v>3300406.2665934134</v>
      </c>
      <c r="AV649" s="350">
        <f t="shared" si="251"/>
        <v>3338112.0633574473</v>
      </c>
      <c r="AW649" s="350">
        <f t="shared" si="252"/>
        <v>3373155.9837490851</v>
      </c>
      <c r="AX649" s="350">
        <f t="shared" si="253"/>
        <v>3405446.0576617569</v>
      </c>
      <c r="AY649" s="350">
        <f t="shared" si="254"/>
        <v>16677251.159571353</v>
      </c>
      <c r="AZ649" s="365"/>
      <c r="BA649" s="377">
        <f t="shared" si="255"/>
        <v>0</v>
      </c>
      <c r="BB649" s="377">
        <f t="shared" si="256"/>
        <v>0</v>
      </c>
      <c r="BC649" s="377">
        <f t="shared" si="257"/>
        <v>0</v>
      </c>
      <c r="BD649" s="377">
        <f t="shared" si="258"/>
        <v>0</v>
      </c>
      <c r="BE649" s="377">
        <f t="shared" si="259"/>
        <v>0</v>
      </c>
      <c r="BF649" s="377">
        <f t="shared" si="260"/>
        <v>0</v>
      </c>
      <c r="BG649" s="328"/>
    </row>
    <row r="650" spans="2:59">
      <c r="B650" s="332">
        <v>635</v>
      </c>
      <c r="C650" s="350">
        <v>5545990.497105171</v>
      </c>
      <c r="D650" s="350">
        <v>34257.432430400549</v>
      </c>
      <c r="E650" s="350">
        <v>32800.289474135781</v>
      </c>
      <c r="F650" s="350">
        <v>31303.937107624759</v>
      </c>
      <c r="G650" s="350">
        <v>29768.451762464687</v>
      </c>
      <c r="H650" s="348">
        <v>5674120.607879797</v>
      </c>
      <c r="I650" s="369"/>
      <c r="J650" s="350">
        <v>7303268.3430690076</v>
      </c>
      <c r="K650" s="350">
        <v>1813244.5932951428</v>
      </c>
      <c r="L650" s="350">
        <v>1832111.6537596362</v>
      </c>
      <c r="M650" s="350">
        <v>1849504.6984573966</v>
      </c>
      <c r="N650" s="350">
        <v>1865374.2300325637</v>
      </c>
      <c r="O650" s="348">
        <v>14663503.518613745</v>
      </c>
      <c r="P650" s="369"/>
      <c r="Q650" s="350">
        <f t="shared" si="261"/>
        <v>1757277.8459638366</v>
      </c>
      <c r="R650" s="350">
        <f t="shared" si="262"/>
        <v>1778987.1608647422</v>
      </c>
      <c r="S650" s="350">
        <f t="shared" si="263"/>
        <v>1799311.3642855005</v>
      </c>
      <c r="T650" s="350">
        <f t="shared" si="264"/>
        <v>1818200.7613497719</v>
      </c>
      <c r="U650" s="350">
        <f t="shared" si="265"/>
        <v>1835605.7782700991</v>
      </c>
      <c r="V650" s="350">
        <f t="shared" si="266"/>
        <v>8989382.9107339475</v>
      </c>
      <c r="W650" s="365"/>
      <c r="X650" s="377">
        <f t="shared" si="244"/>
        <v>0</v>
      </c>
      <c r="Y650" s="377">
        <f t="shared" si="245"/>
        <v>0</v>
      </c>
      <c r="Z650" s="377">
        <f t="shared" si="246"/>
        <v>0</v>
      </c>
      <c r="AA650" s="377">
        <f t="shared" si="247"/>
        <v>0</v>
      </c>
      <c r="AB650" s="377">
        <f t="shared" si="248"/>
        <v>0</v>
      </c>
      <c r="AC650" s="377">
        <f t="shared" si="249"/>
        <v>0</v>
      </c>
      <c r="AD650" s="376"/>
      <c r="AE650" s="332">
        <v>635</v>
      </c>
      <c r="AF650" s="350">
        <v>5143816.0962170083</v>
      </c>
      <c r="AG650" s="350">
        <v>31773.212096655676</v>
      </c>
      <c r="AH650" s="350">
        <v>30421.735674755459</v>
      </c>
      <c r="AI650" s="350">
        <v>29033.893161773965</v>
      </c>
      <c r="AJ650" s="350">
        <v>27609.755446777901</v>
      </c>
      <c r="AK650" s="348">
        <v>5262654.6925969711</v>
      </c>
      <c r="AL650" s="369"/>
      <c r="AM650" s="350">
        <v>7335391.659720907</v>
      </c>
      <c r="AN650" s="350">
        <v>2250423.3808751362</v>
      </c>
      <c r="AO650" s="350">
        <v>2274419.0785878892</v>
      </c>
      <c r="AP650" s="350">
        <v>2296589.0024864427</v>
      </c>
      <c r="AQ650" s="350">
        <v>2316871.3978917338</v>
      </c>
      <c r="AR650" s="348">
        <v>16473694.51956211</v>
      </c>
      <c r="AS650" s="369"/>
      <c r="AT650" s="350">
        <f t="shared" si="267"/>
        <v>2191575.5635038987</v>
      </c>
      <c r="AU650" s="350">
        <f t="shared" si="250"/>
        <v>2218650.1687784805</v>
      </c>
      <c r="AV650" s="350">
        <f t="shared" si="251"/>
        <v>2243997.3429131336</v>
      </c>
      <c r="AW650" s="350">
        <f t="shared" si="252"/>
        <v>2267555.1093246685</v>
      </c>
      <c r="AX650" s="350">
        <f t="shared" si="253"/>
        <v>2289261.6424449561</v>
      </c>
      <c r="AY650" s="350">
        <f t="shared" si="254"/>
        <v>11211039.826965138</v>
      </c>
      <c r="AZ650" s="365"/>
      <c r="BA650" s="377">
        <f t="shared" si="255"/>
        <v>0</v>
      </c>
      <c r="BB650" s="377">
        <f t="shared" si="256"/>
        <v>0</v>
      </c>
      <c r="BC650" s="377">
        <f t="shared" si="257"/>
        <v>0</v>
      </c>
      <c r="BD650" s="377">
        <f t="shared" si="258"/>
        <v>0</v>
      </c>
      <c r="BE650" s="377">
        <f t="shared" si="259"/>
        <v>0</v>
      </c>
      <c r="BF650" s="377">
        <f t="shared" si="260"/>
        <v>0</v>
      </c>
      <c r="BG650" s="328"/>
    </row>
    <row r="651" spans="2:59">
      <c r="B651" s="332">
        <v>636</v>
      </c>
      <c r="C651" s="350">
        <v>4329989.5728848008</v>
      </c>
      <c r="D651" s="350">
        <v>26746.227800942939</v>
      </c>
      <c r="E651" s="350">
        <v>25608.574606239563</v>
      </c>
      <c r="F651" s="350">
        <v>24440.308965009175</v>
      </c>
      <c r="G651" s="350">
        <v>23241.490550638107</v>
      </c>
      <c r="H651" s="348">
        <v>4430026.1748076314</v>
      </c>
      <c r="I651" s="369"/>
      <c r="J651" s="350">
        <v>6381487.7878525583</v>
      </c>
      <c r="K651" s="350">
        <v>2103588.5401006481</v>
      </c>
      <c r="L651" s="350">
        <v>2126177.9640634321</v>
      </c>
      <c r="M651" s="350">
        <v>2147061.7401344292</v>
      </c>
      <c r="N651" s="350">
        <v>2166182.054078979</v>
      </c>
      <c r="O651" s="348">
        <v>14924498.086230047</v>
      </c>
      <c r="P651" s="369"/>
      <c r="Q651" s="350">
        <f t="shared" si="261"/>
        <v>2051498.2149677575</v>
      </c>
      <c r="R651" s="350">
        <f t="shared" si="262"/>
        <v>2076842.3122997051</v>
      </c>
      <c r="S651" s="350">
        <f t="shared" si="263"/>
        <v>2100569.3894571923</v>
      </c>
      <c r="T651" s="350">
        <f t="shared" si="264"/>
        <v>2122621.43116942</v>
      </c>
      <c r="U651" s="350">
        <f t="shared" si="265"/>
        <v>2142940.5635283408</v>
      </c>
      <c r="V651" s="350">
        <f t="shared" si="266"/>
        <v>10494471.911422417</v>
      </c>
      <c r="W651" s="365"/>
      <c r="X651" s="377">
        <f t="shared" si="244"/>
        <v>0</v>
      </c>
      <c r="Y651" s="377">
        <f t="shared" si="245"/>
        <v>0</v>
      </c>
      <c r="Z651" s="377">
        <f t="shared" si="246"/>
        <v>0</v>
      </c>
      <c r="AA651" s="377">
        <f t="shared" si="247"/>
        <v>0</v>
      </c>
      <c r="AB651" s="377">
        <f t="shared" si="248"/>
        <v>0</v>
      </c>
      <c r="AC651" s="377">
        <f t="shared" si="249"/>
        <v>0</v>
      </c>
      <c r="AD651" s="376"/>
      <c r="AE651" s="332">
        <v>636</v>
      </c>
      <c r="AF651" s="350">
        <v>6265770.2482396699</v>
      </c>
      <c r="AG651" s="350">
        <v>38703.492372646295</v>
      </c>
      <c r="AH651" s="350">
        <v>37057.235858584216</v>
      </c>
      <c r="AI651" s="350">
        <v>35366.681187807226</v>
      </c>
      <c r="AJ651" s="350">
        <v>33631.91471149557</v>
      </c>
      <c r="AK651" s="348">
        <v>6410529.5723702032</v>
      </c>
      <c r="AL651" s="369"/>
      <c r="AM651" s="350">
        <v>8038873.2002591733</v>
      </c>
      <c r="AN651" s="350">
        <v>1833711.2617922714</v>
      </c>
      <c r="AO651" s="350">
        <v>1852572.2376237165</v>
      </c>
      <c r="AP651" s="350">
        <v>1869941.1878419707</v>
      </c>
      <c r="AQ651" s="350">
        <v>1885768.1785756859</v>
      </c>
      <c r="AR651" s="348">
        <v>15480866.066092815</v>
      </c>
      <c r="AS651" s="369"/>
      <c r="AT651" s="350">
        <f t="shared" si="267"/>
        <v>1773102.9520195033</v>
      </c>
      <c r="AU651" s="350">
        <f t="shared" si="250"/>
        <v>1795007.7694196252</v>
      </c>
      <c r="AV651" s="350">
        <f t="shared" si="251"/>
        <v>1815515.0017651322</v>
      </c>
      <c r="AW651" s="350">
        <f t="shared" si="252"/>
        <v>1834574.5066541636</v>
      </c>
      <c r="AX651" s="350">
        <f t="shared" si="253"/>
        <v>1852136.2638641903</v>
      </c>
      <c r="AY651" s="350">
        <f t="shared" si="254"/>
        <v>9070336.493722612</v>
      </c>
      <c r="AZ651" s="365"/>
      <c r="BA651" s="377">
        <f t="shared" si="255"/>
        <v>0</v>
      </c>
      <c r="BB651" s="377">
        <f t="shared" si="256"/>
        <v>0</v>
      </c>
      <c r="BC651" s="377">
        <f t="shared" si="257"/>
        <v>0</v>
      </c>
      <c r="BD651" s="377">
        <f t="shared" si="258"/>
        <v>0</v>
      </c>
      <c r="BE651" s="377">
        <f t="shared" si="259"/>
        <v>0</v>
      </c>
      <c r="BF651" s="377">
        <f t="shared" si="260"/>
        <v>0</v>
      </c>
      <c r="BG651" s="328"/>
    </row>
    <row r="652" spans="2:59">
      <c r="B652" s="332">
        <v>637</v>
      </c>
      <c r="C652" s="350">
        <v>8252614.4775443217</v>
      </c>
      <c r="D652" s="350">
        <v>50976.175127992108</v>
      </c>
      <c r="E652" s="350">
        <v>48807.898953883821</v>
      </c>
      <c r="F652" s="350">
        <v>46581.277900377536</v>
      </c>
      <c r="G652" s="350">
        <v>44296.425700193919</v>
      </c>
      <c r="H652" s="348">
        <v>8443276.2552267686</v>
      </c>
      <c r="I652" s="369"/>
      <c r="J652" s="350">
        <v>10491477.155467685</v>
      </c>
      <c r="K652" s="350">
        <v>2317497.6407647263</v>
      </c>
      <c r="L652" s="350">
        <v>2341223.4487855402</v>
      </c>
      <c r="M652" s="350">
        <v>2363062.8945710398</v>
      </c>
      <c r="N652" s="350">
        <v>2382952.932289971</v>
      </c>
      <c r="O652" s="348">
        <v>19896214.071878962</v>
      </c>
      <c r="P652" s="369"/>
      <c r="Q652" s="350">
        <f t="shared" si="261"/>
        <v>2238862.6779233636</v>
      </c>
      <c r="R652" s="350">
        <f t="shared" si="262"/>
        <v>2266521.4656367344</v>
      </c>
      <c r="S652" s="350">
        <f t="shared" si="263"/>
        <v>2292415.5498316563</v>
      </c>
      <c r="T652" s="350">
        <f t="shared" si="264"/>
        <v>2316481.6166706621</v>
      </c>
      <c r="U652" s="350">
        <f t="shared" si="265"/>
        <v>2338656.5065897773</v>
      </c>
      <c r="V652" s="350">
        <f t="shared" si="266"/>
        <v>11452937.816652194</v>
      </c>
      <c r="W652" s="365"/>
      <c r="X652" s="377">
        <f t="shared" si="244"/>
        <v>0</v>
      </c>
      <c r="Y652" s="377">
        <f t="shared" si="245"/>
        <v>0</v>
      </c>
      <c r="Z652" s="377">
        <f t="shared" si="246"/>
        <v>0</v>
      </c>
      <c r="AA652" s="377">
        <f t="shared" si="247"/>
        <v>0</v>
      </c>
      <c r="AB652" s="377">
        <f t="shared" si="248"/>
        <v>0</v>
      </c>
      <c r="AC652" s="377">
        <f t="shared" si="249"/>
        <v>0</v>
      </c>
      <c r="AD652" s="376"/>
      <c r="AE652" s="332">
        <v>637</v>
      </c>
      <c r="AF652" s="350">
        <v>6209675.4756137291</v>
      </c>
      <c r="AG652" s="350">
        <v>38356.996488109588</v>
      </c>
      <c r="AH652" s="350">
        <v>36725.478207524298</v>
      </c>
      <c r="AI652" s="350">
        <v>35050.05835275619</v>
      </c>
      <c r="AJ652" s="350">
        <v>33330.822501924275</v>
      </c>
      <c r="AK652" s="348">
        <v>6353138.8311640425</v>
      </c>
      <c r="AL652" s="369"/>
      <c r="AM652" s="350">
        <v>7877929.0829472672</v>
      </c>
      <c r="AN652" s="350">
        <v>1727220.1181220526</v>
      </c>
      <c r="AO652" s="350">
        <v>1744883.1728372709</v>
      </c>
      <c r="AP652" s="350">
        <v>1761140.2073551598</v>
      </c>
      <c r="AQ652" s="350">
        <v>1775944.2448897692</v>
      </c>
      <c r="AR652" s="348">
        <v>14887116.82615152</v>
      </c>
      <c r="AS652" s="369"/>
      <c r="AT652" s="350">
        <f t="shared" si="267"/>
        <v>1668253.6073335381</v>
      </c>
      <c r="AU652" s="350">
        <f t="shared" si="250"/>
        <v>1688863.1216339429</v>
      </c>
      <c r="AV652" s="350">
        <f t="shared" si="251"/>
        <v>1708157.6946297465</v>
      </c>
      <c r="AW652" s="350">
        <f t="shared" si="252"/>
        <v>1726090.1490024037</v>
      </c>
      <c r="AX652" s="350">
        <f t="shared" si="253"/>
        <v>1742613.4223878449</v>
      </c>
      <c r="AY652" s="350">
        <f t="shared" si="254"/>
        <v>8533977.9949874766</v>
      </c>
      <c r="AZ652" s="365"/>
      <c r="BA652" s="377">
        <f t="shared" si="255"/>
        <v>0</v>
      </c>
      <c r="BB652" s="377">
        <f t="shared" si="256"/>
        <v>0</v>
      </c>
      <c r="BC652" s="377">
        <f t="shared" si="257"/>
        <v>0</v>
      </c>
      <c r="BD652" s="377">
        <f t="shared" si="258"/>
        <v>0</v>
      </c>
      <c r="BE652" s="377">
        <f t="shared" si="259"/>
        <v>0</v>
      </c>
      <c r="BF652" s="377">
        <f t="shared" si="260"/>
        <v>0</v>
      </c>
      <c r="BG652" s="328"/>
    </row>
    <row r="653" spans="2:59">
      <c r="B653" s="332">
        <v>638</v>
      </c>
      <c r="C653" s="350">
        <v>7204716.9653916964</v>
      </c>
      <c r="D653" s="350">
        <v>44503.340701880494</v>
      </c>
      <c r="E653" s="350">
        <v>42610.387119743951</v>
      </c>
      <c r="F653" s="350">
        <v>40666.497153317199</v>
      </c>
      <c r="G653" s="350">
        <v>38671.770093804997</v>
      </c>
      <c r="H653" s="348">
        <v>7371168.960460444</v>
      </c>
      <c r="I653" s="369"/>
      <c r="J653" s="350">
        <v>9375930.773849301</v>
      </c>
      <c r="K653" s="350">
        <v>2242540.2064200453</v>
      </c>
      <c r="L653" s="350">
        <v>2265758.9283844973</v>
      </c>
      <c r="M653" s="350">
        <v>2287153.9314870201</v>
      </c>
      <c r="N653" s="350">
        <v>2306664.0638671517</v>
      </c>
      <c r="O653" s="348">
        <v>18478047.904008016</v>
      </c>
      <c r="P653" s="369"/>
      <c r="Q653" s="350">
        <f t="shared" si="261"/>
        <v>2171213.8084576046</v>
      </c>
      <c r="R653" s="350">
        <f t="shared" si="262"/>
        <v>2198036.8657181649</v>
      </c>
      <c r="S653" s="350">
        <f t="shared" si="263"/>
        <v>2223148.5412647533</v>
      </c>
      <c r="T653" s="350">
        <f t="shared" si="264"/>
        <v>2246487.434333703</v>
      </c>
      <c r="U653" s="350">
        <f t="shared" si="265"/>
        <v>2267992.2937733466</v>
      </c>
      <c r="V653" s="350">
        <f t="shared" si="266"/>
        <v>11106878.943547573</v>
      </c>
      <c r="W653" s="365"/>
      <c r="X653" s="377">
        <f t="shared" si="244"/>
        <v>0</v>
      </c>
      <c r="Y653" s="377">
        <f t="shared" si="245"/>
        <v>0</v>
      </c>
      <c r="Z653" s="377">
        <f t="shared" si="246"/>
        <v>0</v>
      </c>
      <c r="AA653" s="377">
        <f t="shared" si="247"/>
        <v>0</v>
      </c>
      <c r="AB653" s="377">
        <f t="shared" si="248"/>
        <v>0</v>
      </c>
      <c r="AC653" s="377">
        <f t="shared" si="249"/>
        <v>0</v>
      </c>
      <c r="AD653" s="376"/>
      <c r="AE653" s="332">
        <v>638</v>
      </c>
      <c r="AF653" s="350">
        <v>4725331.7000309965</v>
      </c>
      <c r="AG653" s="350">
        <v>29188.245365645009</v>
      </c>
      <c r="AH653" s="350">
        <v>27946.720735137849</v>
      </c>
      <c r="AI653" s="350">
        <v>26671.788642200165</v>
      </c>
      <c r="AJ653" s="350">
        <v>25363.514208587327</v>
      </c>
      <c r="AK653" s="348">
        <v>4834501.9689825661</v>
      </c>
      <c r="AL653" s="369"/>
      <c r="AM653" s="350">
        <v>6228948.4276864119</v>
      </c>
      <c r="AN653" s="350">
        <v>1551380.5722673128</v>
      </c>
      <c r="AO653" s="350">
        <v>1567529.4747169113</v>
      </c>
      <c r="AP653" s="350">
        <v>1582417.2760621768</v>
      </c>
      <c r="AQ653" s="350">
        <v>1596001.6235589148</v>
      </c>
      <c r="AR653" s="348">
        <v>12526277.374291727</v>
      </c>
      <c r="AS653" s="369"/>
      <c r="AT653" s="350">
        <f t="shared" si="267"/>
        <v>1503616.7276554154</v>
      </c>
      <c r="AU653" s="350">
        <f t="shared" si="250"/>
        <v>1522192.3269016678</v>
      </c>
      <c r="AV653" s="350">
        <f t="shared" si="251"/>
        <v>1539582.7539817735</v>
      </c>
      <c r="AW653" s="350">
        <f t="shared" si="252"/>
        <v>1555745.4874199766</v>
      </c>
      <c r="AX653" s="350">
        <f t="shared" si="253"/>
        <v>1570638.1093503274</v>
      </c>
      <c r="AY653" s="350">
        <f t="shared" si="254"/>
        <v>7691775.4053091612</v>
      </c>
      <c r="AZ653" s="365"/>
      <c r="BA653" s="377">
        <f t="shared" si="255"/>
        <v>0</v>
      </c>
      <c r="BB653" s="377">
        <f t="shared" si="256"/>
        <v>0</v>
      </c>
      <c r="BC653" s="377">
        <f t="shared" si="257"/>
        <v>0</v>
      </c>
      <c r="BD653" s="377">
        <f t="shared" si="258"/>
        <v>0</v>
      </c>
      <c r="BE653" s="377">
        <f t="shared" si="259"/>
        <v>0</v>
      </c>
      <c r="BF653" s="377">
        <f t="shared" si="260"/>
        <v>0</v>
      </c>
      <c r="BG653" s="328"/>
    </row>
    <row r="654" spans="2:59">
      <c r="B654" s="332">
        <v>639</v>
      </c>
      <c r="C654" s="350">
        <v>5515984.2094756206</v>
      </c>
      <c r="D654" s="350">
        <v>34072.084407988674</v>
      </c>
      <c r="E654" s="350">
        <v>32622.825246455162</v>
      </c>
      <c r="F654" s="350">
        <v>31134.568815111423</v>
      </c>
      <c r="G654" s="350">
        <v>29607.391132025488</v>
      </c>
      <c r="H654" s="348">
        <v>5643421.079077201</v>
      </c>
      <c r="I654" s="369"/>
      <c r="J654" s="350">
        <v>7785168.4638018422</v>
      </c>
      <c r="K654" s="350">
        <v>2331289.7175527588</v>
      </c>
      <c r="L654" s="350">
        <v>2356085.2337920154</v>
      </c>
      <c r="M654" s="350">
        <v>2378988.978028303</v>
      </c>
      <c r="N654" s="350">
        <v>2399937.0113271326</v>
      </c>
      <c r="O654" s="348">
        <v>17251469.404502049</v>
      </c>
      <c r="P654" s="369"/>
      <c r="Q654" s="350">
        <f t="shared" si="261"/>
        <v>2269184.2543262215</v>
      </c>
      <c r="R654" s="350">
        <f t="shared" si="262"/>
        <v>2297217.6331447703</v>
      </c>
      <c r="S654" s="350">
        <f t="shared" si="263"/>
        <v>2323462.4085455602</v>
      </c>
      <c r="T654" s="350">
        <f t="shared" si="264"/>
        <v>2347854.4092131914</v>
      </c>
      <c r="U654" s="350">
        <f t="shared" si="265"/>
        <v>2370329.6201951071</v>
      </c>
      <c r="V654" s="350">
        <f t="shared" si="266"/>
        <v>11608048.325424848</v>
      </c>
      <c r="W654" s="365"/>
      <c r="X654" s="377">
        <f t="shared" si="244"/>
        <v>0</v>
      </c>
      <c r="Y654" s="377">
        <f t="shared" si="245"/>
        <v>0</v>
      </c>
      <c r="Z654" s="377">
        <f t="shared" si="246"/>
        <v>0</v>
      </c>
      <c r="AA654" s="377">
        <f t="shared" si="247"/>
        <v>0</v>
      </c>
      <c r="AB654" s="377">
        <f t="shared" si="248"/>
        <v>0</v>
      </c>
      <c r="AC654" s="377">
        <f t="shared" si="249"/>
        <v>0</v>
      </c>
      <c r="AD654" s="376"/>
      <c r="AE654" s="332">
        <v>639</v>
      </c>
      <c r="AF654" s="350">
        <v>5380321.9216638906</v>
      </c>
      <c r="AG654" s="350">
        <v>33234.102146660029</v>
      </c>
      <c r="AH654" s="350">
        <v>31820.486635657999</v>
      </c>
      <c r="AI654" s="350">
        <v>30368.832969052532</v>
      </c>
      <c r="AJ654" s="350">
        <v>28879.2152952984</v>
      </c>
      <c r="AK654" s="348">
        <v>5504624.5587105593</v>
      </c>
      <c r="AL654" s="369"/>
      <c r="AM654" s="350">
        <v>7754161.2649341226</v>
      </c>
      <c r="AN654" s="350">
        <v>2436399.7275102879</v>
      </c>
      <c r="AO654" s="350">
        <v>2462441.3000400611</v>
      </c>
      <c r="AP654" s="350">
        <v>2486506.6094563357</v>
      </c>
      <c r="AQ654" s="350">
        <v>2508528.7625766229</v>
      </c>
      <c r="AR654" s="348">
        <v>17648037.664517432</v>
      </c>
      <c r="AS654" s="369"/>
      <c r="AT654" s="350">
        <f t="shared" si="267"/>
        <v>2373839.343270232</v>
      </c>
      <c r="AU654" s="350">
        <f t="shared" si="250"/>
        <v>2403165.6253636279</v>
      </c>
      <c r="AV654" s="350">
        <f t="shared" si="251"/>
        <v>2430620.8134044032</v>
      </c>
      <c r="AW654" s="350">
        <f t="shared" si="252"/>
        <v>2456137.7764872829</v>
      </c>
      <c r="AX654" s="350">
        <f t="shared" si="253"/>
        <v>2479649.5472813244</v>
      </c>
      <c r="AY654" s="350">
        <f t="shared" si="254"/>
        <v>12143413.105806872</v>
      </c>
      <c r="AZ654" s="365"/>
      <c r="BA654" s="377">
        <f t="shared" si="255"/>
        <v>0</v>
      </c>
      <c r="BB654" s="377">
        <f t="shared" si="256"/>
        <v>0</v>
      </c>
      <c r="BC654" s="377">
        <f t="shared" si="257"/>
        <v>0</v>
      </c>
      <c r="BD654" s="377">
        <f t="shared" si="258"/>
        <v>0</v>
      </c>
      <c r="BE654" s="377">
        <f t="shared" si="259"/>
        <v>0</v>
      </c>
      <c r="BF654" s="377">
        <f t="shared" si="260"/>
        <v>0</v>
      </c>
      <c r="BG654" s="328"/>
    </row>
    <row r="655" spans="2:59">
      <c r="B655" s="332">
        <v>640</v>
      </c>
      <c r="C655" s="350">
        <v>5924995.4339800654</v>
      </c>
      <c r="D655" s="350">
        <v>36598.535615224268</v>
      </c>
      <c r="E655" s="350">
        <v>35041.813625343129</v>
      </c>
      <c r="F655" s="350">
        <v>33443.202711055819</v>
      </c>
      <c r="G655" s="350">
        <v>31802.784527186286</v>
      </c>
      <c r="H655" s="348">
        <v>6061881.7704588752</v>
      </c>
      <c r="I655" s="369"/>
      <c r="J655" s="350">
        <v>7813215.7093823897</v>
      </c>
      <c r="K655" s="350">
        <v>1948145.7815675603</v>
      </c>
      <c r="L655" s="350">
        <v>1968427.7079556924</v>
      </c>
      <c r="M655" s="350">
        <v>1987126.025389306</v>
      </c>
      <c r="N655" s="350">
        <v>2004187.5477768541</v>
      </c>
      <c r="O655" s="348">
        <v>15721102.772071801</v>
      </c>
      <c r="P655" s="369"/>
      <c r="Q655" s="350">
        <f t="shared" si="261"/>
        <v>1888220.2754023243</v>
      </c>
      <c r="R655" s="350">
        <f t="shared" si="262"/>
        <v>1911547.2459523361</v>
      </c>
      <c r="S655" s="350">
        <f t="shared" si="263"/>
        <v>1933385.8943303493</v>
      </c>
      <c r="T655" s="350">
        <f t="shared" si="264"/>
        <v>1953682.8226782503</v>
      </c>
      <c r="U655" s="350">
        <f t="shared" si="265"/>
        <v>1972384.7632496678</v>
      </c>
      <c r="V655" s="350">
        <f t="shared" si="266"/>
        <v>9659221.0016129259</v>
      </c>
      <c r="W655" s="365"/>
      <c r="X655" s="377">
        <f t="shared" si="244"/>
        <v>0</v>
      </c>
      <c r="Y655" s="377">
        <f t="shared" si="245"/>
        <v>0</v>
      </c>
      <c r="Z655" s="377">
        <f t="shared" si="246"/>
        <v>0</v>
      </c>
      <c r="AA655" s="377">
        <f t="shared" si="247"/>
        <v>0</v>
      </c>
      <c r="AB655" s="377">
        <f t="shared" si="248"/>
        <v>0</v>
      </c>
      <c r="AC655" s="377">
        <f t="shared" si="249"/>
        <v>0</v>
      </c>
      <c r="AD655" s="376"/>
      <c r="AE655" s="332">
        <v>640</v>
      </c>
      <c r="AF655" s="350">
        <v>6524438.0408790773</v>
      </c>
      <c r="AG655" s="350">
        <v>40301.276291117392</v>
      </c>
      <c r="AH655" s="350">
        <v>38587.057894996404</v>
      </c>
      <c r="AI655" s="350">
        <v>36826.712595501092</v>
      </c>
      <c r="AJ655" s="350">
        <v>35020.330308621451</v>
      </c>
      <c r="AK655" s="348">
        <v>6675173.4179693135</v>
      </c>
      <c r="AL655" s="369"/>
      <c r="AM655" s="350">
        <v>9404926.3765151668</v>
      </c>
      <c r="AN655" s="350">
        <v>2956375.0081070657</v>
      </c>
      <c r="AO655" s="350">
        <v>2987975.7438708972</v>
      </c>
      <c r="AP655" s="350">
        <v>3017178.4520440251</v>
      </c>
      <c r="AQ655" s="350">
        <v>3043901.962361041</v>
      </c>
      <c r="AR655" s="348">
        <v>21410357.542898197</v>
      </c>
      <c r="AS655" s="369"/>
      <c r="AT655" s="350">
        <f t="shared" si="267"/>
        <v>2880488.3356360896</v>
      </c>
      <c r="AU655" s="350">
        <f t="shared" si="250"/>
        <v>2916073.7318159482</v>
      </c>
      <c r="AV655" s="350">
        <f t="shared" si="251"/>
        <v>2949388.6859759009</v>
      </c>
      <c r="AW655" s="350">
        <f t="shared" si="252"/>
        <v>2980351.7394485241</v>
      </c>
      <c r="AX655" s="350">
        <f t="shared" si="253"/>
        <v>3008881.6320524197</v>
      </c>
      <c r="AY655" s="350">
        <f t="shared" si="254"/>
        <v>14735184.124928884</v>
      </c>
      <c r="AZ655" s="365"/>
      <c r="BA655" s="377">
        <f t="shared" si="255"/>
        <v>0</v>
      </c>
      <c r="BB655" s="377">
        <f t="shared" si="256"/>
        <v>0</v>
      </c>
      <c r="BC655" s="377">
        <f t="shared" si="257"/>
        <v>0</v>
      </c>
      <c r="BD655" s="377">
        <f t="shared" si="258"/>
        <v>0</v>
      </c>
      <c r="BE655" s="377">
        <f t="shared" si="259"/>
        <v>0</v>
      </c>
      <c r="BF655" s="377">
        <f t="shared" si="260"/>
        <v>0</v>
      </c>
      <c r="BG655" s="328"/>
    </row>
    <row r="656" spans="2:59">
      <c r="B656" s="332">
        <v>641</v>
      </c>
      <c r="C656" s="350">
        <v>5284209.1288558031</v>
      </c>
      <c r="D656" s="350">
        <v>32640.416040087141</v>
      </c>
      <c r="E656" s="350">
        <v>31252.053020791747</v>
      </c>
      <c r="F656" s="350">
        <v>29826.331350475128</v>
      </c>
      <c r="G656" s="350">
        <v>28363.323853011985</v>
      </c>
      <c r="H656" s="348">
        <v>5406291.25312017</v>
      </c>
      <c r="I656" s="369"/>
      <c r="J656" s="350">
        <v>7545760.2498122007</v>
      </c>
      <c r="K656" s="350">
        <v>2322130.616500678</v>
      </c>
      <c r="L656" s="350">
        <v>2346898.7461124877</v>
      </c>
      <c r="M656" s="350">
        <v>2369782.974745716</v>
      </c>
      <c r="N656" s="350">
        <v>2390719.5756066209</v>
      </c>
      <c r="O656" s="348">
        <v>16975292.162777703</v>
      </c>
      <c r="P656" s="369"/>
      <c r="Q656" s="350">
        <f t="shared" si="261"/>
        <v>2261551.1209563976</v>
      </c>
      <c r="R656" s="350">
        <f t="shared" si="262"/>
        <v>2289490.2004605909</v>
      </c>
      <c r="S656" s="350">
        <f t="shared" si="263"/>
        <v>2315646.6930916961</v>
      </c>
      <c r="T656" s="350">
        <f t="shared" si="264"/>
        <v>2339956.6433952409</v>
      </c>
      <c r="U656" s="350">
        <f t="shared" si="265"/>
        <v>2362356.2517536087</v>
      </c>
      <c r="V656" s="350">
        <f t="shared" si="266"/>
        <v>11569000.909657534</v>
      </c>
      <c r="W656" s="365"/>
      <c r="X656" s="377">
        <f t="shared" ref="X656:X719" si="268">IF(Q656&lt;Q$8,1,0)</f>
        <v>0</v>
      </c>
      <c r="Y656" s="377">
        <f t="shared" ref="Y656:Y719" si="269">IF(R656&lt;R$8,1,0)</f>
        <v>0</v>
      </c>
      <c r="Z656" s="377">
        <f t="shared" ref="Z656:Z719" si="270">IF(S656&lt;S$8,1,0)</f>
        <v>0</v>
      </c>
      <c r="AA656" s="377">
        <f t="shared" ref="AA656:AA719" si="271">IF(T656&lt;T$8,1,0)</f>
        <v>0</v>
      </c>
      <c r="AB656" s="377">
        <f t="shared" ref="AB656:AB719" si="272">IF(U656&lt;U$8,1,0)</f>
        <v>0</v>
      </c>
      <c r="AC656" s="377">
        <f t="shared" ref="AC656:AC719" si="273">IF(V656&lt;V$8,1,0)</f>
        <v>0</v>
      </c>
      <c r="AD656" s="376"/>
      <c r="AE656" s="332">
        <v>641</v>
      </c>
      <c r="AF656" s="350">
        <v>6683944.1106875753</v>
      </c>
      <c r="AG656" s="350">
        <v>41286.540945205299</v>
      </c>
      <c r="AH656" s="350">
        <v>39530.414228789414</v>
      </c>
      <c r="AI656" s="350">
        <v>37727.032922444007</v>
      </c>
      <c r="AJ656" s="350">
        <v>35876.489140373335</v>
      </c>
      <c r="AK656" s="348">
        <v>6838364.5879243873</v>
      </c>
      <c r="AL656" s="369"/>
      <c r="AM656" s="350">
        <v>9062464.1770202219</v>
      </c>
      <c r="AN656" s="350">
        <v>2449190.7147692982</v>
      </c>
      <c r="AO656" s="350">
        <v>2474943.912078978</v>
      </c>
      <c r="AP656" s="350">
        <v>2498707.8080597701</v>
      </c>
      <c r="AQ656" s="350">
        <v>2520415.3954491215</v>
      </c>
      <c r="AR656" s="348">
        <v>19005722.00737739</v>
      </c>
      <c r="AS656" s="369"/>
      <c r="AT656" s="350">
        <f t="shared" si="267"/>
        <v>2378520.0663326466</v>
      </c>
      <c r="AU656" s="350">
        <f t="shared" ref="AU656:AU719" si="274">AN656-AG656</f>
        <v>2407904.1738240928</v>
      </c>
      <c r="AV656" s="350">
        <f t="shared" ref="AV656:AV719" si="275">AO656-AH656</f>
        <v>2435413.4978501885</v>
      </c>
      <c r="AW656" s="350">
        <f t="shared" ref="AW656:AW719" si="276">AP656-AI656</f>
        <v>2460980.7751373262</v>
      </c>
      <c r="AX656" s="350">
        <f t="shared" ref="AX656:AX719" si="277">AQ656-AJ656</f>
        <v>2484538.9063087483</v>
      </c>
      <c r="AY656" s="350">
        <f t="shared" ref="AY656:AY719" si="278">AR656-AK656</f>
        <v>12167357.419453003</v>
      </c>
      <c r="AZ656" s="365"/>
      <c r="BA656" s="377">
        <f t="shared" ref="BA656:BA719" si="279">IF(AT656&lt;AT$8,1,0)</f>
        <v>0</v>
      </c>
      <c r="BB656" s="377">
        <f t="shared" ref="BB656:BB719" si="280">IF(AU656&lt;AU$8,1,0)</f>
        <v>0</v>
      </c>
      <c r="BC656" s="377">
        <f t="shared" ref="BC656:BC719" si="281">IF(AV656&lt;AV$8,1,0)</f>
        <v>0</v>
      </c>
      <c r="BD656" s="377">
        <f t="shared" ref="BD656:BD719" si="282">IF(AW656&lt;AW$8,1,0)</f>
        <v>0</v>
      </c>
      <c r="BE656" s="377">
        <f t="shared" ref="BE656:BE719" si="283">IF(AX656&lt;AX$8,1,0)</f>
        <v>0</v>
      </c>
      <c r="BF656" s="377">
        <f t="shared" ref="BF656:BF719" si="284">IF(AY656&lt;AY$8,1,0)</f>
        <v>0</v>
      </c>
      <c r="BG656" s="328"/>
    </row>
    <row r="657" spans="2:59">
      <c r="B657" s="332">
        <v>642</v>
      </c>
      <c r="C657" s="350">
        <v>6618161.1465729782</v>
      </c>
      <c r="D657" s="350">
        <v>40880.201365394765</v>
      </c>
      <c r="E657" s="350">
        <v>39141.358339394632</v>
      </c>
      <c r="F657" s="350">
        <v>37355.725800212465</v>
      </c>
      <c r="G657" s="350">
        <v>35523.394955475247</v>
      </c>
      <c r="H657" s="348">
        <v>6771061.8270334546</v>
      </c>
      <c r="I657" s="369"/>
      <c r="J657" s="350">
        <v>8944140.5085935351</v>
      </c>
      <c r="K657" s="350">
        <v>2395594.5858749049</v>
      </c>
      <c r="L657" s="350">
        <v>2420757.3952055704</v>
      </c>
      <c r="M657" s="350">
        <v>2443974.2674401356</v>
      </c>
      <c r="N657" s="350">
        <v>2465179.6766120279</v>
      </c>
      <c r="O657" s="348">
        <v>18669646.433726173</v>
      </c>
      <c r="P657" s="369"/>
      <c r="Q657" s="350">
        <f t="shared" ref="Q657:Q720" si="285">J657-C657</f>
        <v>2325979.3620205568</v>
      </c>
      <c r="R657" s="350">
        <f t="shared" ref="R657:R720" si="286">K657-D657</f>
        <v>2354714.3845095099</v>
      </c>
      <c r="S657" s="350">
        <f t="shared" ref="S657:S720" si="287">L657-E657</f>
        <v>2381616.0368661759</v>
      </c>
      <c r="T657" s="350">
        <f t="shared" ref="T657:T720" si="288">M657-F657</f>
        <v>2406618.5416399231</v>
      </c>
      <c r="U657" s="350">
        <f t="shared" ref="U657:U720" si="289">N657-G657</f>
        <v>2429656.2816565526</v>
      </c>
      <c r="V657" s="350">
        <f t="shared" ref="V657:V720" si="290">O657-H657</f>
        <v>11898584.606692718</v>
      </c>
      <c r="W657" s="365"/>
      <c r="X657" s="377">
        <f t="shared" si="268"/>
        <v>0</v>
      </c>
      <c r="Y657" s="377">
        <f t="shared" si="269"/>
        <v>0</v>
      </c>
      <c r="Z657" s="377">
        <f t="shared" si="270"/>
        <v>0</v>
      </c>
      <c r="AA657" s="377">
        <f t="shared" si="271"/>
        <v>0</v>
      </c>
      <c r="AB657" s="377">
        <f t="shared" si="272"/>
        <v>0</v>
      </c>
      <c r="AC657" s="377">
        <f t="shared" si="273"/>
        <v>0</v>
      </c>
      <c r="AD657" s="376"/>
      <c r="AE657" s="332">
        <v>642</v>
      </c>
      <c r="AF657" s="350">
        <v>5133451.0391895985</v>
      </c>
      <c r="AG657" s="350">
        <v>31709.187421362247</v>
      </c>
      <c r="AH657" s="350">
        <v>30360.4342947599</v>
      </c>
      <c r="AI657" s="350">
        <v>28975.388356640909</v>
      </c>
      <c r="AJ657" s="350">
        <v>27554.120353227605</v>
      </c>
      <c r="AK657" s="348">
        <v>5252050.1696155891</v>
      </c>
      <c r="AL657" s="369"/>
      <c r="AM657" s="350">
        <v>6901536.8469843427</v>
      </c>
      <c r="AN657" s="350">
        <v>1821637.8310894426</v>
      </c>
      <c r="AO657" s="350">
        <v>1840738.2833662503</v>
      </c>
      <c r="AP657" s="350">
        <v>1858358.8118419047</v>
      </c>
      <c r="AQ657" s="350">
        <v>1874449.6085765399</v>
      </c>
      <c r="AR657" s="348">
        <v>14296721.381858481</v>
      </c>
      <c r="AS657" s="369"/>
      <c r="AT657" s="350">
        <f t="shared" ref="AT657:AT720" si="291">AM657-AF657</f>
        <v>1768085.8077947441</v>
      </c>
      <c r="AU657" s="350">
        <f t="shared" si="274"/>
        <v>1789928.6436680804</v>
      </c>
      <c r="AV657" s="350">
        <f t="shared" si="275"/>
        <v>1810377.8490714903</v>
      </c>
      <c r="AW657" s="350">
        <f t="shared" si="276"/>
        <v>1829383.4234852637</v>
      </c>
      <c r="AX657" s="350">
        <f t="shared" si="277"/>
        <v>1846895.4882233122</v>
      </c>
      <c r="AY657" s="350">
        <f t="shared" si="278"/>
        <v>9044671.212242892</v>
      </c>
      <c r="AZ657" s="365"/>
      <c r="BA657" s="377">
        <f t="shared" si="279"/>
        <v>0</v>
      </c>
      <c r="BB657" s="377">
        <f t="shared" si="280"/>
        <v>0</v>
      </c>
      <c r="BC657" s="377">
        <f t="shared" si="281"/>
        <v>0</v>
      </c>
      <c r="BD657" s="377">
        <f t="shared" si="282"/>
        <v>0</v>
      </c>
      <c r="BE657" s="377">
        <f t="shared" si="283"/>
        <v>0</v>
      </c>
      <c r="BF657" s="377">
        <f t="shared" si="284"/>
        <v>0</v>
      </c>
      <c r="BG657" s="328"/>
    </row>
    <row r="658" spans="2:59">
      <c r="B658" s="332">
        <v>643</v>
      </c>
      <c r="C658" s="350">
        <v>8065526.2337300591</v>
      </c>
      <c r="D658" s="350">
        <v>49820.536135402355</v>
      </c>
      <c r="E658" s="350">
        <v>47701.415169332307</v>
      </c>
      <c r="F658" s="350">
        <v>45525.272012702146</v>
      </c>
      <c r="G658" s="350">
        <v>43292.217819885787</v>
      </c>
      <c r="H658" s="348">
        <v>8251865.6748673813</v>
      </c>
      <c r="I658" s="369"/>
      <c r="J658" s="350">
        <v>9730228.486702906</v>
      </c>
      <c r="K658" s="350">
        <v>1735088.4301701016</v>
      </c>
      <c r="L658" s="350">
        <v>1752222.808189478</v>
      </c>
      <c r="M658" s="350">
        <v>1767940.9450537427</v>
      </c>
      <c r="N658" s="350">
        <v>1782195.9897388862</v>
      </c>
      <c r="O658" s="348">
        <v>16767676.659855116</v>
      </c>
      <c r="P658" s="369"/>
      <c r="Q658" s="350">
        <f t="shared" si="285"/>
        <v>1664702.2529728469</v>
      </c>
      <c r="R658" s="350">
        <f t="shared" si="286"/>
        <v>1685267.8940346993</v>
      </c>
      <c r="S658" s="350">
        <f t="shared" si="287"/>
        <v>1704521.3930201456</v>
      </c>
      <c r="T658" s="350">
        <f t="shared" si="288"/>
        <v>1722415.6730410405</v>
      </c>
      <c r="U658" s="350">
        <f t="shared" si="289"/>
        <v>1738903.7719190004</v>
      </c>
      <c r="V658" s="350">
        <f t="shared" si="290"/>
        <v>8515810.9849877357</v>
      </c>
      <c r="W658" s="365"/>
      <c r="X658" s="377">
        <f t="shared" si="268"/>
        <v>0</v>
      </c>
      <c r="Y658" s="377">
        <f t="shared" si="269"/>
        <v>0</v>
      </c>
      <c r="Z658" s="377">
        <f t="shared" si="270"/>
        <v>0</v>
      </c>
      <c r="AA658" s="377">
        <f t="shared" si="271"/>
        <v>0</v>
      </c>
      <c r="AB658" s="377">
        <f t="shared" si="272"/>
        <v>0</v>
      </c>
      <c r="AC658" s="377">
        <f t="shared" si="273"/>
        <v>0</v>
      </c>
      <c r="AD658" s="376"/>
      <c r="AE658" s="332">
        <v>643</v>
      </c>
      <c r="AF658" s="350">
        <v>7391657.1499089915</v>
      </c>
      <c r="AG658" s="350">
        <v>45658.065136222453</v>
      </c>
      <c r="AH658" s="350">
        <v>43715.995246860635</v>
      </c>
      <c r="AI658" s="350">
        <v>41721.667331137731</v>
      </c>
      <c r="AJ658" s="350">
        <v>39675.183256551463</v>
      </c>
      <c r="AK658" s="348">
        <v>7562428.0608797632</v>
      </c>
      <c r="AL658" s="369"/>
      <c r="AM658" s="350">
        <v>10014209.034722198</v>
      </c>
      <c r="AN658" s="350">
        <v>2700608.8132493598</v>
      </c>
      <c r="AO658" s="350">
        <v>2728998.4738321351</v>
      </c>
      <c r="AP658" s="350">
        <v>2755194.5791980205</v>
      </c>
      <c r="AQ658" s="350">
        <v>2779123.2475641528</v>
      </c>
      <c r="AR658" s="348">
        <v>20978134.148565866</v>
      </c>
      <c r="AS658" s="369"/>
      <c r="AT658" s="350">
        <f t="shared" si="291"/>
        <v>2622551.8848132063</v>
      </c>
      <c r="AU658" s="350">
        <f t="shared" si="274"/>
        <v>2654950.7481131372</v>
      </c>
      <c r="AV658" s="350">
        <f t="shared" si="275"/>
        <v>2685282.4785852744</v>
      </c>
      <c r="AW658" s="350">
        <f t="shared" si="276"/>
        <v>2713472.9118668828</v>
      </c>
      <c r="AX658" s="350">
        <f t="shared" si="277"/>
        <v>2739448.0643076012</v>
      </c>
      <c r="AY658" s="350">
        <f t="shared" si="278"/>
        <v>13415706.087686103</v>
      </c>
      <c r="AZ658" s="365"/>
      <c r="BA658" s="377">
        <f t="shared" si="279"/>
        <v>0</v>
      </c>
      <c r="BB658" s="377">
        <f t="shared" si="280"/>
        <v>0</v>
      </c>
      <c r="BC658" s="377">
        <f t="shared" si="281"/>
        <v>0</v>
      </c>
      <c r="BD658" s="377">
        <f t="shared" si="282"/>
        <v>0</v>
      </c>
      <c r="BE658" s="377">
        <f t="shared" si="283"/>
        <v>0</v>
      </c>
      <c r="BF658" s="377">
        <f t="shared" si="284"/>
        <v>0</v>
      </c>
      <c r="BG658" s="328"/>
    </row>
    <row r="659" spans="2:59">
      <c r="B659" s="332">
        <v>644</v>
      </c>
      <c r="C659" s="350">
        <v>5073826.0447401311</v>
      </c>
      <c r="D659" s="350">
        <v>31340.885452656064</v>
      </c>
      <c r="E659" s="350">
        <v>30007.798083273341</v>
      </c>
      <c r="F659" s="350">
        <v>28638.839443103992</v>
      </c>
      <c r="G659" s="350">
        <v>27234.079456649266</v>
      </c>
      <c r="H659" s="348">
        <v>5191047.647175815</v>
      </c>
      <c r="I659" s="369"/>
      <c r="J659" s="350">
        <v>6999768.660039193</v>
      </c>
      <c r="K659" s="350">
        <v>1981076.4910364551</v>
      </c>
      <c r="L659" s="350">
        <v>2002018.3384930871</v>
      </c>
      <c r="M659" s="350">
        <v>2021351.7945945286</v>
      </c>
      <c r="N659" s="350">
        <v>2039022.5973506705</v>
      </c>
      <c r="O659" s="348">
        <v>15043237.881513933</v>
      </c>
      <c r="P659" s="369"/>
      <c r="Q659" s="350">
        <f t="shared" si="285"/>
        <v>1925942.6152990619</v>
      </c>
      <c r="R659" s="350">
        <f t="shared" si="286"/>
        <v>1949735.6055837991</v>
      </c>
      <c r="S659" s="350">
        <f t="shared" si="287"/>
        <v>1972010.5404098139</v>
      </c>
      <c r="T659" s="350">
        <f t="shared" si="288"/>
        <v>1992712.9551514247</v>
      </c>
      <c r="U659" s="350">
        <f t="shared" si="289"/>
        <v>2011788.5178940212</v>
      </c>
      <c r="V659" s="350">
        <f t="shared" si="290"/>
        <v>9852190.2343381178</v>
      </c>
      <c r="W659" s="365"/>
      <c r="X659" s="377">
        <f t="shared" si="268"/>
        <v>0</v>
      </c>
      <c r="Y659" s="377">
        <f t="shared" si="269"/>
        <v>0</v>
      </c>
      <c r="Z659" s="377">
        <f t="shared" si="270"/>
        <v>0</v>
      </c>
      <c r="AA659" s="377">
        <f t="shared" si="271"/>
        <v>0</v>
      </c>
      <c r="AB659" s="377">
        <f t="shared" si="272"/>
        <v>0</v>
      </c>
      <c r="AC659" s="377">
        <f t="shared" si="273"/>
        <v>0</v>
      </c>
      <c r="AD659" s="376"/>
      <c r="AE659" s="332">
        <v>644</v>
      </c>
      <c r="AF659" s="350">
        <v>6486814.8643548489</v>
      </c>
      <c r="AG659" s="350">
        <v>40068.878953207983</v>
      </c>
      <c r="AH659" s="350">
        <v>38364.54559866825</v>
      </c>
      <c r="AI659" s="350">
        <v>36614.351331571495</v>
      </c>
      <c r="AJ659" s="350">
        <v>34818.385549412007</v>
      </c>
      <c r="AK659" s="348">
        <v>6636681.0257877083</v>
      </c>
      <c r="AL659" s="369"/>
      <c r="AM659" s="350">
        <v>8563218.1022032499</v>
      </c>
      <c r="AN659" s="350">
        <v>2142123.8894312177</v>
      </c>
      <c r="AO659" s="350">
        <v>2164434.6780373179</v>
      </c>
      <c r="AP659" s="350">
        <v>2185004.235490384</v>
      </c>
      <c r="AQ659" s="350">
        <v>2203774.0746952835</v>
      </c>
      <c r="AR659" s="348">
        <v>17258554.979857452</v>
      </c>
      <c r="AS659" s="369"/>
      <c r="AT659" s="350">
        <f t="shared" si="291"/>
        <v>2076403.2378484011</v>
      </c>
      <c r="AU659" s="350">
        <f t="shared" si="274"/>
        <v>2102055.0104780095</v>
      </c>
      <c r="AV659" s="350">
        <f t="shared" si="275"/>
        <v>2126070.1324386499</v>
      </c>
      <c r="AW659" s="350">
        <f t="shared" si="276"/>
        <v>2148389.8841588125</v>
      </c>
      <c r="AX659" s="350">
        <f t="shared" si="277"/>
        <v>2168955.6891458714</v>
      </c>
      <c r="AY659" s="350">
        <f t="shared" si="278"/>
        <v>10621873.954069745</v>
      </c>
      <c r="AZ659" s="365"/>
      <c r="BA659" s="377">
        <f t="shared" si="279"/>
        <v>0</v>
      </c>
      <c r="BB659" s="377">
        <f t="shared" si="280"/>
        <v>0</v>
      </c>
      <c r="BC659" s="377">
        <f t="shared" si="281"/>
        <v>0</v>
      </c>
      <c r="BD659" s="377">
        <f t="shared" si="282"/>
        <v>0</v>
      </c>
      <c r="BE659" s="377">
        <f t="shared" si="283"/>
        <v>0</v>
      </c>
      <c r="BF659" s="377">
        <f t="shared" si="284"/>
        <v>0</v>
      </c>
      <c r="BG659" s="328"/>
    </row>
    <row r="660" spans="2:59">
      <c r="B660" s="332">
        <v>645</v>
      </c>
      <c r="C660" s="350">
        <v>4873220.0894563915</v>
      </c>
      <c r="D660" s="350">
        <v>30101.747924046442</v>
      </c>
      <c r="E660" s="350">
        <v>28821.367380413183</v>
      </c>
      <c r="F660" s="350">
        <v>27506.533823233713</v>
      </c>
      <c r="G660" s="350">
        <v>26157.314412380249</v>
      </c>
      <c r="H660" s="348">
        <v>4985807.0529964659</v>
      </c>
      <c r="I660" s="369"/>
      <c r="J660" s="350">
        <v>6292525.2261837367</v>
      </c>
      <c r="K660" s="350">
        <v>1466940.9030904551</v>
      </c>
      <c r="L660" s="350">
        <v>1482075.8244191054</v>
      </c>
      <c r="M660" s="350">
        <v>1496017.4389783025</v>
      </c>
      <c r="N660" s="350">
        <v>1508725.7745389529</v>
      </c>
      <c r="O660" s="348">
        <v>12246285.167210553</v>
      </c>
      <c r="P660" s="369"/>
      <c r="Q660" s="350">
        <f t="shared" si="285"/>
        <v>1419305.1367273452</v>
      </c>
      <c r="R660" s="350">
        <f t="shared" si="286"/>
        <v>1436839.1551664087</v>
      </c>
      <c r="S660" s="350">
        <f t="shared" si="287"/>
        <v>1453254.4570386922</v>
      </c>
      <c r="T660" s="350">
        <f t="shared" si="288"/>
        <v>1468510.9051550687</v>
      </c>
      <c r="U660" s="350">
        <f t="shared" si="289"/>
        <v>1482568.4601265725</v>
      </c>
      <c r="V660" s="350">
        <f t="shared" si="290"/>
        <v>7260478.1142140869</v>
      </c>
      <c r="W660" s="365"/>
      <c r="X660" s="377">
        <f t="shared" si="268"/>
        <v>0</v>
      </c>
      <c r="Y660" s="377">
        <f t="shared" si="269"/>
        <v>0</v>
      </c>
      <c r="Z660" s="377">
        <f t="shared" si="270"/>
        <v>0</v>
      </c>
      <c r="AA660" s="377">
        <f t="shared" si="271"/>
        <v>0</v>
      </c>
      <c r="AB660" s="377">
        <f t="shared" si="272"/>
        <v>0</v>
      </c>
      <c r="AC660" s="377">
        <f t="shared" si="273"/>
        <v>0</v>
      </c>
      <c r="AD660" s="376"/>
      <c r="AE660" s="332">
        <v>645</v>
      </c>
      <c r="AF660" s="350">
        <v>5345864.1951263808</v>
      </c>
      <c r="AG660" s="350">
        <v>33021.257707208584</v>
      </c>
      <c r="AH660" s="350">
        <v>31616.695553496658</v>
      </c>
      <c r="AI660" s="350">
        <v>30174.338855698694</v>
      </c>
      <c r="AJ660" s="350">
        <v>28694.261287388788</v>
      </c>
      <c r="AK660" s="348">
        <v>5469370.7485301727</v>
      </c>
      <c r="AL660" s="369"/>
      <c r="AM660" s="350">
        <v>6837606.5329657588</v>
      </c>
      <c r="AN660" s="350">
        <v>1543192.4992271001</v>
      </c>
      <c r="AO660" s="350">
        <v>1559041.0281512968</v>
      </c>
      <c r="AP660" s="350">
        <v>1573633.7642544187</v>
      </c>
      <c r="AQ660" s="350">
        <v>1586928.698327268</v>
      </c>
      <c r="AR660" s="348">
        <v>13100402.522925843</v>
      </c>
      <c r="AS660" s="369"/>
      <c r="AT660" s="350">
        <f t="shared" si="291"/>
        <v>1491742.337839378</v>
      </c>
      <c r="AU660" s="350">
        <f t="shared" si="274"/>
        <v>1510171.2415198914</v>
      </c>
      <c r="AV660" s="350">
        <f t="shared" si="275"/>
        <v>1527424.3325978001</v>
      </c>
      <c r="AW660" s="350">
        <f t="shared" si="276"/>
        <v>1543459.42539872</v>
      </c>
      <c r="AX660" s="350">
        <f t="shared" si="277"/>
        <v>1558234.4370398792</v>
      </c>
      <c r="AY660" s="350">
        <f t="shared" si="278"/>
        <v>7631031.7743956698</v>
      </c>
      <c r="AZ660" s="365"/>
      <c r="BA660" s="377">
        <f t="shared" si="279"/>
        <v>0</v>
      </c>
      <c r="BB660" s="377">
        <f t="shared" si="280"/>
        <v>0</v>
      </c>
      <c r="BC660" s="377">
        <f t="shared" si="281"/>
        <v>0</v>
      </c>
      <c r="BD660" s="377">
        <f t="shared" si="282"/>
        <v>0</v>
      </c>
      <c r="BE660" s="377">
        <f t="shared" si="283"/>
        <v>0</v>
      </c>
      <c r="BF660" s="377">
        <f t="shared" si="284"/>
        <v>0</v>
      </c>
      <c r="BG660" s="328"/>
    </row>
    <row r="661" spans="2:59">
      <c r="B661" s="332">
        <v>646</v>
      </c>
      <c r="C661" s="350">
        <v>4263275.8445530012</v>
      </c>
      <c r="D661" s="350">
        <v>26334.138915883257</v>
      </c>
      <c r="E661" s="350">
        <v>25214.013958808457</v>
      </c>
      <c r="F661" s="350">
        <v>24063.74821233506</v>
      </c>
      <c r="G661" s="350">
        <v>22883.400430437203</v>
      </c>
      <c r="H661" s="348">
        <v>4361771.1460704645</v>
      </c>
      <c r="I661" s="369"/>
      <c r="J661" s="350">
        <v>5855966.2483075019</v>
      </c>
      <c r="K661" s="350">
        <v>1638700.5532649364</v>
      </c>
      <c r="L661" s="350">
        <v>1656001.0575934032</v>
      </c>
      <c r="M661" s="350">
        <v>1671970.9993918391</v>
      </c>
      <c r="N661" s="350">
        <v>1686565.5067302405</v>
      </c>
      <c r="O661" s="348">
        <v>12509204.36528792</v>
      </c>
      <c r="P661" s="369"/>
      <c r="Q661" s="350">
        <f t="shared" si="285"/>
        <v>1592690.4037545007</v>
      </c>
      <c r="R661" s="350">
        <f t="shared" si="286"/>
        <v>1612366.4143490533</v>
      </c>
      <c r="S661" s="350">
        <f t="shared" si="287"/>
        <v>1630787.0436345947</v>
      </c>
      <c r="T661" s="350">
        <f t="shared" si="288"/>
        <v>1647907.251179504</v>
      </c>
      <c r="U661" s="350">
        <f t="shared" si="289"/>
        <v>1663682.1062998034</v>
      </c>
      <c r="V661" s="350">
        <f t="shared" si="290"/>
        <v>8147433.2192174559</v>
      </c>
      <c r="W661" s="365"/>
      <c r="X661" s="377">
        <f t="shared" si="268"/>
        <v>0</v>
      </c>
      <c r="Y661" s="377">
        <f t="shared" si="269"/>
        <v>0</v>
      </c>
      <c r="Z661" s="377">
        <f t="shared" si="270"/>
        <v>0</v>
      </c>
      <c r="AA661" s="377">
        <f t="shared" si="271"/>
        <v>0</v>
      </c>
      <c r="AB661" s="377">
        <f t="shared" si="272"/>
        <v>0</v>
      </c>
      <c r="AC661" s="377">
        <f t="shared" si="273"/>
        <v>0</v>
      </c>
      <c r="AD661" s="376"/>
      <c r="AE661" s="332">
        <v>646</v>
      </c>
      <c r="AF661" s="350">
        <v>7812984.5401162878</v>
      </c>
      <c r="AG661" s="350">
        <v>48260.592963961724</v>
      </c>
      <c r="AH661" s="350">
        <v>46207.82432038588</v>
      </c>
      <c r="AI661" s="350">
        <v>44099.818922212304</v>
      </c>
      <c r="AJ661" s="350">
        <v>41936.68444342471</v>
      </c>
      <c r="AK661" s="348">
        <v>7993489.4607662726</v>
      </c>
      <c r="AL661" s="369"/>
      <c r="AM661" s="350">
        <v>9196971.9515517727</v>
      </c>
      <c r="AN661" s="350">
        <v>1449345.7095817844</v>
      </c>
      <c r="AO661" s="350">
        <v>1463299.7674889388</v>
      </c>
      <c r="AP661" s="350">
        <v>1476068.5715871139</v>
      </c>
      <c r="AQ661" s="350">
        <v>1487613.1864940473</v>
      </c>
      <c r="AR661" s="348">
        <v>15073299.186703656</v>
      </c>
      <c r="AS661" s="369"/>
      <c r="AT661" s="350">
        <f t="shared" si="291"/>
        <v>1383987.4114354849</v>
      </c>
      <c r="AU661" s="350">
        <f t="shared" si="274"/>
        <v>1401085.1166178228</v>
      </c>
      <c r="AV661" s="350">
        <f t="shared" si="275"/>
        <v>1417091.9431685528</v>
      </c>
      <c r="AW661" s="350">
        <f t="shared" si="276"/>
        <v>1431968.7526649015</v>
      </c>
      <c r="AX661" s="350">
        <f t="shared" si="277"/>
        <v>1445676.5020506226</v>
      </c>
      <c r="AY661" s="350">
        <f t="shared" si="278"/>
        <v>7079809.7259373832</v>
      </c>
      <c r="AZ661" s="365"/>
      <c r="BA661" s="377">
        <f t="shared" si="279"/>
        <v>0</v>
      </c>
      <c r="BB661" s="377">
        <f t="shared" si="280"/>
        <v>0</v>
      </c>
      <c r="BC661" s="377">
        <f t="shared" si="281"/>
        <v>0</v>
      </c>
      <c r="BD661" s="377">
        <f t="shared" si="282"/>
        <v>0</v>
      </c>
      <c r="BE661" s="377">
        <f t="shared" si="283"/>
        <v>0</v>
      </c>
      <c r="BF661" s="377">
        <f t="shared" si="284"/>
        <v>0</v>
      </c>
      <c r="BG661" s="328"/>
    </row>
    <row r="662" spans="2:59">
      <c r="B662" s="332">
        <v>647</v>
      </c>
      <c r="C662" s="350">
        <v>6658863.0077115512</v>
      </c>
      <c r="D662" s="350">
        <v>41131.615654415618</v>
      </c>
      <c r="E662" s="350">
        <v>39382.078699117541</v>
      </c>
      <c r="F662" s="350">
        <v>37585.464473927495</v>
      </c>
      <c r="G662" s="350">
        <v>35741.864747404928</v>
      </c>
      <c r="H662" s="348">
        <v>6812704.0312864166</v>
      </c>
      <c r="I662" s="369"/>
      <c r="J662" s="350">
        <v>8842212.3820893336</v>
      </c>
      <c r="K662" s="350">
        <v>2251453.9694138784</v>
      </c>
      <c r="L662" s="350">
        <v>2274956.4647000134</v>
      </c>
      <c r="M662" s="350">
        <v>2296629.1916250447</v>
      </c>
      <c r="N662" s="350">
        <v>2316410.6484547826</v>
      </c>
      <c r="O662" s="348">
        <v>17981662.656283051</v>
      </c>
      <c r="P662" s="369"/>
      <c r="Q662" s="350">
        <f t="shared" si="285"/>
        <v>2183349.3743777825</v>
      </c>
      <c r="R662" s="350">
        <f t="shared" si="286"/>
        <v>2210322.3537594629</v>
      </c>
      <c r="S662" s="350">
        <f t="shared" si="287"/>
        <v>2235574.3860008959</v>
      </c>
      <c r="T662" s="350">
        <f t="shared" si="288"/>
        <v>2259043.7271511173</v>
      </c>
      <c r="U662" s="350">
        <f t="shared" si="289"/>
        <v>2280668.7837073775</v>
      </c>
      <c r="V662" s="350">
        <f t="shared" si="290"/>
        <v>11168958.624996634</v>
      </c>
      <c r="W662" s="365"/>
      <c r="X662" s="377">
        <f t="shared" si="268"/>
        <v>0</v>
      </c>
      <c r="Y662" s="377">
        <f t="shared" si="269"/>
        <v>0</v>
      </c>
      <c r="Z662" s="377">
        <f t="shared" si="270"/>
        <v>0</v>
      </c>
      <c r="AA662" s="377">
        <f t="shared" si="271"/>
        <v>0</v>
      </c>
      <c r="AB662" s="377">
        <f t="shared" si="272"/>
        <v>0</v>
      </c>
      <c r="AC662" s="377">
        <f t="shared" si="273"/>
        <v>0</v>
      </c>
      <c r="AD662" s="376"/>
      <c r="AE662" s="332">
        <v>647</v>
      </c>
      <c r="AF662" s="350">
        <v>5747957.8899456346</v>
      </c>
      <c r="AG662" s="350">
        <v>35504.979521760295</v>
      </c>
      <c r="AH662" s="350">
        <v>33994.772038244671</v>
      </c>
      <c r="AI662" s="350">
        <v>32443.927262056113</v>
      </c>
      <c r="AJ662" s="350">
        <v>30852.524408188823</v>
      </c>
      <c r="AK662" s="348">
        <v>5880754.0931758843</v>
      </c>
      <c r="AL662" s="369"/>
      <c r="AM662" s="350">
        <v>7478623.3685915573</v>
      </c>
      <c r="AN662" s="350">
        <v>1787551.0053306404</v>
      </c>
      <c r="AO662" s="350">
        <v>1806057.2097776993</v>
      </c>
      <c r="AP662" s="350">
        <v>1823109.699406856</v>
      </c>
      <c r="AQ662" s="350">
        <v>1838659.7303953622</v>
      </c>
      <c r="AR662" s="348">
        <v>14734001.013502115</v>
      </c>
      <c r="AS662" s="369"/>
      <c r="AT662" s="350">
        <f t="shared" si="291"/>
        <v>1730665.4786459226</v>
      </c>
      <c r="AU662" s="350">
        <f t="shared" si="274"/>
        <v>1752046.0258088801</v>
      </c>
      <c r="AV662" s="350">
        <f t="shared" si="275"/>
        <v>1772062.4377394547</v>
      </c>
      <c r="AW662" s="350">
        <f t="shared" si="276"/>
        <v>1790665.7721447998</v>
      </c>
      <c r="AX662" s="350">
        <f t="shared" si="277"/>
        <v>1807807.2059871734</v>
      </c>
      <c r="AY662" s="350">
        <f t="shared" si="278"/>
        <v>8853246.920326231</v>
      </c>
      <c r="AZ662" s="365"/>
      <c r="BA662" s="377">
        <f t="shared" si="279"/>
        <v>0</v>
      </c>
      <c r="BB662" s="377">
        <f t="shared" si="280"/>
        <v>0</v>
      </c>
      <c r="BC662" s="377">
        <f t="shared" si="281"/>
        <v>0</v>
      </c>
      <c r="BD662" s="377">
        <f t="shared" si="282"/>
        <v>0</v>
      </c>
      <c r="BE662" s="377">
        <f t="shared" si="283"/>
        <v>0</v>
      </c>
      <c r="BF662" s="377">
        <f t="shared" si="284"/>
        <v>0</v>
      </c>
      <c r="BG662" s="328"/>
    </row>
    <row r="663" spans="2:59">
      <c r="B663" s="332">
        <v>648</v>
      </c>
      <c r="C663" s="350">
        <v>4923681.8851287374</v>
      </c>
      <c r="D663" s="350">
        <v>30413.449063178603</v>
      </c>
      <c r="E663" s="350">
        <v>29119.810283678689</v>
      </c>
      <c r="F663" s="350">
        <v>27791.361732492627</v>
      </c>
      <c r="G663" s="350">
        <v>26428.171264932032</v>
      </c>
      <c r="H663" s="348">
        <v>5037434.6774730189</v>
      </c>
      <c r="I663" s="369"/>
      <c r="J663" s="350">
        <v>6820902.7874750476</v>
      </c>
      <c r="K663" s="350">
        <v>1951072.5152150691</v>
      </c>
      <c r="L663" s="350">
        <v>1971721.623646528</v>
      </c>
      <c r="M663" s="350">
        <v>1990786.8533206508</v>
      </c>
      <c r="N663" s="350">
        <v>2008214.7504336834</v>
      </c>
      <c r="O663" s="348">
        <v>14742698.530090978</v>
      </c>
      <c r="P663" s="369"/>
      <c r="Q663" s="350">
        <f t="shared" si="285"/>
        <v>1897220.9023463102</v>
      </c>
      <c r="R663" s="350">
        <f t="shared" si="286"/>
        <v>1920659.0661518904</v>
      </c>
      <c r="S663" s="350">
        <f t="shared" si="287"/>
        <v>1942601.8133628494</v>
      </c>
      <c r="T663" s="350">
        <f t="shared" si="288"/>
        <v>1962995.4915881581</v>
      </c>
      <c r="U663" s="350">
        <f t="shared" si="289"/>
        <v>1981786.5791687514</v>
      </c>
      <c r="V663" s="350">
        <f t="shared" si="290"/>
        <v>9705263.8526179604</v>
      </c>
      <c r="W663" s="365"/>
      <c r="X663" s="377">
        <f t="shared" si="268"/>
        <v>0</v>
      </c>
      <c r="Y663" s="377">
        <f t="shared" si="269"/>
        <v>0</v>
      </c>
      <c r="Z663" s="377">
        <f t="shared" si="270"/>
        <v>0</v>
      </c>
      <c r="AA663" s="377">
        <f t="shared" si="271"/>
        <v>0</v>
      </c>
      <c r="AB663" s="377">
        <f t="shared" si="272"/>
        <v>0</v>
      </c>
      <c r="AC663" s="377">
        <f t="shared" si="273"/>
        <v>0</v>
      </c>
      <c r="AD663" s="376"/>
      <c r="AE663" s="332">
        <v>648</v>
      </c>
      <c r="AF663" s="350">
        <v>5756334.6120093977</v>
      </c>
      <c r="AG663" s="350">
        <v>35556.722306073112</v>
      </c>
      <c r="AH663" s="350">
        <v>34044.313938591687</v>
      </c>
      <c r="AI663" s="350">
        <v>32491.209056135856</v>
      </c>
      <c r="AJ663" s="350">
        <v>30897.48698914098</v>
      </c>
      <c r="AK663" s="348">
        <v>5889324.3442993397</v>
      </c>
      <c r="AL663" s="369"/>
      <c r="AM663" s="350">
        <v>7691987.723778558</v>
      </c>
      <c r="AN663" s="350">
        <v>1995122.7873050447</v>
      </c>
      <c r="AO663" s="350">
        <v>2015997.6227567324</v>
      </c>
      <c r="AP663" s="350">
        <v>2035251.3130494873</v>
      </c>
      <c r="AQ663" s="350">
        <v>2052829.3316606132</v>
      </c>
      <c r="AR663" s="348">
        <v>15791188.778550437</v>
      </c>
      <c r="AS663" s="369"/>
      <c r="AT663" s="350">
        <f t="shared" si="291"/>
        <v>1935653.1117691603</v>
      </c>
      <c r="AU663" s="350">
        <f t="shared" si="274"/>
        <v>1959566.0649989715</v>
      </c>
      <c r="AV663" s="350">
        <f t="shared" si="275"/>
        <v>1981953.3088181408</v>
      </c>
      <c r="AW663" s="350">
        <f t="shared" si="276"/>
        <v>2002760.1039933513</v>
      </c>
      <c r="AX663" s="350">
        <f t="shared" si="277"/>
        <v>2021931.8446714722</v>
      </c>
      <c r="AY663" s="350">
        <f t="shared" si="278"/>
        <v>9901864.4342510961</v>
      </c>
      <c r="AZ663" s="365"/>
      <c r="BA663" s="377">
        <f t="shared" si="279"/>
        <v>0</v>
      </c>
      <c r="BB663" s="377">
        <f t="shared" si="280"/>
        <v>0</v>
      </c>
      <c r="BC663" s="377">
        <f t="shared" si="281"/>
        <v>0</v>
      </c>
      <c r="BD663" s="377">
        <f t="shared" si="282"/>
        <v>0</v>
      </c>
      <c r="BE663" s="377">
        <f t="shared" si="283"/>
        <v>0</v>
      </c>
      <c r="BF663" s="377">
        <f t="shared" si="284"/>
        <v>0</v>
      </c>
      <c r="BG663" s="328"/>
    </row>
    <row r="664" spans="2:59">
      <c r="B664" s="332">
        <v>649</v>
      </c>
      <c r="C664" s="350">
        <v>6409072.880479753</v>
      </c>
      <c r="D664" s="350">
        <v>39588.668833664233</v>
      </c>
      <c r="E664" s="350">
        <v>37904.761259561848</v>
      </c>
      <c r="F664" s="350">
        <v>36175.542398322759</v>
      </c>
      <c r="G664" s="350">
        <v>34401.100576040997</v>
      </c>
      <c r="H664" s="348">
        <v>6557142.9535473427</v>
      </c>
      <c r="I664" s="369"/>
      <c r="J664" s="350">
        <v>8675471.1027366016</v>
      </c>
      <c r="K664" s="350">
        <v>2333985.8514204533</v>
      </c>
      <c r="L664" s="350">
        <v>2358514.4967487794</v>
      </c>
      <c r="M664" s="350">
        <v>2381147.3308345471</v>
      </c>
      <c r="N664" s="350">
        <v>2401820.5056468109</v>
      </c>
      <c r="O664" s="348">
        <v>18150939.287387192</v>
      </c>
      <c r="P664" s="369"/>
      <c r="Q664" s="350">
        <f t="shared" si="285"/>
        <v>2266398.2222568486</v>
      </c>
      <c r="R664" s="350">
        <f t="shared" si="286"/>
        <v>2294397.1825867891</v>
      </c>
      <c r="S664" s="350">
        <f t="shared" si="287"/>
        <v>2320609.7354892176</v>
      </c>
      <c r="T664" s="350">
        <f t="shared" si="288"/>
        <v>2344971.7884362242</v>
      </c>
      <c r="U664" s="350">
        <f t="shared" si="289"/>
        <v>2367419.4050707701</v>
      </c>
      <c r="V664" s="350">
        <f t="shared" si="290"/>
        <v>11593796.333839849</v>
      </c>
      <c r="W664" s="365"/>
      <c r="X664" s="377">
        <f t="shared" si="268"/>
        <v>0</v>
      </c>
      <c r="Y664" s="377">
        <f t="shared" si="269"/>
        <v>0</v>
      </c>
      <c r="Z664" s="377">
        <f t="shared" si="270"/>
        <v>0</v>
      </c>
      <c r="AA664" s="377">
        <f t="shared" si="271"/>
        <v>0</v>
      </c>
      <c r="AB664" s="377">
        <f t="shared" si="272"/>
        <v>0</v>
      </c>
      <c r="AC664" s="377">
        <f t="shared" si="273"/>
        <v>0</v>
      </c>
      <c r="AD664" s="376"/>
      <c r="AE664" s="332">
        <v>649</v>
      </c>
      <c r="AF664" s="350">
        <v>5365233.3684852039</v>
      </c>
      <c r="AG664" s="350">
        <v>33140.900564137657</v>
      </c>
      <c r="AH664" s="350">
        <v>31731.249390792018</v>
      </c>
      <c r="AI664" s="350">
        <v>30283.666735898551</v>
      </c>
      <c r="AJ664" s="350">
        <v>28798.226539963063</v>
      </c>
      <c r="AK664" s="348">
        <v>5489187.4117159955</v>
      </c>
      <c r="AL664" s="369"/>
      <c r="AM664" s="350">
        <v>6965592.5934513751</v>
      </c>
      <c r="AN664" s="350">
        <v>1653270.8763248737</v>
      </c>
      <c r="AO664" s="350">
        <v>1670370.5499627434</v>
      </c>
      <c r="AP664" s="350">
        <v>1686125.6088339409</v>
      </c>
      <c r="AQ664" s="350">
        <v>1700490.979853268</v>
      </c>
      <c r="AR664" s="348">
        <v>13675850.608426202</v>
      </c>
      <c r="AS664" s="369"/>
      <c r="AT664" s="350">
        <f t="shared" si="291"/>
        <v>1600359.2249661712</v>
      </c>
      <c r="AU664" s="350">
        <f t="shared" si="274"/>
        <v>1620129.975760736</v>
      </c>
      <c r="AV664" s="350">
        <f t="shared" si="275"/>
        <v>1638639.3005719513</v>
      </c>
      <c r="AW664" s="350">
        <f t="shared" si="276"/>
        <v>1655841.9420980425</v>
      </c>
      <c r="AX664" s="350">
        <f t="shared" si="277"/>
        <v>1671692.7533133049</v>
      </c>
      <c r="AY664" s="350">
        <f t="shared" si="278"/>
        <v>8186663.1967102066</v>
      </c>
      <c r="AZ664" s="365"/>
      <c r="BA664" s="377">
        <f t="shared" si="279"/>
        <v>0</v>
      </c>
      <c r="BB664" s="377">
        <f t="shared" si="280"/>
        <v>0</v>
      </c>
      <c r="BC664" s="377">
        <f t="shared" si="281"/>
        <v>0</v>
      </c>
      <c r="BD664" s="377">
        <f t="shared" si="282"/>
        <v>0</v>
      </c>
      <c r="BE664" s="377">
        <f t="shared" si="283"/>
        <v>0</v>
      </c>
      <c r="BF664" s="377">
        <f t="shared" si="284"/>
        <v>0</v>
      </c>
      <c r="BG664" s="328"/>
    </row>
    <row r="665" spans="2:59">
      <c r="B665" s="332">
        <v>650</v>
      </c>
      <c r="C665" s="350">
        <v>8042854.3054485219</v>
      </c>
      <c r="D665" s="350">
        <v>49680.492251163778</v>
      </c>
      <c r="E665" s="350">
        <v>47567.328064248803</v>
      </c>
      <c r="F665" s="350">
        <v>45397.301974276859</v>
      </c>
      <c r="G665" s="350">
        <v>43170.524823158026</v>
      </c>
      <c r="H665" s="348">
        <v>8228669.9525613692</v>
      </c>
      <c r="I665" s="369"/>
      <c r="J665" s="350">
        <v>10415034.829852132</v>
      </c>
      <c r="K665" s="350">
        <v>2451166.8057901463</v>
      </c>
      <c r="L665" s="350">
        <v>2476489.6441906835</v>
      </c>
      <c r="M665" s="350">
        <v>2499818.7501454898</v>
      </c>
      <c r="N665" s="350">
        <v>2521087.3139617341</v>
      </c>
      <c r="O665" s="348">
        <v>20363597.343940187</v>
      </c>
      <c r="P665" s="369"/>
      <c r="Q665" s="350">
        <f t="shared" si="285"/>
        <v>2372180.5244036103</v>
      </c>
      <c r="R665" s="350">
        <f t="shared" si="286"/>
        <v>2401486.3135389825</v>
      </c>
      <c r="S665" s="350">
        <f t="shared" si="287"/>
        <v>2428922.3161264346</v>
      </c>
      <c r="T665" s="350">
        <f t="shared" si="288"/>
        <v>2454421.4481712128</v>
      </c>
      <c r="U665" s="350">
        <f t="shared" si="289"/>
        <v>2477916.789138576</v>
      </c>
      <c r="V665" s="350">
        <f t="shared" si="290"/>
        <v>12134927.391378818</v>
      </c>
      <c r="W665" s="365"/>
      <c r="X665" s="377">
        <f t="shared" si="268"/>
        <v>0</v>
      </c>
      <c r="Y665" s="377">
        <f t="shared" si="269"/>
        <v>0</v>
      </c>
      <c r="Z665" s="377">
        <f t="shared" si="270"/>
        <v>0</v>
      </c>
      <c r="AA665" s="377">
        <f t="shared" si="271"/>
        <v>0</v>
      </c>
      <c r="AB665" s="377">
        <f t="shared" si="272"/>
        <v>0</v>
      </c>
      <c r="AC665" s="377">
        <f t="shared" si="273"/>
        <v>0</v>
      </c>
      <c r="AD665" s="376"/>
      <c r="AE665" s="332">
        <v>650</v>
      </c>
      <c r="AF665" s="350">
        <v>7323878.9829992931</v>
      </c>
      <c r="AG665" s="350">
        <v>45239.401243022687</v>
      </c>
      <c r="AH665" s="350">
        <v>43315.13925984993</v>
      </c>
      <c r="AI665" s="350">
        <v>41339.098432883766</v>
      </c>
      <c r="AJ665" s="350">
        <v>39311.37969553734</v>
      </c>
      <c r="AK665" s="348">
        <v>7493084.0016305866</v>
      </c>
      <c r="AL665" s="369"/>
      <c r="AM665" s="350">
        <v>9616727.8501478378</v>
      </c>
      <c r="AN665" s="350">
        <v>2366413.9985494036</v>
      </c>
      <c r="AO665" s="350">
        <v>2391008.2105207117</v>
      </c>
      <c r="AP665" s="350">
        <v>2413678.5469068978</v>
      </c>
      <c r="AQ665" s="350">
        <v>2434360.4260968929</v>
      </c>
      <c r="AR665" s="348">
        <v>19222189.032221742</v>
      </c>
      <c r="AS665" s="369"/>
      <c r="AT665" s="350">
        <f t="shared" si="291"/>
        <v>2292848.8671485446</v>
      </c>
      <c r="AU665" s="350">
        <f t="shared" si="274"/>
        <v>2321174.597306381</v>
      </c>
      <c r="AV665" s="350">
        <f t="shared" si="275"/>
        <v>2347693.0712608616</v>
      </c>
      <c r="AW665" s="350">
        <f t="shared" si="276"/>
        <v>2372339.4484740142</v>
      </c>
      <c r="AX665" s="350">
        <f t="shared" si="277"/>
        <v>2395049.0464013554</v>
      </c>
      <c r="AY665" s="350">
        <f t="shared" si="278"/>
        <v>11729105.030591156</v>
      </c>
      <c r="AZ665" s="365"/>
      <c r="BA665" s="377">
        <f t="shared" si="279"/>
        <v>0</v>
      </c>
      <c r="BB665" s="377">
        <f t="shared" si="280"/>
        <v>0</v>
      </c>
      <c r="BC665" s="377">
        <f t="shared" si="281"/>
        <v>0</v>
      </c>
      <c r="BD665" s="377">
        <f t="shared" si="282"/>
        <v>0</v>
      </c>
      <c r="BE665" s="377">
        <f t="shared" si="283"/>
        <v>0</v>
      </c>
      <c r="BF665" s="377">
        <f t="shared" si="284"/>
        <v>0</v>
      </c>
      <c r="BG665" s="328"/>
    </row>
    <row r="666" spans="2:59">
      <c r="B666" s="332">
        <v>651</v>
      </c>
      <c r="C666" s="350">
        <v>4885897.062796047</v>
      </c>
      <c r="D666" s="350">
        <v>30180.053243508009</v>
      </c>
      <c r="E666" s="350">
        <v>28896.34197609784</v>
      </c>
      <c r="F666" s="350">
        <v>27578.088070639333</v>
      </c>
      <c r="G666" s="350">
        <v>26225.358861709505</v>
      </c>
      <c r="H666" s="348">
        <v>4998776.9049480017</v>
      </c>
      <c r="I666" s="369"/>
      <c r="J666" s="350">
        <v>6888354.1955056787</v>
      </c>
      <c r="K666" s="350">
        <v>2057375.4324230463</v>
      </c>
      <c r="L666" s="350">
        <v>2079251.6023320896</v>
      </c>
      <c r="M666" s="350">
        <v>2099458.2358943797</v>
      </c>
      <c r="N666" s="350">
        <v>2117938.9100126987</v>
      </c>
      <c r="O666" s="348">
        <v>15242378.376167893</v>
      </c>
      <c r="P666" s="369"/>
      <c r="Q666" s="350">
        <f t="shared" si="285"/>
        <v>2002457.1327096317</v>
      </c>
      <c r="R666" s="350">
        <f t="shared" si="286"/>
        <v>2027195.3791795382</v>
      </c>
      <c r="S666" s="350">
        <f t="shared" si="287"/>
        <v>2050355.2603559918</v>
      </c>
      <c r="T666" s="350">
        <f t="shared" si="288"/>
        <v>2071880.1478237403</v>
      </c>
      <c r="U666" s="350">
        <f t="shared" si="289"/>
        <v>2091713.5511509893</v>
      </c>
      <c r="V666" s="350">
        <f t="shared" si="290"/>
        <v>10243601.471219892</v>
      </c>
      <c r="W666" s="365"/>
      <c r="X666" s="377">
        <f t="shared" si="268"/>
        <v>0</v>
      </c>
      <c r="Y666" s="377">
        <f t="shared" si="269"/>
        <v>0</v>
      </c>
      <c r="Z666" s="377">
        <f t="shared" si="270"/>
        <v>0</v>
      </c>
      <c r="AA666" s="377">
        <f t="shared" si="271"/>
        <v>0</v>
      </c>
      <c r="AB666" s="377">
        <f t="shared" si="272"/>
        <v>0</v>
      </c>
      <c r="AC666" s="377">
        <f t="shared" si="273"/>
        <v>0</v>
      </c>
      <c r="AD666" s="376"/>
      <c r="AE666" s="332">
        <v>651</v>
      </c>
      <c r="AF666" s="350">
        <v>6259678.3192517869</v>
      </c>
      <c r="AG666" s="350">
        <v>38665.862693010087</v>
      </c>
      <c r="AH666" s="350">
        <v>37021.206760740723</v>
      </c>
      <c r="AI666" s="350">
        <v>35332.295740876652</v>
      </c>
      <c r="AJ666" s="350">
        <v>33599.215900650706</v>
      </c>
      <c r="AK666" s="348">
        <v>6404296.9003470642</v>
      </c>
      <c r="AL666" s="369"/>
      <c r="AM666" s="350">
        <v>7982396.2359800432</v>
      </c>
      <c r="AN666" s="350">
        <v>1782666.1428366962</v>
      </c>
      <c r="AO666" s="350">
        <v>1800945.9794692122</v>
      </c>
      <c r="AP666" s="350">
        <v>1817774.9726234411</v>
      </c>
      <c r="AQ666" s="350">
        <v>1833104.6097340253</v>
      </c>
      <c r="AR666" s="348">
        <v>15216887.940643417</v>
      </c>
      <c r="AS666" s="369"/>
      <c r="AT666" s="350">
        <f t="shared" si="291"/>
        <v>1722717.9167282563</v>
      </c>
      <c r="AU666" s="350">
        <f t="shared" si="274"/>
        <v>1744000.2801436861</v>
      </c>
      <c r="AV666" s="350">
        <f t="shared" si="275"/>
        <v>1763924.7727084714</v>
      </c>
      <c r="AW666" s="350">
        <f t="shared" si="276"/>
        <v>1782442.6768825646</v>
      </c>
      <c r="AX666" s="350">
        <f t="shared" si="277"/>
        <v>1799505.3938333746</v>
      </c>
      <c r="AY666" s="350">
        <f t="shared" si="278"/>
        <v>8812591.0402963534</v>
      </c>
      <c r="AZ666" s="365"/>
      <c r="BA666" s="377">
        <f t="shared" si="279"/>
        <v>0</v>
      </c>
      <c r="BB666" s="377">
        <f t="shared" si="280"/>
        <v>0</v>
      </c>
      <c r="BC666" s="377">
        <f t="shared" si="281"/>
        <v>0</v>
      </c>
      <c r="BD666" s="377">
        <f t="shared" si="282"/>
        <v>0</v>
      </c>
      <c r="BE666" s="377">
        <f t="shared" si="283"/>
        <v>0</v>
      </c>
      <c r="BF666" s="377">
        <f t="shared" si="284"/>
        <v>0</v>
      </c>
      <c r="BG666" s="328"/>
    </row>
    <row r="667" spans="2:59">
      <c r="B667" s="332">
        <v>652</v>
      </c>
      <c r="C667" s="350">
        <v>5390104.9245661749</v>
      </c>
      <c r="D667" s="350">
        <v>33294.531489456815</v>
      </c>
      <c r="E667" s="350">
        <v>31878.345610944976</v>
      </c>
      <c r="F667" s="350">
        <v>30424.05241231211</v>
      </c>
      <c r="G667" s="350">
        <v>28931.726176835436</v>
      </c>
      <c r="H667" s="348">
        <v>5514633.5802557245</v>
      </c>
      <c r="I667" s="369"/>
      <c r="J667" s="350">
        <v>7484712.8802314792</v>
      </c>
      <c r="K667" s="350">
        <v>2153779.1598778153</v>
      </c>
      <c r="L667" s="350">
        <v>2176588.6468349653</v>
      </c>
      <c r="M667" s="350">
        <v>2197649.7921934305</v>
      </c>
      <c r="N667" s="350">
        <v>2216903.5801786175</v>
      </c>
      <c r="O667" s="348">
        <v>16229634.059316311</v>
      </c>
      <c r="P667" s="369"/>
      <c r="Q667" s="350">
        <f t="shared" si="285"/>
        <v>2094607.9556653043</v>
      </c>
      <c r="R667" s="350">
        <f t="shared" si="286"/>
        <v>2120484.6283883583</v>
      </c>
      <c r="S667" s="350">
        <f t="shared" si="287"/>
        <v>2144710.3012240203</v>
      </c>
      <c r="T667" s="350">
        <f t="shared" si="288"/>
        <v>2167225.7397811185</v>
      </c>
      <c r="U667" s="350">
        <f t="shared" si="289"/>
        <v>2187971.8540017819</v>
      </c>
      <c r="V667" s="350">
        <f t="shared" si="290"/>
        <v>10715000.479060587</v>
      </c>
      <c r="W667" s="365"/>
      <c r="X667" s="377">
        <f t="shared" si="268"/>
        <v>0</v>
      </c>
      <c r="Y667" s="377">
        <f t="shared" si="269"/>
        <v>0</v>
      </c>
      <c r="Z667" s="377">
        <f t="shared" si="270"/>
        <v>0</v>
      </c>
      <c r="AA667" s="377">
        <f t="shared" si="271"/>
        <v>0</v>
      </c>
      <c r="AB667" s="377">
        <f t="shared" si="272"/>
        <v>0</v>
      </c>
      <c r="AC667" s="377">
        <f t="shared" si="273"/>
        <v>0</v>
      </c>
      <c r="AD667" s="376"/>
      <c r="AE667" s="332">
        <v>652</v>
      </c>
      <c r="AF667" s="350">
        <v>6178884.6286208006</v>
      </c>
      <c r="AG667" s="350">
        <v>38166.802263853431</v>
      </c>
      <c r="AH667" s="350">
        <v>36543.373911627583</v>
      </c>
      <c r="AI667" s="350">
        <v>34876.261672387409</v>
      </c>
      <c r="AJ667" s="350">
        <v>33165.550699905143</v>
      </c>
      <c r="AK667" s="348">
        <v>6321636.6171685746</v>
      </c>
      <c r="AL667" s="369"/>
      <c r="AM667" s="350">
        <v>8073804.8879031837</v>
      </c>
      <c r="AN667" s="350">
        <v>1956496.8033325758</v>
      </c>
      <c r="AO667" s="350">
        <v>1976789.5135717655</v>
      </c>
      <c r="AP667" s="350">
        <v>1995491.3493989531</v>
      </c>
      <c r="AQ667" s="350">
        <v>2012548.9392112528</v>
      </c>
      <c r="AR667" s="348">
        <v>16015131.493417732</v>
      </c>
      <c r="AS667" s="369"/>
      <c r="AT667" s="350">
        <f t="shared" si="291"/>
        <v>1894920.2592823831</v>
      </c>
      <c r="AU667" s="350">
        <f t="shared" si="274"/>
        <v>1918330.0010687225</v>
      </c>
      <c r="AV667" s="350">
        <f t="shared" si="275"/>
        <v>1940246.1396601379</v>
      </c>
      <c r="AW667" s="350">
        <f t="shared" si="276"/>
        <v>1960615.0877265658</v>
      </c>
      <c r="AX667" s="350">
        <f t="shared" si="277"/>
        <v>1979383.3885113476</v>
      </c>
      <c r="AY667" s="350">
        <f t="shared" si="278"/>
        <v>9693494.8762491569</v>
      </c>
      <c r="AZ667" s="365"/>
      <c r="BA667" s="377">
        <f t="shared" si="279"/>
        <v>0</v>
      </c>
      <c r="BB667" s="377">
        <f t="shared" si="280"/>
        <v>0</v>
      </c>
      <c r="BC667" s="377">
        <f t="shared" si="281"/>
        <v>0</v>
      </c>
      <c r="BD667" s="377">
        <f t="shared" si="282"/>
        <v>0</v>
      </c>
      <c r="BE667" s="377">
        <f t="shared" si="283"/>
        <v>0</v>
      </c>
      <c r="BF667" s="377">
        <f t="shared" si="284"/>
        <v>0</v>
      </c>
      <c r="BG667" s="328"/>
    </row>
    <row r="668" spans="2:59">
      <c r="B668" s="332">
        <v>653</v>
      </c>
      <c r="C668" s="350">
        <v>8279099.1779903024</v>
      </c>
      <c r="D668" s="350">
        <v>51139.770402171547</v>
      </c>
      <c r="E668" s="350">
        <v>48964.535688423966</v>
      </c>
      <c r="F668" s="350">
        <v>46730.768851997331</v>
      </c>
      <c r="G668" s="350">
        <v>44438.583990598432</v>
      </c>
      <c r="H668" s="348">
        <v>8470372.8369234931</v>
      </c>
      <c r="I668" s="369"/>
      <c r="J668" s="350">
        <v>10383552.401604746</v>
      </c>
      <c r="K668" s="350">
        <v>2181591.2946442608</v>
      </c>
      <c r="L668" s="350">
        <v>2203755.6004900485</v>
      </c>
      <c r="M668" s="350">
        <v>2224143.1013349658</v>
      </c>
      <c r="N668" s="350">
        <v>2242694.5434783539</v>
      </c>
      <c r="O668" s="348">
        <v>19235736.941552375</v>
      </c>
      <c r="P668" s="369"/>
      <c r="Q668" s="350">
        <f t="shared" si="285"/>
        <v>2104453.2236144431</v>
      </c>
      <c r="R668" s="350">
        <f t="shared" si="286"/>
        <v>2130451.5242420891</v>
      </c>
      <c r="S668" s="350">
        <f t="shared" si="287"/>
        <v>2154791.0648016245</v>
      </c>
      <c r="T668" s="350">
        <f t="shared" si="288"/>
        <v>2177412.3324829685</v>
      </c>
      <c r="U668" s="350">
        <f t="shared" si="289"/>
        <v>2198255.9594877553</v>
      </c>
      <c r="V668" s="350">
        <f t="shared" si="290"/>
        <v>10765364.104628881</v>
      </c>
      <c r="W668" s="365"/>
      <c r="X668" s="377">
        <f t="shared" si="268"/>
        <v>0</v>
      </c>
      <c r="Y668" s="377">
        <f t="shared" si="269"/>
        <v>0</v>
      </c>
      <c r="Z668" s="377">
        <f t="shared" si="270"/>
        <v>0</v>
      </c>
      <c r="AA668" s="377">
        <f t="shared" si="271"/>
        <v>0</v>
      </c>
      <c r="AB668" s="377">
        <f t="shared" si="272"/>
        <v>0</v>
      </c>
      <c r="AC668" s="377">
        <f t="shared" si="273"/>
        <v>0</v>
      </c>
      <c r="AD668" s="376"/>
      <c r="AE668" s="332">
        <v>653</v>
      </c>
      <c r="AF668" s="350">
        <v>5808280.3665254386</v>
      </c>
      <c r="AG668" s="350">
        <v>35877.58981861404</v>
      </c>
      <c r="AH668" s="350">
        <v>34351.533322751522</v>
      </c>
      <c r="AI668" s="350">
        <v>32784.413062386215</v>
      </c>
      <c r="AJ668" s="350">
        <v>31176.309083838791</v>
      </c>
      <c r="AK668" s="348">
        <v>5942470.2118130289</v>
      </c>
      <c r="AL668" s="369"/>
      <c r="AM668" s="350">
        <v>7910440.7558876993</v>
      </c>
      <c r="AN668" s="350">
        <v>2164007.9542589178</v>
      </c>
      <c r="AO668" s="350">
        <v>2186794.920017668</v>
      </c>
      <c r="AP668" s="350">
        <v>2207824.4212185293</v>
      </c>
      <c r="AQ668" s="350">
        <v>2227037.2347915964</v>
      </c>
      <c r="AR668" s="348">
        <v>16696105.286174409</v>
      </c>
      <c r="AS668" s="369"/>
      <c r="AT668" s="350">
        <f t="shared" si="291"/>
        <v>2102160.3893622607</v>
      </c>
      <c r="AU668" s="350">
        <f t="shared" si="274"/>
        <v>2128130.3644403038</v>
      </c>
      <c r="AV668" s="350">
        <f t="shared" si="275"/>
        <v>2152443.3866949165</v>
      </c>
      <c r="AW668" s="350">
        <f t="shared" si="276"/>
        <v>2175040.0081561431</v>
      </c>
      <c r="AX668" s="350">
        <f t="shared" si="277"/>
        <v>2195860.9257077575</v>
      </c>
      <c r="AY668" s="350">
        <f t="shared" si="278"/>
        <v>10753635.07436138</v>
      </c>
      <c r="AZ668" s="365"/>
      <c r="BA668" s="377">
        <f t="shared" si="279"/>
        <v>0</v>
      </c>
      <c r="BB668" s="377">
        <f t="shared" si="280"/>
        <v>0</v>
      </c>
      <c r="BC668" s="377">
        <f t="shared" si="281"/>
        <v>0</v>
      </c>
      <c r="BD668" s="377">
        <f t="shared" si="282"/>
        <v>0</v>
      </c>
      <c r="BE668" s="377">
        <f t="shared" si="283"/>
        <v>0</v>
      </c>
      <c r="BF668" s="377">
        <f t="shared" si="284"/>
        <v>0</v>
      </c>
      <c r="BG668" s="328"/>
    </row>
    <row r="669" spans="2:59">
      <c r="B669" s="332">
        <v>654</v>
      </c>
      <c r="C669" s="350">
        <v>6002737.7467820533</v>
      </c>
      <c r="D669" s="350">
        <v>37078.747766541819</v>
      </c>
      <c r="E669" s="350">
        <v>35501.599909797849</v>
      </c>
      <c r="F669" s="350">
        <v>33882.013500909743</v>
      </c>
      <c r="G669" s="350">
        <v>32220.071266094299</v>
      </c>
      <c r="H669" s="348">
        <v>6141420.1792253973</v>
      </c>
      <c r="I669" s="369"/>
      <c r="J669" s="350">
        <v>8074188.6745846663</v>
      </c>
      <c r="K669" s="350">
        <v>2134120.2676298972</v>
      </c>
      <c r="L669" s="350">
        <v>2156500.9646463878</v>
      </c>
      <c r="M669" s="350">
        <v>2177147.8964004051</v>
      </c>
      <c r="N669" s="350">
        <v>2196002.7088329494</v>
      </c>
      <c r="O669" s="348">
        <v>16737960.512094306</v>
      </c>
      <c r="P669" s="369"/>
      <c r="Q669" s="350">
        <f t="shared" si="285"/>
        <v>2071450.927802613</v>
      </c>
      <c r="R669" s="350">
        <f t="shared" si="286"/>
        <v>2097041.5198633554</v>
      </c>
      <c r="S669" s="350">
        <f t="shared" si="287"/>
        <v>2120999.3647365901</v>
      </c>
      <c r="T669" s="350">
        <f t="shared" si="288"/>
        <v>2143265.8828994953</v>
      </c>
      <c r="U669" s="350">
        <f t="shared" si="289"/>
        <v>2163782.6375668552</v>
      </c>
      <c r="V669" s="350">
        <f t="shared" si="290"/>
        <v>10596540.332868908</v>
      </c>
      <c r="W669" s="365"/>
      <c r="X669" s="377">
        <f t="shared" si="268"/>
        <v>0</v>
      </c>
      <c r="Y669" s="377">
        <f t="shared" si="269"/>
        <v>0</v>
      </c>
      <c r="Z669" s="377">
        <f t="shared" si="270"/>
        <v>0</v>
      </c>
      <c r="AA669" s="377">
        <f t="shared" si="271"/>
        <v>0</v>
      </c>
      <c r="AB669" s="377">
        <f t="shared" si="272"/>
        <v>0</v>
      </c>
      <c r="AC669" s="377">
        <f t="shared" si="273"/>
        <v>0</v>
      </c>
      <c r="AD669" s="376"/>
      <c r="AE669" s="332">
        <v>654</v>
      </c>
      <c r="AF669" s="350">
        <v>5707712.1909532035</v>
      </c>
      <c r="AG669" s="350">
        <v>35256.382933906847</v>
      </c>
      <c r="AH669" s="350">
        <v>33756.749528517561</v>
      </c>
      <c r="AI669" s="350">
        <v>32216.76336215941</v>
      </c>
      <c r="AJ669" s="350">
        <v>30636.503095184777</v>
      </c>
      <c r="AK669" s="348">
        <v>5839578.5898729721</v>
      </c>
      <c r="AL669" s="369"/>
      <c r="AM669" s="350">
        <v>7467710.3760105483</v>
      </c>
      <c r="AN669" s="350">
        <v>1816997.4898133136</v>
      </c>
      <c r="AO669" s="350">
        <v>1835853.522539736</v>
      </c>
      <c r="AP669" s="350">
        <v>1853232.1750088709</v>
      </c>
      <c r="AQ669" s="350">
        <v>1869083.8753513284</v>
      </c>
      <c r="AR669" s="348">
        <v>14842877.438723797</v>
      </c>
      <c r="AS669" s="369"/>
      <c r="AT669" s="350">
        <f t="shared" si="291"/>
        <v>1759998.1850573448</v>
      </c>
      <c r="AU669" s="350">
        <f t="shared" si="274"/>
        <v>1781741.1068794068</v>
      </c>
      <c r="AV669" s="350">
        <f t="shared" si="275"/>
        <v>1802096.7730112185</v>
      </c>
      <c r="AW669" s="350">
        <f t="shared" si="276"/>
        <v>1821015.4116467114</v>
      </c>
      <c r="AX669" s="350">
        <f t="shared" si="277"/>
        <v>1838447.3722561437</v>
      </c>
      <c r="AY669" s="350">
        <f t="shared" si="278"/>
        <v>9003298.8488508239</v>
      </c>
      <c r="AZ669" s="365"/>
      <c r="BA669" s="377">
        <f t="shared" si="279"/>
        <v>0</v>
      </c>
      <c r="BB669" s="377">
        <f t="shared" si="280"/>
        <v>0</v>
      </c>
      <c r="BC669" s="377">
        <f t="shared" si="281"/>
        <v>0</v>
      </c>
      <c r="BD669" s="377">
        <f t="shared" si="282"/>
        <v>0</v>
      </c>
      <c r="BE669" s="377">
        <f t="shared" si="283"/>
        <v>0</v>
      </c>
      <c r="BF669" s="377">
        <f t="shared" si="284"/>
        <v>0</v>
      </c>
      <c r="BG669" s="328"/>
    </row>
    <row r="670" spans="2:59">
      <c r="B670" s="332">
        <v>655</v>
      </c>
      <c r="C670" s="350">
        <v>6724910.9488785947</v>
      </c>
      <c r="D670" s="350">
        <v>41539.591990270055</v>
      </c>
      <c r="E670" s="350">
        <v>39772.701724991188</v>
      </c>
      <c r="F670" s="350">
        <v>37958.26723972219</v>
      </c>
      <c r="G670" s="350">
        <v>36096.381213248307</v>
      </c>
      <c r="H670" s="348">
        <v>6880277.8910468267</v>
      </c>
      <c r="I670" s="369"/>
      <c r="J670" s="350">
        <v>8786746.5257025324</v>
      </c>
      <c r="K670" s="350">
        <v>2128846.9733521012</v>
      </c>
      <c r="L670" s="350">
        <v>2150926.7193940938</v>
      </c>
      <c r="M670" s="350">
        <v>2171275.4453796218</v>
      </c>
      <c r="N670" s="350">
        <v>2189835.078456671</v>
      </c>
      <c r="O670" s="348">
        <v>17427630.742285021</v>
      </c>
      <c r="P670" s="369"/>
      <c r="Q670" s="350">
        <f t="shared" si="285"/>
        <v>2061835.5768239377</v>
      </c>
      <c r="R670" s="350">
        <f t="shared" si="286"/>
        <v>2087307.3813618312</v>
      </c>
      <c r="S670" s="350">
        <f t="shared" si="287"/>
        <v>2111154.0176691026</v>
      </c>
      <c r="T670" s="350">
        <f t="shared" si="288"/>
        <v>2133317.1781398999</v>
      </c>
      <c r="U670" s="350">
        <f t="shared" si="289"/>
        <v>2153738.6972434227</v>
      </c>
      <c r="V670" s="350">
        <f t="shared" si="290"/>
        <v>10547352.851238195</v>
      </c>
      <c r="W670" s="365"/>
      <c r="X670" s="377">
        <f t="shared" si="268"/>
        <v>0</v>
      </c>
      <c r="Y670" s="377">
        <f t="shared" si="269"/>
        <v>0</v>
      </c>
      <c r="Z670" s="377">
        <f t="shared" si="270"/>
        <v>0</v>
      </c>
      <c r="AA670" s="377">
        <f t="shared" si="271"/>
        <v>0</v>
      </c>
      <c r="AB670" s="377">
        <f t="shared" si="272"/>
        <v>0</v>
      </c>
      <c r="AC670" s="377">
        <f t="shared" si="273"/>
        <v>0</v>
      </c>
      <c r="AD670" s="376"/>
      <c r="AE670" s="332">
        <v>655</v>
      </c>
      <c r="AF670" s="350">
        <v>4115457.5545257344</v>
      </c>
      <c r="AG670" s="350">
        <v>25421.069359555659</v>
      </c>
      <c r="AH670" s="350">
        <v>24339.781897827357</v>
      </c>
      <c r="AI670" s="350">
        <v>23229.398702218296</v>
      </c>
      <c r="AJ670" s="350">
        <v>22089.976489559569</v>
      </c>
      <c r="AK670" s="348">
        <v>4210537.7809748957</v>
      </c>
      <c r="AL670" s="369"/>
      <c r="AM670" s="350">
        <v>6000968.8490566006</v>
      </c>
      <c r="AN670" s="350">
        <v>1934225.8678381327</v>
      </c>
      <c r="AO670" s="350">
        <v>1954951.8974095071</v>
      </c>
      <c r="AP670" s="350">
        <v>1974109.3230828065</v>
      </c>
      <c r="AQ670" s="350">
        <v>1991645.0102503505</v>
      </c>
      <c r="AR670" s="348">
        <v>13855900.947637398</v>
      </c>
      <c r="AS670" s="369"/>
      <c r="AT670" s="350">
        <f t="shared" si="291"/>
        <v>1885511.2945308662</v>
      </c>
      <c r="AU670" s="350">
        <f t="shared" si="274"/>
        <v>1908804.7984785771</v>
      </c>
      <c r="AV670" s="350">
        <f t="shared" si="275"/>
        <v>1930612.1155116798</v>
      </c>
      <c r="AW670" s="350">
        <f t="shared" si="276"/>
        <v>1950879.9243805883</v>
      </c>
      <c r="AX670" s="350">
        <f t="shared" si="277"/>
        <v>1969555.0337607909</v>
      </c>
      <c r="AY670" s="350">
        <f t="shared" si="278"/>
        <v>9645363.166662503</v>
      </c>
      <c r="AZ670" s="365"/>
      <c r="BA670" s="377">
        <f t="shared" si="279"/>
        <v>0</v>
      </c>
      <c r="BB670" s="377">
        <f t="shared" si="280"/>
        <v>0</v>
      </c>
      <c r="BC670" s="377">
        <f t="shared" si="281"/>
        <v>0</v>
      </c>
      <c r="BD670" s="377">
        <f t="shared" si="282"/>
        <v>0</v>
      </c>
      <c r="BE670" s="377">
        <f t="shared" si="283"/>
        <v>0</v>
      </c>
      <c r="BF670" s="377">
        <f t="shared" si="284"/>
        <v>0</v>
      </c>
      <c r="BG670" s="328"/>
    </row>
    <row r="671" spans="2:59">
      <c r="B671" s="332">
        <v>656</v>
      </c>
      <c r="C671" s="350">
        <v>5692752.7022650307</v>
      </c>
      <c r="D671" s="350">
        <v>35163.978579230366</v>
      </c>
      <c r="E671" s="350">
        <v>33668.275601342648</v>
      </c>
      <c r="F671" s="350">
        <v>32132.325624066685</v>
      </c>
      <c r="G671" s="350">
        <v>30556.207101593969</v>
      </c>
      <c r="H671" s="348">
        <v>5824273.4891712638</v>
      </c>
      <c r="I671" s="369"/>
      <c r="J671" s="350">
        <v>7141759.1180760097</v>
      </c>
      <c r="K671" s="350">
        <v>1502071.3408151143</v>
      </c>
      <c r="L671" s="350">
        <v>1517334.4567232477</v>
      </c>
      <c r="M671" s="350">
        <v>1531374.2209677144</v>
      </c>
      <c r="N671" s="350">
        <v>1544149.8347241057</v>
      </c>
      <c r="O671" s="348">
        <v>13236688.97130619</v>
      </c>
      <c r="P671" s="369"/>
      <c r="Q671" s="350">
        <f t="shared" si="285"/>
        <v>1449006.415810979</v>
      </c>
      <c r="R671" s="350">
        <f t="shared" si="286"/>
        <v>1466907.3622358839</v>
      </c>
      <c r="S671" s="350">
        <f t="shared" si="287"/>
        <v>1483666.1811219051</v>
      </c>
      <c r="T671" s="350">
        <f t="shared" si="288"/>
        <v>1499241.8953436478</v>
      </c>
      <c r="U671" s="350">
        <f t="shared" si="289"/>
        <v>1513593.6276225117</v>
      </c>
      <c r="V671" s="350">
        <f t="shared" si="290"/>
        <v>7412415.4821349261</v>
      </c>
      <c r="W671" s="365"/>
      <c r="X671" s="377">
        <f t="shared" si="268"/>
        <v>0</v>
      </c>
      <c r="Y671" s="377">
        <f t="shared" si="269"/>
        <v>0</v>
      </c>
      <c r="Z671" s="377">
        <f t="shared" si="270"/>
        <v>0</v>
      </c>
      <c r="AA671" s="377">
        <f t="shared" si="271"/>
        <v>0</v>
      </c>
      <c r="AB671" s="377">
        <f t="shared" si="272"/>
        <v>0</v>
      </c>
      <c r="AC671" s="377">
        <f t="shared" si="273"/>
        <v>0</v>
      </c>
      <c r="AD671" s="376"/>
      <c r="AE671" s="332">
        <v>656</v>
      </c>
      <c r="AF671" s="350">
        <v>6295135.9867380355</v>
      </c>
      <c r="AG671" s="350">
        <v>38884.883740502068</v>
      </c>
      <c r="AH671" s="350">
        <v>37230.911728361709</v>
      </c>
      <c r="AI671" s="350">
        <v>35532.433947668556</v>
      </c>
      <c r="AJ671" s="350">
        <v>33789.537154306876</v>
      </c>
      <c r="AK671" s="348">
        <v>6440573.7533088746</v>
      </c>
      <c r="AL671" s="369"/>
      <c r="AM671" s="350">
        <v>7829908.8884660844</v>
      </c>
      <c r="AN671" s="350">
        <v>1592618.2863941833</v>
      </c>
      <c r="AO671" s="350">
        <v>1608715.0854004298</v>
      </c>
      <c r="AP671" s="350">
        <v>1623514.2461751937</v>
      </c>
      <c r="AQ671" s="350">
        <v>1636972.5586753942</v>
      </c>
      <c r="AR671" s="348">
        <v>14291729.065111285</v>
      </c>
      <c r="AS671" s="369"/>
      <c r="AT671" s="350">
        <f t="shared" si="291"/>
        <v>1534772.9017280489</v>
      </c>
      <c r="AU671" s="350">
        <f t="shared" si="274"/>
        <v>1553733.4026536811</v>
      </c>
      <c r="AV671" s="350">
        <f t="shared" si="275"/>
        <v>1571484.1736720682</v>
      </c>
      <c r="AW671" s="350">
        <f t="shared" si="276"/>
        <v>1587981.812227525</v>
      </c>
      <c r="AX671" s="350">
        <f t="shared" si="277"/>
        <v>1603183.0215210873</v>
      </c>
      <c r="AY671" s="350">
        <f t="shared" si="278"/>
        <v>7851155.3118024105</v>
      </c>
      <c r="AZ671" s="365"/>
      <c r="BA671" s="377">
        <f t="shared" si="279"/>
        <v>0</v>
      </c>
      <c r="BB671" s="377">
        <f t="shared" si="280"/>
        <v>0</v>
      </c>
      <c r="BC671" s="377">
        <f t="shared" si="281"/>
        <v>0</v>
      </c>
      <c r="BD671" s="377">
        <f t="shared" si="282"/>
        <v>0</v>
      </c>
      <c r="BE671" s="377">
        <f t="shared" si="283"/>
        <v>0</v>
      </c>
      <c r="BF671" s="377">
        <f t="shared" si="284"/>
        <v>0</v>
      </c>
      <c r="BG671" s="328"/>
    </row>
    <row r="672" spans="2:59">
      <c r="B672" s="332">
        <v>657</v>
      </c>
      <c r="C672" s="350">
        <v>5164578.5451381421</v>
      </c>
      <c r="D672" s="350">
        <v>31901.461178828944</v>
      </c>
      <c r="E672" s="350">
        <v>30544.529670735905</v>
      </c>
      <c r="F672" s="350">
        <v>29151.085283824654</v>
      </c>
      <c r="G672" s="350">
        <v>27721.199193300276</v>
      </c>
      <c r="H672" s="348">
        <v>5283896.8204648318</v>
      </c>
      <c r="I672" s="369"/>
      <c r="J672" s="350">
        <v>7625853.9554949235</v>
      </c>
      <c r="K672" s="350">
        <v>2523583.3340446651</v>
      </c>
      <c r="L672" s="350">
        <v>2550692.8526369333</v>
      </c>
      <c r="M672" s="350">
        <v>2575756.2423912738</v>
      </c>
      <c r="N672" s="350">
        <v>2598704.1405317588</v>
      </c>
      <c r="O672" s="348">
        <v>17874590.525099553</v>
      </c>
      <c r="P672" s="369"/>
      <c r="Q672" s="350">
        <f t="shared" si="285"/>
        <v>2461275.4103567814</v>
      </c>
      <c r="R672" s="350">
        <f t="shared" si="286"/>
        <v>2491681.8728658361</v>
      </c>
      <c r="S672" s="350">
        <f t="shared" si="287"/>
        <v>2520148.3229661975</v>
      </c>
      <c r="T672" s="350">
        <f t="shared" si="288"/>
        <v>2546605.1571074491</v>
      </c>
      <c r="U672" s="350">
        <f t="shared" si="289"/>
        <v>2570982.9413384586</v>
      </c>
      <c r="V672" s="350">
        <f t="shared" si="290"/>
        <v>12590693.704634722</v>
      </c>
      <c r="W672" s="365"/>
      <c r="X672" s="377">
        <f t="shared" si="268"/>
        <v>0</v>
      </c>
      <c r="Y672" s="377">
        <f t="shared" si="269"/>
        <v>0</v>
      </c>
      <c r="Z672" s="377">
        <f t="shared" si="270"/>
        <v>0</v>
      </c>
      <c r="AA672" s="377">
        <f t="shared" si="271"/>
        <v>0</v>
      </c>
      <c r="AB672" s="377">
        <f t="shared" si="272"/>
        <v>0</v>
      </c>
      <c r="AC672" s="377">
        <f t="shared" si="273"/>
        <v>0</v>
      </c>
      <c r="AD672" s="376"/>
      <c r="AE672" s="332">
        <v>657</v>
      </c>
      <c r="AF672" s="350">
        <v>5560674.0855540289</v>
      </c>
      <c r="AG672" s="350">
        <v>34348.132556805242</v>
      </c>
      <c r="AH672" s="350">
        <v>32887.131662541266</v>
      </c>
      <c r="AI672" s="350">
        <v>31386.817547025028</v>
      </c>
      <c r="AJ672" s="350">
        <v>29847.266844220445</v>
      </c>
      <c r="AK672" s="348">
        <v>5689143.4341646209</v>
      </c>
      <c r="AL672" s="369"/>
      <c r="AM672" s="350">
        <v>8219085.3021064419</v>
      </c>
      <c r="AN672" s="350">
        <v>2725601.216642458</v>
      </c>
      <c r="AO672" s="350">
        <v>2754886.6856165379</v>
      </c>
      <c r="AP672" s="350">
        <v>2781962.2652590298</v>
      </c>
      <c r="AQ672" s="350">
        <v>2806753.0369418194</v>
      </c>
      <c r="AR672" s="348">
        <v>19288288.506566286</v>
      </c>
      <c r="AS672" s="369"/>
      <c r="AT672" s="350">
        <f t="shared" si="291"/>
        <v>2658411.2165524131</v>
      </c>
      <c r="AU672" s="350">
        <f t="shared" si="274"/>
        <v>2691253.0840856526</v>
      </c>
      <c r="AV672" s="350">
        <f t="shared" si="275"/>
        <v>2721999.5539539969</v>
      </c>
      <c r="AW672" s="350">
        <f t="shared" si="276"/>
        <v>2750575.4477120047</v>
      </c>
      <c r="AX672" s="350">
        <f t="shared" si="277"/>
        <v>2776905.7700975989</v>
      </c>
      <c r="AY672" s="350">
        <f t="shared" si="278"/>
        <v>13599145.072401665</v>
      </c>
      <c r="AZ672" s="365"/>
      <c r="BA672" s="377">
        <f t="shared" si="279"/>
        <v>0</v>
      </c>
      <c r="BB672" s="377">
        <f t="shared" si="280"/>
        <v>0</v>
      </c>
      <c r="BC672" s="377">
        <f t="shared" si="281"/>
        <v>0</v>
      </c>
      <c r="BD672" s="377">
        <f t="shared" si="282"/>
        <v>0</v>
      </c>
      <c r="BE672" s="377">
        <f t="shared" si="283"/>
        <v>0</v>
      </c>
      <c r="BF672" s="377">
        <f t="shared" si="284"/>
        <v>0</v>
      </c>
      <c r="BG672" s="328"/>
    </row>
    <row r="673" spans="2:59">
      <c r="B673" s="332">
        <v>658</v>
      </c>
      <c r="C673" s="350">
        <v>6204368.05820865</v>
      </c>
      <c r="D673" s="350">
        <v>38324.212715178393</v>
      </c>
      <c r="E673" s="350">
        <v>36694.088895311455</v>
      </c>
      <c r="F673" s="350">
        <v>35020.101023990544</v>
      </c>
      <c r="G673" s="350">
        <v>33302.334606193021</v>
      </c>
      <c r="H673" s="348">
        <v>6347708.795449324</v>
      </c>
      <c r="I673" s="369"/>
      <c r="J673" s="350">
        <v>7642259.9062100602</v>
      </c>
      <c r="K673" s="350">
        <v>1493979.6983754849</v>
      </c>
      <c r="L673" s="350">
        <v>1508979.8453366177</v>
      </c>
      <c r="M673" s="350">
        <v>1522762.0985570282</v>
      </c>
      <c r="N673" s="350">
        <v>1535285.979811253</v>
      </c>
      <c r="O673" s="348">
        <v>13703267.528290445</v>
      </c>
      <c r="P673" s="369"/>
      <c r="Q673" s="350">
        <f t="shared" si="285"/>
        <v>1437891.8480014103</v>
      </c>
      <c r="R673" s="350">
        <f t="shared" si="286"/>
        <v>1455655.4856603064</v>
      </c>
      <c r="S673" s="350">
        <f t="shared" si="287"/>
        <v>1472285.7564413063</v>
      </c>
      <c r="T673" s="350">
        <f t="shared" si="288"/>
        <v>1487741.9975330378</v>
      </c>
      <c r="U673" s="350">
        <f t="shared" si="289"/>
        <v>1501983.64520506</v>
      </c>
      <c r="V673" s="350">
        <f t="shared" si="290"/>
        <v>7355558.732841121</v>
      </c>
      <c r="W673" s="365"/>
      <c r="X673" s="377">
        <f t="shared" si="268"/>
        <v>0</v>
      </c>
      <c r="Y673" s="377">
        <f t="shared" si="269"/>
        <v>0</v>
      </c>
      <c r="Z673" s="377">
        <f t="shared" si="270"/>
        <v>0</v>
      </c>
      <c r="AA673" s="377">
        <f t="shared" si="271"/>
        <v>0</v>
      </c>
      <c r="AB673" s="377">
        <f t="shared" si="272"/>
        <v>0</v>
      </c>
      <c r="AC673" s="377">
        <f t="shared" si="273"/>
        <v>0</v>
      </c>
      <c r="AD673" s="376"/>
      <c r="AE673" s="332">
        <v>658</v>
      </c>
      <c r="AF673" s="350">
        <v>7833067.351342475</v>
      </c>
      <c r="AG673" s="350">
        <v>48384.643942584713</v>
      </c>
      <c r="AH673" s="350">
        <v>46326.598779522144</v>
      </c>
      <c r="AI673" s="350">
        <v>44213.174879078157</v>
      </c>
      <c r="AJ673" s="350">
        <v>42044.480192002375</v>
      </c>
      <c r="AK673" s="348">
        <v>8014036.2491356619</v>
      </c>
      <c r="AL673" s="369"/>
      <c r="AM673" s="350">
        <v>9616079.4688048102</v>
      </c>
      <c r="AN673" s="350">
        <v>1853423.9960957938</v>
      </c>
      <c r="AO673" s="350">
        <v>1871987.7900233527</v>
      </c>
      <c r="AP673" s="350">
        <v>1889040.3869855243</v>
      </c>
      <c r="AQ673" s="350">
        <v>1904531.5951674553</v>
      </c>
      <c r="AR673" s="348">
        <v>17135063.237076934</v>
      </c>
      <c r="AS673" s="369"/>
      <c r="AT673" s="350">
        <f t="shared" si="291"/>
        <v>1783012.1174623352</v>
      </c>
      <c r="AU673" s="350">
        <f t="shared" si="274"/>
        <v>1805039.352153209</v>
      </c>
      <c r="AV673" s="350">
        <f t="shared" si="275"/>
        <v>1825661.1912438306</v>
      </c>
      <c r="AW673" s="350">
        <f t="shared" si="276"/>
        <v>1844827.2121064463</v>
      </c>
      <c r="AX673" s="350">
        <f t="shared" si="277"/>
        <v>1862487.1149754529</v>
      </c>
      <c r="AY673" s="350">
        <f t="shared" si="278"/>
        <v>9121026.9879412726</v>
      </c>
      <c r="AZ673" s="365"/>
      <c r="BA673" s="377">
        <f t="shared" si="279"/>
        <v>0</v>
      </c>
      <c r="BB673" s="377">
        <f t="shared" si="280"/>
        <v>0</v>
      </c>
      <c r="BC673" s="377">
        <f t="shared" si="281"/>
        <v>0</v>
      </c>
      <c r="BD673" s="377">
        <f t="shared" si="282"/>
        <v>0</v>
      </c>
      <c r="BE673" s="377">
        <f t="shared" si="283"/>
        <v>0</v>
      </c>
      <c r="BF673" s="377">
        <f t="shared" si="284"/>
        <v>0</v>
      </c>
      <c r="BG673" s="328"/>
    </row>
    <row r="674" spans="2:59">
      <c r="B674" s="332">
        <v>659</v>
      </c>
      <c r="C674" s="350">
        <v>5240091.3096357863</v>
      </c>
      <c r="D674" s="350">
        <v>32367.901470923149</v>
      </c>
      <c r="E674" s="350">
        <v>30991.129883231537</v>
      </c>
      <c r="F674" s="350">
        <v>29577.311551592644</v>
      </c>
      <c r="G674" s="350">
        <v>28126.518691876725</v>
      </c>
      <c r="H674" s="348">
        <v>5361154.17123341</v>
      </c>
      <c r="I674" s="369"/>
      <c r="J674" s="350">
        <v>7573325.3518659929</v>
      </c>
      <c r="K674" s="350">
        <v>2394426.5901146904</v>
      </c>
      <c r="L674" s="350">
        <v>2420035.3765657786</v>
      </c>
      <c r="M674" s="350">
        <v>2443702.0452890452</v>
      </c>
      <c r="N674" s="350">
        <v>2465360.8466675808</v>
      </c>
      <c r="O674" s="348">
        <v>17296850.210503086</v>
      </c>
      <c r="P674" s="369"/>
      <c r="Q674" s="350">
        <f t="shared" si="285"/>
        <v>2333234.0422302065</v>
      </c>
      <c r="R674" s="350">
        <f t="shared" si="286"/>
        <v>2362058.688643767</v>
      </c>
      <c r="S674" s="350">
        <f t="shared" si="287"/>
        <v>2389044.246682547</v>
      </c>
      <c r="T674" s="350">
        <f t="shared" si="288"/>
        <v>2414124.7337374524</v>
      </c>
      <c r="U674" s="350">
        <f t="shared" si="289"/>
        <v>2437234.3279757039</v>
      </c>
      <c r="V674" s="350">
        <f t="shared" si="290"/>
        <v>11935696.039269676</v>
      </c>
      <c r="W674" s="365"/>
      <c r="X674" s="377">
        <f t="shared" si="268"/>
        <v>0</v>
      </c>
      <c r="Y674" s="377">
        <f t="shared" si="269"/>
        <v>0</v>
      </c>
      <c r="Z674" s="377">
        <f t="shared" si="270"/>
        <v>0</v>
      </c>
      <c r="AA674" s="377">
        <f t="shared" si="271"/>
        <v>0</v>
      </c>
      <c r="AB674" s="377">
        <f t="shared" si="272"/>
        <v>0</v>
      </c>
      <c r="AC674" s="377">
        <f t="shared" si="273"/>
        <v>0</v>
      </c>
      <c r="AD674" s="376"/>
      <c r="AE674" s="332">
        <v>659</v>
      </c>
      <c r="AF674" s="350">
        <v>5301188.5327346381</v>
      </c>
      <c r="AG674" s="350">
        <v>32745.297355948562</v>
      </c>
      <c r="AH674" s="350">
        <v>31352.473200489945</v>
      </c>
      <c r="AI674" s="350">
        <v>29922.170351898629</v>
      </c>
      <c r="AJ674" s="350">
        <v>28454.461868049053</v>
      </c>
      <c r="AK674" s="348">
        <v>5423662.9355110237</v>
      </c>
      <c r="AL674" s="369"/>
      <c r="AM674" s="350">
        <v>6994043.4549544062</v>
      </c>
      <c r="AN674" s="350">
        <v>1746513.6571817449</v>
      </c>
      <c r="AO674" s="350">
        <v>1764699.9382201789</v>
      </c>
      <c r="AP674" s="350">
        <v>1781466.5351227948</v>
      </c>
      <c r="AQ674" s="350">
        <v>1796765.764566584</v>
      </c>
      <c r="AR674" s="348">
        <v>14083489.350045709</v>
      </c>
      <c r="AS674" s="369"/>
      <c r="AT674" s="350">
        <f t="shared" si="291"/>
        <v>1692854.9222197682</v>
      </c>
      <c r="AU674" s="350">
        <f t="shared" si="274"/>
        <v>1713768.3598257964</v>
      </c>
      <c r="AV674" s="350">
        <f t="shared" si="275"/>
        <v>1733347.4650196889</v>
      </c>
      <c r="AW674" s="350">
        <f t="shared" si="276"/>
        <v>1751544.3647708963</v>
      </c>
      <c r="AX674" s="350">
        <f t="shared" si="277"/>
        <v>1768311.3026985349</v>
      </c>
      <c r="AY674" s="350">
        <f t="shared" si="278"/>
        <v>8659826.4145346843</v>
      </c>
      <c r="AZ674" s="365"/>
      <c r="BA674" s="377">
        <f t="shared" si="279"/>
        <v>0</v>
      </c>
      <c r="BB674" s="377">
        <f t="shared" si="280"/>
        <v>0</v>
      </c>
      <c r="BC674" s="377">
        <f t="shared" si="281"/>
        <v>0</v>
      </c>
      <c r="BD674" s="377">
        <f t="shared" si="282"/>
        <v>0</v>
      </c>
      <c r="BE674" s="377">
        <f t="shared" si="283"/>
        <v>0</v>
      </c>
      <c r="BF674" s="377">
        <f t="shared" si="284"/>
        <v>0</v>
      </c>
      <c r="BG674" s="328"/>
    </row>
    <row r="675" spans="2:59">
      <c r="B675" s="332">
        <v>660</v>
      </c>
      <c r="C675" s="350">
        <v>5711172.7365882937</v>
      </c>
      <c r="D675" s="350">
        <v>35277.75863015627</v>
      </c>
      <c r="E675" s="350">
        <v>33777.216007612369</v>
      </c>
      <c r="F675" s="350">
        <v>32236.296158505713</v>
      </c>
      <c r="G675" s="350">
        <v>30655.077790879302</v>
      </c>
      <c r="H675" s="348">
        <v>5843119.0851754481</v>
      </c>
      <c r="I675" s="369"/>
      <c r="J675" s="350">
        <v>8415210.8365604635</v>
      </c>
      <c r="K675" s="350">
        <v>2772721.3981709098</v>
      </c>
      <c r="L675" s="350">
        <v>2802495.0336913057</v>
      </c>
      <c r="M675" s="350">
        <v>2830020.4618102279</v>
      </c>
      <c r="N675" s="350">
        <v>2855221.4788138187</v>
      </c>
      <c r="O675" s="348">
        <v>19675669.209046725</v>
      </c>
      <c r="P675" s="369"/>
      <c r="Q675" s="350">
        <f t="shared" si="285"/>
        <v>2704038.0999721698</v>
      </c>
      <c r="R675" s="350">
        <f t="shared" si="286"/>
        <v>2737443.6395407538</v>
      </c>
      <c r="S675" s="350">
        <f t="shared" si="287"/>
        <v>2768717.8176836935</v>
      </c>
      <c r="T675" s="350">
        <f t="shared" si="288"/>
        <v>2797784.1656517223</v>
      </c>
      <c r="U675" s="350">
        <f t="shared" si="289"/>
        <v>2824566.4010229395</v>
      </c>
      <c r="V675" s="350">
        <f t="shared" si="290"/>
        <v>13832550.123871278</v>
      </c>
      <c r="W675" s="365"/>
      <c r="X675" s="377">
        <f t="shared" si="268"/>
        <v>0</v>
      </c>
      <c r="Y675" s="377">
        <f t="shared" si="269"/>
        <v>0</v>
      </c>
      <c r="Z675" s="377">
        <f t="shared" si="270"/>
        <v>0</v>
      </c>
      <c r="AA675" s="377">
        <f t="shared" si="271"/>
        <v>0</v>
      </c>
      <c r="AB675" s="377">
        <f t="shared" si="272"/>
        <v>0</v>
      </c>
      <c r="AC675" s="377">
        <f t="shared" si="273"/>
        <v>0</v>
      </c>
      <c r="AD675" s="376"/>
      <c r="AE675" s="332">
        <v>660</v>
      </c>
      <c r="AF675" s="350">
        <v>6855288.8249579482</v>
      </c>
      <c r="AG675" s="350">
        <v>42344.932584081107</v>
      </c>
      <c r="AH675" s="350">
        <v>40543.78708452492</v>
      </c>
      <c r="AI675" s="350">
        <v>38694.175610849023</v>
      </c>
      <c r="AJ675" s="350">
        <v>36796.192638635694</v>
      </c>
      <c r="AK675" s="348">
        <v>7013667.9128760379</v>
      </c>
      <c r="AL675" s="369"/>
      <c r="AM675" s="350">
        <v>9295116.1802076697</v>
      </c>
      <c r="AN675" s="350">
        <v>2512313.7822369887</v>
      </c>
      <c r="AO675" s="350">
        <v>2538731.0243950915</v>
      </c>
      <c r="AP675" s="350">
        <v>2563107.6968226442</v>
      </c>
      <c r="AQ675" s="350">
        <v>2585375.0651056888</v>
      </c>
      <c r="AR675" s="348">
        <v>19494643.748768084</v>
      </c>
      <c r="AS675" s="369"/>
      <c r="AT675" s="350">
        <f t="shared" si="291"/>
        <v>2439827.3552497216</v>
      </c>
      <c r="AU675" s="350">
        <f t="shared" si="274"/>
        <v>2469968.8496529073</v>
      </c>
      <c r="AV675" s="350">
        <f t="shared" si="275"/>
        <v>2498187.2373105665</v>
      </c>
      <c r="AW675" s="350">
        <f t="shared" si="276"/>
        <v>2524413.521211795</v>
      </c>
      <c r="AX675" s="350">
        <f t="shared" si="277"/>
        <v>2548578.8724670531</v>
      </c>
      <c r="AY675" s="350">
        <f t="shared" si="278"/>
        <v>12480975.835892046</v>
      </c>
      <c r="AZ675" s="365"/>
      <c r="BA675" s="377">
        <f t="shared" si="279"/>
        <v>0</v>
      </c>
      <c r="BB675" s="377">
        <f t="shared" si="280"/>
        <v>0</v>
      </c>
      <c r="BC675" s="377">
        <f t="shared" si="281"/>
        <v>0</v>
      </c>
      <c r="BD675" s="377">
        <f t="shared" si="282"/>
        <v>0</v>
      </c>
      <c r="BE675" s="377">
        <f t="shared" si="283"/>
        <v>0</v>
      </c>
      <c r="BF675" s="377">
        <f t="shared" si="284"/>
        <v>0</v>
      </c>
      <c r="BG675" s="328"/>
    </row>
    <row r="676" spans="2:59">
      <c r="B676" s="332">
        <v>661</v>
      </c>
      <c r="C676" s="350">
        <v>6129441.8298528045</v>
      </c>
      <c r="D676" s="350">
        <v>37861.395440877575</v>
      </c>
      <c r="E676" s="350">
        <v>36250.95759521961</v>
      </c>
      <c r="F676" s="350">
        <v>34597.185416511027</v>
      </c>
      <c r="G676" s="350">
        <v>32900.163377136138</v>
      </c>
      <c r="H676" s="348">
        <v>6271051.531682549</v>
      </c>
      <c r="I676" s="369"/>
      <c r="J676" s="350">
        <v>8951775.0929214451</v>
      </c>
      <c r="K676" s="350">
        <v>2895061.6100869197</v>
      </c>
      <c r="L676" s="350">
        <v>2926093.5204570135</v>
      </c>
      <c r="M676" s="350">
        <v>2954777.6790592894</v>
      </c>
      <c r="N676" s="350">
        <v>2981034.5507717375</v>
      </c>
      <c r="O676" s="348">
        <v>20708742.453296408</v>
      </c>
      <c r="P676" s="369"/>
      <c r="Q676" s="350">
        <f t="shared" si="285"/>
        <v>2822333.2630686406</v>
      </c>
      <c r="R676" s="350">
        <f t="shared" si="286"/>
        <v>2857200.2146460423</v>
      </c>
      <c r="S676" s="350">
        <f t="shared" si="287"/>
        <v>2889842.5628617937</v>
      </c>
      <c r="T676" s="350">
        <f t="shared" si="288"/>
        <v>2920180.4936427781</v>
      </c>
      <c r="U676" s="350">
        <f t="shared" si="289"/>
        <v>2948134.3873946015</v>
      </c>
      <c r="V676" s="350">
        <f t="shared" si="290"/>
        <v>14437690.921613859</v>
      </c>
      <c r="W676" s="365"/>
      <c r="X676" s="377">
        <f t="shared" si="268"/>
        <v>0</v>
      </c>
      <c r="Y676" s="377">
        <f t="shared" si="269"/>
        <v>0</v>
      </c>
      <c r="Z676" s="377">
        <f t="shared" si="270"/>
        <v>0</v>
      </c>
      <c r="AA676" s="377">
        <f t="shared" si="271"/>
        <v>0</v>
      </c>
      <c r="AB676" s="377">
        <f t="shared" si="272"/>
        <v>0</v>
      </c>
      <c r="AC676" s="377">
        <f t="shared" si="273"/>
        <v>0</v>
      </c>
      <c r="AD676" s="376"/>
      <c r="AE676" s="332">
        <v>661</v>
      </c>
      <c r="AF676" s="350">
        <v>4533572.6089214748</v>
      </c>
      <c r="AG676" s="350">
        <v>28003.754676375363</v>
      </c>
      <c r="AH676" s="350">
        <v>26812.612463410191</v>
      </c>
      <c r="AI676" s="350">
        <v>25589.418499113221</v>
      </c>
      <c r="AJ676" s="350">
        <v>24334.235262529623</v>
      </c>
      <c r="AK676" s="348">
        <v>4638312.6298229033</v>
      </c>
      <c r="AL676" s="369"/>
      <c r="AM676" s="350">
        <v>6057271.3262786418</v>
      </c>
      <c r="AN676" s="350">
        <v>1570526.1630879703</v>
      </c>
      <c r="AO676" s="350">
        <v>1586957.7108523715</v>
      </c>
      <c r="AP676" s="350">
        <v>1602113.1164047006</v>
      </c>
      <c r="AQ676" s="350">
        <v>1615949.457833949</v>
      </c>
      <c r="AR676" s="348">
        <v>12432817.774457633</v>
      </c>
      <c r="AS676" s="369"/>
      <c r="AT676" s="350">
        <f t="shared" si="291"/>
        <v>1523698.717357167</v>
      </c>
      <c r="AU676" s="350">
        <f t="shared" si="274"/>
        <v>1542522.408411595</v>
      </c>
      <c r="AV676" s="350">
        <f t="shared" si="275"/>
        <v>1560145.0983889613</v>
      </c>
      <c r="AW676" s="350">
        <f t="shared" si="276"/>
        <v>1576523.6979055873</v>
      </c>
      <c r="AX676" s="350">
        <f t="shared" si="277"/>
        <v>1591615.2225714193</v>
      </c>
      <c r="AY676" s="350">
        <f t="shared" si="278"/>
        <v>7794505.1446347302</v>
      </c>
      <c r="AZ676" s="365"/>
      <c r="BA676" s="377">
        <f t="shared" si="279"/>
        <v>0</v>
      </c>
      <c r="BB676" s="377">
        <f t="shared" si="280"/>
        <v>0</v>
      </c>
      <c r="BC676" s="377">
        <f t="shared" si="281"/>
        <v>0</v>
      </c>
      <c r="BD676" s="377">
        <f t="shared" si="282"/>
        <v>0</v>
      </c>
      <c r="BE676" s="377">
        <f t="shared" si="283"/>
        <v>0</v>
      </c>
      <c r="BF676" s="377">
        <f t="shared" si="284"/>
        <v>0</v>
      </c>
      <c r="BG676" s="328"/>
    </row>
    <row r="677" spans="2:59">
      <c r="B677" s="332">
        <v>662</v>
      </c>
      <c r="C677" s="350">
        <v>6199229.6494609239</v>
      </c>
      <c r="D677" s="350">
        <v>38292.472904126051</v>
      </c>
      <c r="E677" s="350">
        <v>36663.699139964177</v>
      </c>
      <c r="F677" s="350">
        <v>34991.097652212244</v>
      </c>
      <c r="G677" s="350">
        <v>33274.753875028589</v>
      </c>
      <c r="H677" s="348">
        <v>6342451.673032254</v>
      </c>
      <c r="I677" s="369"/>
      <c r="J677" s="350">
        <v>8841459.2215173934</v>
      </c>
      <c r="K677" s="350">
        <v>2713164.005338124</v>
      </c>
      <c r="L677" s="350">
        <v>2742094.5488897515</v>
      </c>
      <c r="M677" s="350">
        <v>2768823.9008188546</v>
      </c>
      <c r="N677" s="350">
        <v>2793277.6077907095</v>
      </c>
      <c r="O677" s="348">
        <v>19858819.284354832</v>
      </c>
      <c r="P677" s="369"/>
      <c r="Q677" s="350">
        <f t="shared" si="285"/>
        <v>2642229.5720564695</v>
      </c>
      <c r="R677" s="350">
        <f t="shared" si="286"/>
        <v>2674871.5324339978</v>
      </c>
      <c r="S677" s="350">
        <f t="shared" si="287"/>
        <v>2705430.8497497872</v>
      </c>
      <c r="T677" s="350">
        <f t="shared" si="288"/>
        <v>2733832.8031666423</v>
      </c>
      <c r="U677" s="350">
        <f t="shared" si="289"/>
        <v>2760002.8539156807</v>
      </c>
      <c r="V677" s="350">
        <f t="shared" si="290"/>
        <v>13516367.611322578</v>
      </c>
      <c r="W677" s="365"/>
      <c r="X677" s="377">
        <f t="shared" si="268"/>
        <v>0</v>
      </c>
      <c r="Y677" s="377">
        <f t="shared" si="269"/>
        <v>0</v>
      </c>
      <c r="Z677" s="377">
        <f t="shared" si="270"/>
        <v>0</v>
      </c>
      <c r="AA677" s="377">
        <f t="shared" si="271"/>
        <v>0</v>
      </c>
      <c r="AB677" s="377">
        <f t="shared" si="272"/>
        <v>0</v>
      </c>
      <c r="AC677" s="377">
        <f t="shared" si="273"/>
        <v>0</v>
      </c>
      <c r="AD677" s="376"/>
      <c r="AE677" s="332">
        <v>662</v>
      </c>
      <c r="AF677" s="350">
        <v>6286109.1348823374</v>
      </c>
      <c r="AG677" s="350">
        <v>38829.125122150421</v>
      </c>
      <c r="AH677" s="350">
        <v>37177.52480783542</v>
      </c>
      <c r="AI677" s="350">
        <v>35481.48254360311</v>
      </c>
      <c r="AJ677" s="350">
        <v>33741.084960930268</v>
      </c>
      <c r="AK677" s="348">
        <v>6431338.3523168564</v>
      </c>
      <c r="AL677" s="369"/>
      <c r="AM677" s="350">
        <v>7793301.9084058832</v>
      </c>
      <c r="AN677" s="350">
        <v>1564641.6761680408</v>
      </c>
      <c r="AO677" s="350">
        <v>1580421.8625195313</v>
      </c>
      <c r="AP677" s="350">
        <v>1594926.9934601407</v>
      </c>
      <c r="AQ677" s="350">
        <v>1608114.6368731603</v>
      </c>
      <c r="AR677" s="348">
        <v>14141407.077426756</v>
      </c>
      <c r="AS677" s="369"/>
      <c r="AT677" s="350">
        <f t="shared" si="291"/>
        <v>1507192.7735235458</v>
      </c>
      <c r="AU677" s="350">
        <f t="shared" si="274"/>
        <v>1525812.5510458904</v>
      </c>
      <c r="AV677" s="350">
        <f t="shared" si="275"/>
        <v>1543244.3377116958</v>
      </c>
      <c r="AW677" s="350">
        <f t="shared" si="276"/>
        <v>1559445.5109165376</v>
      </c>
      <c r="AX677" s="350">
        <f t="shared" si="277"/>
        <v>1574373.55191223</v>
      </c>
      <c r="AY677" s="350">
        <f t="shared" si="278"/>
        <v>7710068.7251098994</v>
      </c>
      <c r="AZ677" s="365"/>
      <c r="BA677" s="377">
        <f t="shared" si="279"/>
        <v>0</v>
      </c>
      <c r="BB677" s="377">
        <f t="shared" si="280"/>
        <v>0</v>
      </c>
      <c r="BC677" s="377">
        <f t="shared" si="281"/>
        <v>0</v>
      </c>
      <c r="BD677" s="377">
        <f t="shared" si="282"/>
        <v>0</v>
      </c>
      <c r="BE677" s="377">
        <f t="shared" si="283"/>
        <v>0</v>
      </c>
      <c r="BF677" s="377">
        <f t="shared" si="284"/>
        <v>0</v>
      </c>
      <c r="BG677" s="328"/>
    </row>
    <row r="678" spans="2:59">
      <c r="B678" s="332">
        <v>663</v>
      </c>
      <c r="C678" s="350">
        <v>6411890.4055399504</v>
      </c>
      <c r="D678" s="350">
        <v>39606.072609314724</v>
      </c>
      <c r="E678" s="350">
        <v>37921.424764057112</v>
      </c>
      <c r="F678" s="350">
        <v>36191.445712135894</v>
      </c>
      <c r="G678" s="350">
        <v>34416.223818477622</v>
      </c>
      <c r="H678" s="348">
        <v>6560025.5724439351</v>
      </c>
      <c r="I678" s="369"/>
      <c r="J678" s="350">
        <v>8358332.6893530581</v>
      </c>
      <c r="K678" s="350">
        <v>2010094.5984966566</v>
      </c>
      <c r="L678" s="350">
        <v>2030921.979135595</v>
      </c>
      <c r="M678" s="350">
        <v>2050114.7706324966</v>
      </c>
      <c r="N678" s="350">
        <v>2067618.1511306104</v>
      </c>
      <c r="O678" s="348">
        <v>16517082.188748417</v>
      </c>
      <c r="P678" s="369"/>
      <c r="Q678" s="350">
        <f t="shared" si="285"/>
        <v>1946442.2838131078</v>
      </c>
      <c r="R678" s="350">
        <f t="shared" si="286"/>
        <v>1970488.5258873419</v>
      </c>
      <c r="S678" s="350">
        <f t="shared" si="287"/>
        <v>1993000.5543715379</v>
      </c>
      <c r="T678" s="350">
        <f t="shared" si="288"/>
        <v>2013923.3249203607</v>
      </c>
      <c r="U678" s="350">
        <f t="shared" si="289"/>
        <v>2033201.9273121327</v>
      </c>
      <c r="V678" s="350">
        <f t="shared" si="290"/>
        <v>9957056.6163044833</v>
      </c>
      <c r="W678" s="365"/>
      <c r="X678" s="377">
        <f t="shared" si="268"/>
        <v>0</v>
      </c>
      <c r="Y678" s="377">
        <f t="shared" si="269"/>
        <v>0</v>
      </c>
      <c r="Z678" s="377">
        <f t="shared" si="270"/>
        <v>0</v>
      </c>
      <c r="AA678" s="377">
        <f t="shared" si="271"/>
        <v>0</v>
      </c>
      <c r="AB678" s="377">
        <f t="shared" si="272"/>
        <v>0</v>
      </c>
      <c r="AC678" s="377">
        <f t="shared" si="273"/>
        <v>0</v>
      </c>
      <c r="AD678" s="376"/>
      <c r="AE678" s="332">
        <v>663</v>
      </c>
      <c r="AF678" s="350">
        <v>5496053.7918898333</v>
      </c>
      <c r="AG678" s="350">
        <v>33948.974760737059</v>
      </c>
      <c r="AH678" s="350">
        <v>32504.952079075196</v>
      </c>
      <c r="AI678" s="350">
        <v>31022.073032985911</v>
      </c>
      <c r="AJ678" s="350">
        <v>29500.413365868426</v>
      </c>
      <c r="AK678" s="348">
        <v>5623030.2051285012</v>
      </c>
      <c r="AL678" s="369"/>
      <c r="AM678" s="350">
        <v>7595300.9793757955</v>
      </c>
      <c r="AN678" s="350">
        <v>2159130.1477872608</v>
      </c>
      <c r="AO678" s="350">
        <v>2181965.4540500287</v>
      </c>
      <c r="AP678" s="350">
        <v>2203047.8817660767</v>
      </c>
      <c r="AQ678" s="350">
        <v>2222318.2857456142</v>
      </c>
      <c r="AR678" s="348">
        <v>16361762.748724777</v>
      </c>
      <c r="AS678" s="369"/>
      <c r="AT678" s="350">
        <f t="shared" si="291"/>
        <v>2099247.1874859622</v>
      </c>
      <c r="AU678" s="350">
        <f t="shared" si="274"/>
        <v>2125181.1730265236</v>
      </c>
      <c r="AV678" s="350">
        <f t="shared" si="275"/>
        <v>2149460.5019709533</v>
      </c>
      <c r="AW678" s="350">
        <f t="shared" si="276"/>
        <v>2172025.8087330908</v>
      </c>
      <c r="AX678" s="350">
        <f t="shared" si="277"/>
        <v>2192817.8723797458</v>
      </c>
      <c r="AY678" s="350">
        <f t="shared" si="278"/>
        <v>10738732.543596275</v>
      </c>
      <c r="AZ678" s="365"/>
      <c r="BA678" s="377">
        <f t="shared" si="279"/>
        <v>0</v>
      </c>
      <c r="BB678" s="377">
        <f t="shared" si="280"/>
        <v>0</v>
      </c>
      <c r="BC678" s="377">
        <f t="shared" si="281"/>
        <v>0</v>
      </c>
      <c r="BD678" s="377">
        <f t="shared" si="282"/>
        <v>0</v>
      </c>
      <c r="BE678" s="377">
        <f t="shared" si="283"/>
        <v>0</v>
      </c>
      <c r="BF678" s="377">
        <f t="shared" si="284"/>
        <v>0</v>
      </c>
      <c r="BG678" s="328"/>
    </row>
    <row r="679" spans="2:59">
      <c r="B679" s="332">
        <v>664</v>
      </c>
      <c r="C679" s="350">
        <v>6974192.0531042162</v>
      </c>
      <c r="D679" s="350">
        <v>43079.394589759759</v>
      </c>
      <c r="E679" s="350">
        <v>41247.008683018052</v>
      </c>
      <c r="F679" s="350">
        <v>39365.316172256411</v>
      </c>
      <c r="G679" s="350">
        <v>37434.413171706859</v>
      </c>
      <c r="H679" s="348">
        <v>7135318.1857209569</v>
      </c>
      <c r="I679" s="369"/>
      <c r="J679" s="350">
        <v>8859610.1979041696</v>
      </c>
      <c r="K679" s="350">
        <v>1951789.8925707159</v>
      </c>
      <c r="L679" s="350">
        <v>1971763.7463523156</v>
      </c>
      <c r="M679" s="350">
        <v>1990148.8614218787</v>
      </c>
      <c r="N679" s="350">
        <v>2006892.1451969151</v>
      </c>
      <c r="O679" s="348">
        <v>16780204.843445994</v>
      </c>
      <c r="P679" s="369"/>
      <c r="Q679" s="350">
        <f t="shared" si="285"/>
        <v>1885418.1447999533</v>
      </c>
      <c r="R679" s="350">
        <f t="shared" si="286"/>
        <v>1908710.497980956</v>
      </c>
      <c r="S679" s="350">
        <f t="shared" si="287"/>
        <v>1930516.7376692975</v>
      </c>
      <c r="T679" s="350">
        <f t="shared" si="288"/>
        <v>1950783.5452496223</v>
      </c>
      <c r="U679" s="350">
        <f t="shared" si="289"/>
        <v>1969457.7320252082</v>
      </c>
      <c r="V679" s="350">
        <f t="shared" si="290"/>
        <v>9644886.6577250361</v>
      </c>
      <c r="W679" s="365"/>
      <c r="X679" s="377">
        <f t="shared" si="268"/>
        <v>0</v>
      </c>
      <c r="Y679" s="377">
        <f t="shared" si="269"/>
        <v>0</v>
      </c>
      <c r="Z679" s="377">
        <f t="shared" si="270"/>
        <v>0</v>
      </c>
      <c r="AA679" s="377">
        <f t="shared" si="271"/>
        <v>0</v>
      </c>
      <c r="AB679" s="377">
        <f t="shared" si="272"/>
        <v>0</v>
      </c>
      <c r="AC679" s="377">
        <f t="shared" si="273"/>
        <v>0</v>
      </c>
      <c r="AD679" s="376"/>
      <c r="AE679" s="332">
        <v>664</v>
      </c>
      <c r="AF679" s="350">
        <v>3954851.6897155042</v>
      </c>
      <c r="AG679" s="350">
        <v>24429.011301660601</v>
      </c>
      <c r="AH679" s="350">
        <v>23389.921118266149</v>
      </c>
      <c r="AI679" s="350">
        <v>22322.870662951354</v>
      </c>
      <c r="AJ679" s="350">
        <v>21227.914439170338</v>
      </c>
      <c r="AK679" s="348">
        <v>4046221.4072375521</v>
      </c>
      <c r="AL679" s="369"/>
      <c r="AM679" s="350">
        <v>5315957.1906530149</v>
      </c>
      <c r="AN679" s="350">
        <v>1402349.5355441505</v>
      </c>
      <c r="AO679" s="350">
        <v>1417052.6258825809</v>
      </c>
      <c r="AP679" s="350">
        <v>1430616.421831338</v>
      </c>
      <c r="AQ679" s="350">
        <v>1443002.5803490751</v>
      </c>
      <c r="AR679" s="348">
        <v>11008978.35426016</v>
      </c>
      <c r="AS679" s="369"/>
      <c r="AT679" s="350">
        <f t="shared" si="291"/>
        <v>1361105.5009375107</v>
      </c>
      <c r="AU679" s="350">
        <f t="shared" si="274"/>
        <v>1377920.5242424898</v>
      </c>
      <c r="AV679" s="350">
        <f t="shared" si="275"/>
        <v>1393662.7047643147</v>
      </c>
      <c r="AW679" s="350">
        <f t="shared" si="276"/>
        <v>1408293.5511683866</v>
      </c>
      <c r="AX679" s="350">
        <f t="shared" si="277"/>
        <v>1421774.6659099048</v>
      </c>
      <c r="AY679" s="350">
        <f t="shared" si="278"/>
        <v>6962756.9470226076</v>
      </c>
      <c r="AZ679" s="365"/>
      <c r="BA679" s="377">
        <f t="shared" si="279"/>
        <v>0</v>
      </c>
      <c r="BB679" s="377">
        <f t="shared" si="280"/>
        <v>0</v>
      </c>
      <c r="BC679" s="377">
        <f t="shared" si="281"/>
        <v>0</v>
      </c>
      <c r="BD679" s="377">
        <f t="shared" si="282"/>
        <v>0</v>
      </c>
      <c r="BE679" s="377">
        <f t="shared" si="283"/>
        <v>0</v>
      </c>
      <c r="BF679" s="377">
        <f t="shared" si="284"/>
        <v>0</v>
      </c>
      <c r="BG679" s="328"/>
    </row>
    <row r="680" spans="2:59">
      <c r="B680" s="332">
        <v>665</v>
      </c>
      <c r="C680" s="350">
        <v>6128881.9889787091</v>
      </c>
      <c r="D680" s="350">
        <v>37857.937319029283</v>
      </c>
      <c r="E680" s="350">
        <v>36247.646564892442</v>
      </c>
      <c r="F680" s="350">
        <v>34594.02543570711</v>
      </c>
      <c r="G680" s="350">
        <v>32897.158396139268</v>
      </c>
      <c r="H680" s="348">
        <v>6270478.7566944771</v>
      </c>
      <c r="I680" s="369"/>
      <c r="J680" s="350">
        <v>9162521.4364469834</v>
      </c>
      <c r="K680" s="350">
        <v>3108974.8014702504</v>
      </c>
      <c r="L680" s="350">
        <v>3142450.7694868566</v>
      </c>
      <c r="M680" s="350">
        <v>3173406.4595173658</v>
      </c>
      <c r="N680" s="350">
        <v>3201756.3753668116</v>
      </c>
      <c r="O680" s="348">
        <v>21789109.842288267</v>
      </c>
      <c r="P680" s="369"/>
      <c r="Q680" s="350">
        <f t="shared" si="285"/>
        <v>3033639.4474682743</v>
      </c>
      <c r="R680" s="350">
        <f t="shared" si="286"/>
        <v>3071116.8641512212</v>
      </c>
      <c r="S680" s="350">
        <f t="shared" si="287"/>
        <v>3106203.1229219642</v>
      </c>
      <c r="T680" s="350">
        <f t="shared" si="288"/>
        <v>3138812.4340816587</v>
      </c>
      <c r="U680" s="350">
        <f t="shared" si="289"/>
        <v>3168859.2169706724</v>
      </c>
      <c r="V680" s="350">
        <f t="shared" si="290"/>
        <v>15518631.08559379</v>
      </c>
      <c r="W680" s="365"/>
      <c r="X680" s="377">
        <f t="shared" si="268"/>
        <v>0</v>
      </c>
      <c r="Y680" s="377">
        <f t="shared" si="269"/>
        <v>0</v>
      </c>
      <c r="Z680" s="377">
        <f t="shared" si="270"/>
        <v>0</v>
      </c>
      <c r="AA680" s="377">
        <f t="shared" si="271"/>
        <v>0</v>
      </c>
      <c r="AB680" s="377">
        <f t="shared" si="272"/>
        <v>0</v>
      </c>
      <c r="AC680" s="377">
        <f t="shared" si="273"/>
        <v>0</v>
      </c>
      <c r="AD680" s="376"/>
      <c r="AE680" s="332">
        <v>665</v>
      </c>
      <c r="AF680" s="350">
        <v>6576773.4230207698</v>
      </c>
      <c r="AG680" s="350">
        <v>40624.550522903082</v>
      </c>
      <c r="AH680" s="350">
        <v>38896.581628381588</v>
      </c>
      <c r="AI680" s="350">
        <v>37122.115826343565</v>
      </c>
      <c r="AJ680" s="350">
        <v>35301.243754032381</v>
      </c>
      <c r="AK680" s="348">
        <v>6728717.9147524294</v>
      </c>
      <c r="AL680" s="369"/>
      <c r="AM680" s="350">
        <v>8941527.6143800374</v>
      </c>
      <c r="AN680" s="350">
        <v>2434592.7865031594</v>
      </c>
      <c r="AO680" s="350">
        <v>2460214.9292234052</v>
      </c>
      <c r="AP680" s="350">
        <v>2483859.7680478869</v>
      </c>
      <c r="AQ680" s="350">
        <v>2505460.6825801022</v>
      </c>
      <c r="AR680" s="348">
        <v>18825655.780734591</v>
      </c>
      <c r="AS680" s="369"/>
      <c r="AT680" s="350">
        <f t="shared" si="291"/>
        <v>2364754.1913592676</v>
      </c>
      <c r="AU680" s="350">
        <f t="shared" si="274"/>
        <v>2393968.2359802565</v>
      </c>
      <c r="AV680" s="350">
        <f t="shared" si="275"/>
        <v>2421318.3475950235</v>
      </c>
      <c r="AW680" s="350">
        <f t="shared" si="276"/>
        <v>2446737.6522215432</v>
      </c>
      <c r="AX680" s="350">
        <f t="shared" si="277"/>
        <v>2470159.4388260697</v>
      </c>
      <c r="AY680" s="350">
        <f t="shared" si="278"/>
        <v>12096937.865982162</v>
      </c>
      <c r="AZ680" s="365"/>
      <c r="BA680" s="377">
        <f t="shared" si="279"/>
        <v>0</v>
      </c>
      <c r="BB680" s="377">
        <f t="shared" si="280"/>
        <v>0</v>
      </c>
      <c r="BC680" s="377">
        <f t="shared" si="281"/>
        <v>0</v>
      </c>
      <c r="BD680" s="377">
        <f t="shared" si="282"/>
        <v>0</v>
      </c>
      <c r="BE680" s="377">
        <f t="shared" si="283"/>
        <v>0</v>
      </c>
      <c r="BF680" s="377">
        <f t="shared" si="284"/>
        <v>0</v>
      </c>
      <c r="BG680" s="328"/>
    </row>
    <row r="681" spans="2:59">
      <c r="B681" s="332">
        <v>666</v>
      </c>
      <c r="C681" s="350">
        <v>6304729.6809870517</v>
      </c>
      <c r="D681" s="350">
        <v>38944.143728895593</v>
      </c>
      <c r="E681" s="350">
        <v>37287.651087842707</v>
      </c>
      <c r="F681" s="350">
        <v>35586.584852104534</v>
      </c>
      <c r="G681" s="350">
        <v>33841.031909774807</v>
      </c>
      <c r="H681" s="348">
        <v>6450389.0925656697</v>
      </c>
      <c r="I681" s="369"/>
      <c r="J681" s="350">
        <v>8918948.5138114579</v>
      </c>
      <c r="K681" s="350">
        <v>2685458.8937823372</v>
      </c>
      <c r="L681" s="350">
        <v>2714037.7537730439</v>
      </c>
      <c r="M681" s="350">
        <v>2740437.546863304</v>
      </c>
      <c r="N681" s="350">
        <v>2764584.6113708857</v>
      </c>
      <c r="O681" s="348">
        <v>19823467.319601029</v>
      </c>
      <c r="P681" s="369"/>
      <c r="Q681" s="350">
        <f t="shared" si="285"/>
        <v>2614218.8328244062</v>
      </c>
      <c r="R681" s="350">
        <f t="shared" si="286"/>
        <v>2646514.7500534416</v>
      </c>
      <c r="S681" s="350">
        <f t="shared" si="287"/>
        <v>2676750.102685201</v>
      </c>
      <c r="T681" s="350">
        <f t="shared" si="288"/>
        <v>2704850.9620111994</v>
      </c>
      <c r="U681" s="350">
        <f t="shared" si="289"/>
        <v>2730743.5794611108</v>
      </c>
      <c r="V681" s="350">
        <f t="shared" si="290"/>
        <v>13373078.227035359</v>
      </c>
      <c r="W681" s="365"/>
      <c r="X681" s="377">
        <f t="shared" si="268"/>
        <v>0</v>
      </c>
      <c r="Y681" s="377">
        <f t="shared" si="269"/>
        <v>0</v>
      </c>
      <c r="Z681" s="377">
        <f t="shared" si="270"/>
        <v>0</v>
      </c>
      <c r="AA681" s="377">
        <f t="shared" si="271"/>
        <v>0</v>
      </c>
      <c r="AB681" s="377">
        <f t="shared" si="272"/>
        <v>0</v>
      </c>
      <c r="AC681" s="377">
        <f t="shared" si="273"/>
        <v>0</v>
      </c>
      <c r="AD681" s="376"/>
      <c r="AE681" s="332">
        <v>666</v>
      </c>
      <c r="AF681" s="350">
        <v>5873570.7156199552</v>
      </c>
      <c r="AG681" s="350">
        <v>36280.886528846044</v>
      </c>
      <c r="AH681" s="350">
        <v>34737.675771298149</v>
      </c>
      <c r="AI681" s="350">
        <v>33152.939655221096</v>
      </c>
      <c r="AJ681" s="350">
        <v>31526.759126727455</v>
      </c>
      <c r="AK681" s="348">
        <v>6009268.9767020475</v>
      </c>
      <c r="AL681" s="369"/>
      <c r="AM681" s="350">
        <v>8020362.1520617828</v>
      </c>
      <c r="AN681" s="350">
        <v>2209593.6675760979</v>
      </c>
      <c r="AO681" s="350">
        <v>2232879.6697722087</v>
      </c>
      <c r="AP681" s="350">
        <v>2254371.3048459659</v>
      </c>
      <c r="AQ681" s="350">
        <v>2274008.0915605277</v>
      </c>
      <c r="AR681" s="348">
        <v>16991214.885816582</v>
      </c>
      <c r="AS681" s="369"/>
      <c r="AT681" s="350">
        <f t="shared" si="291"/>
        <v>2146791.4364418276</v>
      </c>
      <c r="AU681" s="350">
        <f t="shared" si="274"/>
        <v>2173312.781047252</v>
      </c>
      <c r="AV681" s="350">
        <f t="shared" si="275"/>
        <v>2198141.9940009103</v>
      </c>
      <c r="AW681" s="350">
        <f t="shared" si="276"/>
        <v>2221218.3651907449</v>
      </c>
      <c r="AX681" s="350">
        <f t="shared" si="277"/>
        <v>2242481.3324338002</v>
      </c>
      <c r="AY681" s="350">
        <f t="shared" si="278"/>
        <v>10981945.909114534</v>
      </c>
      <c r="AZ681" s="365"/>
      <c r="BA681" s="377">
        <f t="shared" si="279"/>
        <v>0</v>
      </c>
      <c r="BB681" s="377">
        <f t="shared" si="280"/>
        <v>0</v>
      </c>
      <c r="BC681" s="377">
        <f t="shared" si="281"/>
        <v>0</v>
      </c>
      <c r="BD681" s="377">
        <f t="shared" si="282"/>
        <v>0</v>
      </c>
      <c r="BE681" s="377">
        <f t="shared" si="283"/>
        <v>0</v>
      </c>
      <c r="BF681" s="377">
        <f t="shared" si="284"/>
        <v>0</v>
      </c>
      <c r="BG681" s="328"/>
    </row>
    <row r="682" spans="2:59">
      <c r="B682" s="332">
        <v>667</v>
      </c>
      <c r="C682" s="350">
        <v>5409337.9188306434</v>
      </c>
      <c r="D682" s="350">
        <v>33413.333171824488</v>
      </c>
      <c r="E682" s="350">
        <v>31992.094053114219</v>
      </c>
      <c r="F682" s="350">
        <v>30532.611639588809</v>
      </c>
      <c r="G682" s="350">
        <v>29034.960479580925</v>
      </c>
      <c r="H682" s="348">
        <v>5534310.918174752</v>
      </c>
      <c r="I682" s="369"/>
      <c r="J682" s="350">
        <v>7049152.3446511943</v>
      </c>
      <c r="K682" s="350">
        <v>1693485.937191658</v>
      </c>
      <c r="L682" s="350">
        <v>1711030.3511364155</v>
      </c>
      <c r="M682" s="350">
        <v>1727197.6235768206</v>
      </c>
      <c r="N682" s="350">
        <v>1741941.5689822927</v>
      </c>
      <c r="O682" s="348">
        <v>13922807.82553838</v>
      </c>
      <c r="P682" s="369"/>
      <c r="Q682" s="350">
        <f t="shared" si="285"/>
        <v>1639814.4258205509</v>
      </c>
      <c r="R682" s="350">
        <f t="shared" si="286"/>
        <v>1660072.6040198335</v>
      </c>
      <c r="S682" s="350">
        <f t="shared" si="287"/>
        <v>1679038.2570833012</v>
      </c>
      <c r="T682" s="350">
        <f t="shared" si="288"/>
        <v>1696665.0119372318</v>
      </c>
      <c r="U682" s="350">
        <f t="shared" si="289"/>
        <v>1712906.6085027116</v>
      </c>
      <c r="V682" s="350">
        <f t="shared" si="290"/>
        <v>8388496.907363628</v>
      </c>
      <c r="W682" s="365"/>
      <c r="X682" s="377">
        <f t="shared" si="268"/>
        <v>0</v>
      </c>
      <c r="Y682" s="377">
        <f t="shared" si="269"/>
        <v>0</v>
      </c>
      <c r="Z682" s="377">
        <f t="shared" si="270"/>
        <v>0</v>
      </c>
      <c r="AA682" s="377">
        <f t="shared" si="271"/>
        <v>0</v>
      </c>
      <c r="AB682" s="377">
        <f t="shared" si="272"/>
        <v>0</v>
      </c>
      <c r="AC682" s="377">
        <f t="shared" si="273"/>
        <v>0</v>
      </c>
      <c r="AD682" s="376"/>
      <c r="AE682" s="332">
        <v>667</v>
      </c>
      <c r="AF682" s="350">
        <v>5222266.6546828747</v>
      </c>
      <c r="AG682" s="350">
        <v>32257.799062171845</v>
      </c>
      <c r="AH682" s="350">
        <v>30885.710690296386</v>
      </c>
      <c r="AI682" s="350">
        <v>29476.701592397709</v>
      </c>
      <c r="AJ682" s="350">
        <v>28030.843738697491</v>
      </c>
      <c r="AK682" s="348">
        <v>5342917.7097664382</v>
      </c>
      <c r="AL682" s="369"/>
      <c r="AM682" s="350">
        <v>6510155.5357442293</v>
      </c>
      <c r="AN682" s="350">
        <v>1336057.1892900504</v>
      </c>
      <c r="AO682" s="350">
        <v>1349580.4776863642</v>
      </c>
      <c r="AP682" s="350">
        <v>1362015.2921505212</v>
      </c>
      <c r="AQ682" s="350">
        <v>1373325.3725895924</v>
      </c>
      <c r="AR682" s="348">
        <v>11931133.867460757</v>
      </c>
      <c r="AS682" s="369"/>
      <c r="AT682" s="350">
        <f t="shared" si="291"/>
        <v>1287888.8810613547</v>
      </c>
      <c r="AU682" s="350">
        <f t="shared" si="274"/>
        <v>1303799.3902278785</v>
      </c>
      <c r="AV682" s="350">
        <f t="shared" si="275"/>
        <v>1318694.7669960677</v>
      </c>
      <c r="AW682" s="350">
        <f t="shared" si="276"/>
        <v>1332538.5905581235</v>
      </c>
      <c r="AX682" s="350">
        <f t="shared" si="277"/>
        <v>1345294.5288508949</v>
      </c>
      <c r="AY682" s="350">
        <f t="shared" si="278"/>
        <v>6588216.1576943193</v>
      </c>
      <c r="AZ682" s="365"/>
      <c r="BA682" s="377">
        <f t="shared" si="279"/>
        <v>0</v>
      </c>
      <c r="BB682" s="377">
        <f t="shared" si="280"/>
        <v>0</v>
      </c>
      <c r="BC682" s="377">
        <f t="shared" si="281"/>
        <v>0</v>
      </c>
      <c r="BD682" s="377">
        <f t="shared" si="282"/>
        <v>0</v>
      </c>
      <c r="BE682" s="377">
        <f t="shared" si="283"/>
        <v>0</v>
      </c>
      <c r="BF682" s="377">
        <f t="shared" si="284"/>
        <v>0</v>
      </c>
      <c r="BG682" s="328"/>
    </row>
    <row r="683" spans="2:59">
      <c r="B683" s="332">
        <v>668</v>
      </c>
      <c r="C683" s="350">
        <v>4701410.5683377311</v>
      </c>
      <c r="D683" s="350">
        <v>29040.48518591356</v>
      </c>
      <c r="E683" s="350">
        <v>27805.245547884624</v>
      </c>
      <c r="F683" s="350">
        <v>26536.76756661927</v>
      </c>
      <c r="G683" s="350">
        <v>25235.116034215152</v>
      </c>
      <c r="H683" s="348">
        <v>4810028.1826723646</v>
      </c>
      <c r="I683" s="369"/>
      <c r="J683" s="350">
        <v>6524994.3844129592</v>
      </c>
      <c r="K683" s="350">
        <v>1875152.7565092985</v>
      </c>
      <c r="L683" s="350">
        <v>1895008.5973272379</v>
      </c>
      <c r="M683" s="350">
        <v>1913342.2550360912</v>
      </c>
      <c r="N683" s="350">
        <v>1930102.3501121278</v>
      </c>
      <c r="O683" s="348">
        <v>14138600.343397714</v>
      </c>
      <c r="P683" s="369"/>
      <c r="Q683" s="350">
        <f t="shared" si="285"/>
        <v>1823583.8160752282</v>
      </c>
      <c r="R683" s="350">
        <f t="shared" si="286"/>
        <v>1846112.2713233849</v>
      </c>
      <c r="S683" s="350">
        <f t="shared" si="287"/>
        <v>1867203.3517793533</v>
      </c>
      <c r="T683" s="350">
        <f t="shared" si="288"/>
        <v>1886805.487469472</v>
      </c>
      <c r="U683" s="350">
        <f t="shared" si="289"/>
        <v>1904867.2340779128</v>
      </c>
      <c r="V683" s="350">
        <f t="shared" si="290"/>
        <v>9328572.1607253496</v>
      </c>
      <c r="W683" s="365"/>
      <c r="X683" s="377">
        <f t="shared" si="268"/>
        <v>0</v>
      </c>
      <c r="Y683" s="377">
        <f t="shared" si="269"/>
        <v>0</v>
      </c>
      <c r="Z683" s="377">
        <f t="shared" si="270"/>
        <v>0</v>
      </c>
      <c r="AA683" s="377">
        <f t="shared" si="271"/>
        <v>0</v>
      </c>
      <c r="AB683" s="377">
        <f t="shared" si="272"/>
        <v>0</v>
      </c>
      <c r="AC683" s="377">
        <f t="shared" si="273"/>
        <v>0</v>
      </c>
      <c r="AD683" s="376"/>
      <c r="AE683" s="332">
        <v>668</v>
      </c>
      <c r="AF683" s="350">
        <v>8217206.1498982003</v>
      </c>
      <c r="AG683" s="350">
        <v>50757.45885135125</v>
      </c>
      <c r="AH683" s="350">
        <v>48598.485793654778</v>
      </c>
      <c r="AI683" s="350">
        <v>46381.418188701573</v>
      </c>
      <c r="AJ683" s="350">
        <v>44106.369281223757</v>
      </c>
      <c r="AK683" s="348">
        <v>8407049.8820131309</v>
      </c>
      <c r="AL683" s="369"/>
      <c r="AM683" s="350">
        <v>10300425.10940275</v>
      </c>
      <c r="AN683" s="350">
        <v>2159712.3920400245</v>
      </c>
      <c r="AO683" s="350">
        <v>2181647.3697483931</v>
      </c>
      <c r="AP683" s="350">
        <v>2201823.3176749833</v>
      </c>
      <c r="AQ683" s="350">
        <v>2220181.5802965835</v>
      </c>
      <c r="AR683" s="348">
        <v>19063789.769162737</v>
      </c>
      <c r="AS683" s="369"/>
      <c r="AT683" s="350">
        <f t="shared" si="291"/>
        <v>2083218.9595045494</v>
      </c>
      <c r="AU683" s="350">
        <f t="shared" si="274"/>
        <v>2108954.9331886731</v>
      </c>
      <c r="AV683" s="350">
        <f t="shared" si="275"/>
        <v>2133048.8839547383</v>
      </c>
      <c r="AW683" s="350">
        <f t="shared" si="276"/>
        <v>2155441.8994862819</v>
      </c>
      <c r="AX683" s="350">
        <f t="shared" si="277"/>
        <v>2176075.2110153595</v>
      </c>
      <c r="AY683" s="350">
        <f t="shared" si="278"/>
        <v>10656739.887149606</v>
      </c>
      <c r="AZ683" s="365"/>
      <c r="BA683" s="377">
        <f t="shared" si="279"/>
        <v>0</v>
      </c>
      <c r="BB683" s="377">
        <f t="shared" si="280"/>
        <v>0</v>
      </c>
      <c r="BC683" s="377">
        <f t="shared" si="281"/>
        <v>0</v>
      </c>
      <c r="BD683" s="377">
        <f t="shared" si="282"/>
        <v>0</v>
      </c>
      <c r="BE683" s="377">
        <f t="shared" si="283"/>
        <v>0</v>
      </c>
      <c r="BF683" s="377">
        <f t="shared" si="284"/>
        <v>0</v>
      </c>
      <c r="BG683" s="328"/>
    </row>
    <row r="684" spans="2:59">
      <c r="B684" s="332">
        <v>669</v>
      </c>
      <c r="C684" s="350">
        <v>4515936.9725441076</v>
      </c>
      <c r="D684" s="350">
        <v>27894.819830222721</v>
      </c>
      <c r="E684" s="350">
        <v>26708.311170694753</v>
      </c>
      <c r="F684" s="350">
        <v>25489.875441421329</v>
      </c>
      <c r="G684" s="350">
        <v>24239.574878406045</v>
      </c>
      <c r="H684" s="348">
        <v>4620269.5538648525</v>
      </c>
      <c r="I684" s="369"/>
      <c r="J684" s="350">
        <v>6612772.6444806233</v>
      </c>
      <c r="K684" s="350">
        <v>2150634.6855754042</v>
      </c>
      <c r="L684" s="350">
        <v>2173699.6149193896</v>
      </c>
      <c r="M684" s="350">
        <v>2195020.5639986768</v>
      </c>
      <c r="N684" s="350">
        <v>2214538.4421462868</v>
      </c>
      <c r="O684" s="348">
        <v>15346665.95112038</v>
      </c>
      <c r="P684" s="369"/>
      <c r="Q684" s="350">
        <f t="shared" si="285"/>
        <v>2096835.6719365157</v>
      </c>
      <c r="R684" s="350">
        <f t="shared" si="286"/>
        <v>2122739.8657451817</v>
      </c>
      <c r="S684" s="350">
        <f t="shared" si="287"/>
        <v>2146991.3037486947</v>
      </c>
      <c r="T684" s="350">
        <f t="shared" si="288"/>
        <v>2169530.6885572555</v>
      </c>
      <c r="U684" s="350">
        <f t="shared" si="289"/>
        <v>2190298.8672678806</v>
      </c>
      <c r="V684" s="350">
        <f t="shared" si="290"/>
        <v>10726396.397255529</v>
      </c>
      <c r="W684" s="365"/>
      <c r="X684" s="377">
        <f t="shared" si="268"/>
        <v>0</v>
      </c>
      <c r="Y684" s="377">
        <f t="shared" si="269"/>
        <v>0</v>
      </c>
      <c r="Z684" s="377">
        <f t="shared" si="270"/>
        <v>0</v>
      </c>
      <c r="AA684" s="377">
        <f t="shared" si="271"/>
        <v>0</v>
      </c>
      <c r="AB684" s="377">
        <f t="shared" si="272"/>
        <v>0</v>
      </c>
      <c r="AC684" s="377">
        <f t="shared" si="273"/>
        <v>0</v>
      </c>
      <c r="AD684" s="376"/>
      <c r="AE684" s="332">
        <v>669</v>
      </c>
      <c r="AF684" s="350">
        <v>6628339.900211324</v>
      </c>
      <c r="AG684" s="350">
        <v>40943.075249721063</v>
      </c>
      <c r="AH684" s="350">
        <v>39201.557877421146</v>
      </c>
      <c r="AI684" s="350">
        <v>37413.179029513682</v>
      </c>
      <c r="AJ684" s="350">
        <v>35578.030053901675</v>
      </c>
      <c r="AK684" s="348">
        <v>6781475.7424218822</v>
      </c>
      <c r="AL684" s="369"/>
      <c r="AM684" s="350">
        <v>8142056.7480659122</v>
      </c>
      <c r="AN684" s="350">
        <v>1573360.2986859849</v>
      </c>
      <c r="AO684" s="350">
        <v>1589126.0236703141</v>
      </c>
      <c r="AP684" s="350">
        <v>1603608.9468522358</v>
      </c>
      <c r="AQ684" s="350">
        <v>1616766.456783697</v>
      </c>
      <c r="AR684" s="348">
        <v>14524918.474058144</v>
      </c>
      <c r="AS684" s="369"/>
      <c r="AT684" s="350">
        <f t="shared" si="291"/>
        <v>1513716.8478545882</v>
      </c>
      <c r="AU684" s="350">
        <f t="shared" si="274"/>
        <v>1532417.2234362639</v>
      </c>
      <c r="AV684" s="350">
        <f t="shared" si="275"/>
        <v>1549924.465792893</v>
      </c>
      <c r="AW684" s="350">
        <f t="shared" si="276"/>
        <v>1566195.7678227222</v>
      </c>
      <c r="AX684" s="350">
        <f t="shared" si="277"/>
        <v>1581188.4267297953</v>
      </c>
      <c r="AY684" s="350">
        <f t="shared" si="278"/>
        <v>7743442.7316362616</v>
      </c>
      <c r="AZ684" s="365"/>
      <c r="BA684" s="377">
        <f t="shared" si="279"/>
        <v>0</v>
      </c>
      <c r="BB684" s="377">
        <f t="shared" si="280"/>
        <v>0</v>
      </c>
      <c r="BC684" s="377">
        <f t="shared" si="281"/>
        <v>0</v>
      </c>
      <c r="BD684" s="377">
        <f t="shared" si="282"/>
        <v>0</v>
      </c>
      <c r="BE684" s="377">
        <f t="shared" si="283"/>
        <v>0</v>
      </c>
      <c r="BF684" s="377">
        <f t="shared" si="284"/>
        <v>0</v>
      </c>
      <c r="BG684" s="328"/>
    </row>
    <row r="685" spans="2:59">
      <c r="B685" s="332">
        <v>670</v>
      </c>
      <c r="C685" s="350">
        <v>5477212.5762574291</v>
      </c>
      <c r="D685" s="350">
        <v>33832.593084322514</v>
      </c>
      <c r="E685" s="350">
        <v>32393.520707688313</v>
      </c>
      <c r="F685" s="350">
        <v>30915.725171500359</v>
      </c>
      <c r="G685" s="350">
        <v>29399.281959496293</v>
      </c>
      <c r="H685" s="348">
        <v>5603753.6971804369</v>
      </c>
      <c r="I685" s="369"/>
      <c r="J685" s="350">
        <v>6746809.7248341981</v>
      </c>
      <c r="K685" s="350">
        <v>1319114.2757596974</v>
      </c>
      <c r="L685" s="350">
        <v>1332359.0228879605</v>
      </c>
      <c r="M685" s="350">
        <v>1344528.4287355589</v>
      </c>
      <c r="N685" s="350">
        <v>1355586.7527430526</v>
      </c>
      <c r="O685" s="348">
        <v>12098398.204960467</v>
      </c>
      <c r="P685" s="369"/>
      <c r="Q685" s="350">
        <f t="shared" si="285"/>
        <v>1269597.148576769</v>
      </c>
      <c r="R685" s="350">
        <f t="shared" si="286"/>
        <v>1285281.6826753749</v>
      </c>
      <c r="S685" s="350">
        <f t="shared" si="287"/>
        <v>1299965.5021802722</v>
      </c>
      <c r="T685" s="350">
        <f t="shared" si="288"/>
        <v>1313612.7035640585</v>
      </c>
      <c r="U685" s="350">
        <f t="shared" si="289"/>
        <v>1326187.4707835563</v>
      </c>
      <c r="V685" s="350">
        <f t="shared" si="290"/>
        <v>6494644.5077800304</v>
      </c>
      <c r="W685" s="365"/>
      <c r="X685" s="377">
        <f t="shared" si="268"/>
        <v>0</v>
      </c>
      <c r="Y685" s="377">
        <f t="shared" si="269"/>
        <v>0</v>
      </c>
      <c r="Z685" s="377">
        <f t="shared" si="270"/>
        <v>0</v>
      </c>
      <c r="AA685" s="377">
        <f t="shared" si="271"/>
        <v>0</v>
      </c>
      <c r="AB685" s="377">
        <f t="shared" si="272"/>
        <v>0</v>
      </c>
      <c r="AC685" s="377">
        <f t="shared" si="273"/>
        <v>0</v>
      </c>
      <c r="AD685" s="376"/>
      <c r="AE685" s="332">
        <v>670</v>
      </c>
      <c r="AF685" s="350">
        <v>4564920.0982143832</v>
      </c>
      <c r="AG685" s="350">
        <v>28197.387264976613</v>
      </c>
      <c r="AH685" s="350">
        <v>26998.008872516242</v>
      </c>
      <c r="AI685" s="350">
        <v>25766.357106168518</v>
      </c>
      <c r="AJ685" s="350">
        <v>24502.494876998695</v>
      </c>
      <c r="AK685" s="348">
        <v>4670384.3463350432</v>
      </c>
      <c r="AL685" s="369"/>
      <c r="AM685" s="350">
        <v>6507580.7706253324</v>
      </c>
      <c r="AN685" s="350">
        <v>1994857.5839286456</v>
      </c>
      <c r="AO685" s="350">
        <v>2016126.496918947</v>
      </c>
      <c r="AP685" s="350">
        <v>2035776.9662620183</v>
      </c>
      <c r="AQ685" s="350">
        <v>2053754.251328609</v>
      </c>
      <c r="AR685" s="348">
        <v>14608096.069063552</v>
      </c>
      <c r="AS685" s="369"/>
      <c r="AT685" s="350">
        <f t="shared" si="291"/>
        <v>1942660.6724109491</v>
      </c>
      <c r="AU685" s="350">
        <f t="shared" si="274"/>
        <v>1966660.1966636691</v>
      </c>
      <c r="AV685" s="350">
        <f t="shared" si="275"/>
        <v>1989128.4880464307</v>
      </c>
      <c r="AW685" s="350">
        <f t="shared" si="276"/>
        <v>2010010.6091558498</v>
      </c>
      <c r="AX685" s="350">
        <f t="shared" si="277"/>
        <v>2029251.7564516102</v>
      </c>
      <c r="AY685" s="350">
        <f t="shared" si="278"/>
        <v>9937711.7227285095</v>
      </c>
      <c r="AZ685" s="365"/>
      <c r="BA685" s="377">
        <f t="shared" si="279"/>
        <v>0</v>
      </c>
      <c r="BB685" s="377">
        <f t="shared" si="280"/>
        <v>0</v>
      </c>
      <c r="BC685" s="377">
        <f t="shared" si="281"/>
        <v>0</v>
      </c>
      <c r="BD685" s="377">
        <f t="shared" si="282"/>
        <v>0</v>
      </c>
      <c r="BE685" s="377">
        <f t="shared" si="283"/>
        <v>0</v>
      </c>
      <c r="BF685" s="377">
        <f t="shared" si="284"/>
        <v>0</v>
      </c>
      <c r="BG685" s="328"/>
    </row>
    <row r="686" spans="2:59">
      <c r="B686" s="332">
        <v>671</v>
      </c>
      <c r="C686" s="350">
        <v>7360104.1490271026</v>
      </c>
      <c r="D686" s="350">
        <v>45463.163108124965</v>
      </c>
      <c r="E686" s="350">
        <v>43529.383393982615</v>
      </c>
      <c r="F686" s="350">
        <v>41543.568728972627</v>
      </c>
      <c r="G686" s="350">
        <v>39505.820545742303</v>
      </c>
      <c r="H686" s="348">
        <v>7530146.0848039249</v>
      </c>
      <c r="I686" s="369"/>
      <c r="J686" s="350">
        <v>10619890.34804366</v>
      </c>
      <c r="K686" s="350">
        <v>3345520.5834723031</v>
      </c>
      <c r="L686" s="350">
        <v>3381288.6150961677</v>
      </c>
      <c r="M686" s="350">
        <v>3414343.0167516954</v>
      </c>
      <c r="N686" s="350">
        <v>3444591.9294860009</v>
      </c>
      <c r="O686" s="348">
        <v>24205634.492849827</v>
      </c>
      <c r="P686" s="369"/>
      <c r="Q686" s="350">
        <f t="shared" si="285"/>
        <v>3259786.1990165571</v>
      </c>
      <c r="R686" s="350">
        <f t="shared" si="286"/>
        <v>3300057.4203641783</v>
      </c>
      <c r="S686" s="350">
        <f t="shared" si="287"/>
        <v>3337759.2317021852</v>
      </c>
      <c r="T686" s="350">
        <f t="shared" si="288"/>
        <v>3372799.4480227227</v>
      </c>
      <c r="U686" s="350">
        <f t="shared" si="289"/>
        <v>3405086.1089402586</v>
      </c>
      <c r="V686" s="350">
        <f t="shared" si="290"/>
        <v>16675488.408045903</v>
      </c>
      <c r="W686" s="365"/>
      <c r="X686" s="377">
        <f t="shared" si="268"/>
        <v>0</v>
      </c>
      <c r="Y686" s="377">
        <f t="shared" si="269"/>
        <v>0</v>
      </c>
      <c r="Z686" s="377">
        <f t="shared" si="270"/>
        <v>0</v>
      </c>
      <c r="AA686" s="377">
        <f t="shared" si="271"/>
        <v>0</v>
      </c>
      <c r="AB686" s="377">
        <f t="shared" si="272"/>
        <v>0</v>
      </c>
      <c r="AC686" s="377">
        <f t="shared" si="273"/>
        <v>0</v>
      </c>
      <c r="AD686" s="376"/>
      <c r="AE686" s="332">
        <v>671</v>
      </c>
      <c r="AF686" s="350">
        <v>6017250.8622971522</v>
      </c>
      <c r="AG686" s="350">
        <v>37168.394886270413</v>
      </c>
      <c r="AH686" s="350">
        <v>35587.433881263321</v>
      </c>
      <c r="AI686" s="350">
        <v>33963.931718322827</v>
      </c>
      <c r="AJ686" s="350">
        <v>32297.971323686772</v>
      </c>
      <c r="AK686" s="348">
        <v>6156268.5941066947</v>
      </c>
      <c r="AL686" s="369"/>
      <c r="AM686" s="350">
        <v>8127212.1728754994</v>
      </c>
      <c r="AN686" s="350">
        <v>2173196.0526989396</v>
      </c>
      <c r="AO686" s="350">
        <v>2196018.3373073796</v>
      </c>
      <c r="AP686" s="350">
        <v>2217075.3105611792</v>
      </c>
      <c r="AQ686" s="350">
        <v>2236307.5322020133</v>
      </c>
      <c r="AR686" s="348">
        <v>16949809.405645013</v>
      </c>
      <c r="AS686" s="369"/>
      <c r="AT686" s="350">
        <f t="shared" si="291"/>
        <v>2109961.3105783472</v>
      </c>
      <c r="AU686" s="350">
        <f t="shared" si="274"/>
        <v>2136027.6578126689</v>
      </c>
      <c r="AV686" s="350">
        <f t="shared" si="275"/>
        <v>2160430.9034261163</v>
      </c>
      <c r="AW686" s="350">
        <f t="shared" si="276"/>
        <v>2183111.3788428563</v>
      </c>
      <c r="AX686" s="350">
        <f t="shared" si="277"/>
        <v>2204009.5608783267</v>
      </c>
      <c r="AY686" s="350">
        <f t="shared" si="278"/>
        <v>10793540.811538318</v>
      </c>
      <c r="AZ686" s="365"/>
      <c r="BA686" s="377">
        <f t="shared" si="279"/>
        <v>0</v>
      </c>
      <c r="BB686" s="377">
        <f t="shared" si="280"/>
        <v>0</v>
      </c>
      <c r="BC686" s="377">
        <f t="shared" si="281"/>
        <v>0</v>
      </c>
      <c r="BD686" s="377">
        <f t="shared" si="282"/>
        <v>0</v>
      </c>
      <c r="BE686" s="377">
        <f t="shared" si="283"/>
        <v>0</v>
      </c>
      <c r="BF686" s="377">
        <f t="shared" si="284"/>
        <v>0</v>
      </c>
      <c r="BG686" s="328"/>
    </row>
    <row r="687" spans="2:59">
      <c r="B687" s="332">
        <v>672</v>
      </c>
      <c r="C687" s="350">
        <v>5226291.2117835898</v>
      </c>
      <c r="D687" s="350">
        <v>32282.658641900445</v>
      </c>
      <c r="E687" s="350">
        <v>30909.512865576231</v>
      </c>
      <c r="F687" s="350">
        <v>29499.417910146112</v>
      </c>
      <c r="G687" s="350">
        <v>28052.445801300913</v>
      </c>
      <c r="H687" s="348">
        <v>5347035.2470025141</v>
      </c>
      <c r="I687" s="369"/>
      <c r="J687" s="350">
        <v>8618532.1112705655</v>
      </c>
      <c r="K687" s="350">
        <v>3466431.1176396478</v>
      </c>
      <c r="L687" s="350">
        <v>3504291.7186790276</v>
      </c>
      <c r="M687" s="350">
        <v>3539345.6270883707</v>
      </c>
      <c r="N687" s="350">
        <v>3571497.2178869289</v>
      </c>
      <c r="O687" s="348">
        <v>22700097.792564541</v>
      </c>
      <c r="P687" s="369"/>
      <c r="Q687" s="350">
        <f t="shared" si="285"/>
        <v>3392240.8994869757</v>
      </c>
      <c r="R687" s="350">
        <f t="shared" si="286"/>
        <v>3434148.4589977474</v>
      </c>
      <c r="S687" s="350">
        <f t="shared" si="287"/>
        <v>3473382.2058134512</v>
      </c>
      <c r="T687" s="350">
        <f t="shared" si="288"/>
        <v>3509846.2091782247</v>
      </c>
      <c r="U687" s="350">
        <f t="shared" si="289"/>
        <v>3543444.772085628</v>
      </c>
      <c r="V687" s="350">
        <f t="shared" si="290"/>
        <v>17353062.545562029</v>
      </c>
      <c r="W687" s="365"/>
      <c r="X687" s="377">
        <f t="shared" si="268"/>
        <v>0</v>
      </c>
      <c r="Y687" s="377">
        <f t="shared" si="269"/>
        <v>0</v>
      </c>
      <c r="Z687" s="377">
        <f t="shared" si="270"/>
        <v>0</v>
      </c>
      <c r="AA687" s="377">
        <f t="shared" si="271"/>
        <v>0</v>
      </c>
      <c r="AB687" s="377">
        <f t="shared" si="272"/>
        <v>0</v>
      </c>
      <c r="AC687" s="377">
        <f t="shared" si="273"/>
        <v>0</v>
      </c>
      <c r="AD687" s="376"/>
      <c r="AE687" s="332">
        <v>672</v>
      </c>
      <c r="AF687" s="350">
        <v>5940783.1735762227</v>
      </c>
      <c r="AG687" s="350">
        <v>36696.056053229186</v>
      </c>
      <c r="AH687" s="350">
        <v>35135.186022782807</v>
      </c>
      <c r="AI687" s="350">
        <v>33532.315450726899</v>
      </c>
      <c r="AJ687" s="350">
        <v>31887.52620946258</v>
      </c>
      <c r="AK687" s="348">
        <v>6078034.2573124245</v>
      </c>
      <c r="AL687" s="369"/>
      <c r="AM687" s="350">
        <v>7942710.9786878582</v>
      </c>
      <c r="AN687" s="350">
        <v>2063355.5683504236</v>
      </c>
      <c r="AO687" s="350">
        <v>2084948.457435654</v>
      </c>
      <c r="AP687" s="350">
        <v>2104864.7844632342</v>
      </c>
      <c r="AQ687" s="350">
        <v>2123048.1558064069</v>
      </c>
      <c r="AR687" s="348">
        <v>16318927.944743577</v>
      </c>
      <c r="AS687" s="369"/>
      <c r="AT687" s="350">
        <f t="shared" si="291"/>
        <v>2001927.8051116355</v>
      </c>
      <c r="AU687" s="350">
        <f t="shared" si="274"/>
        <v>2026659.5122971945</v>
      </c>
      <c r="AV687" s="350">
        <f t="shared" si="275"/>
        <v>2049813.2714128713</v>
      </c>
      <c r="AW687" s="350">
        <f t="shared" si="276"/>
        <v>2071332.4690125072</v>
      </c>
      <c r="AX687" s="350">
        <f t="shared" si="277"/>
        <v>2091160.6295969442</v>
      </c>
      <c r="AY687" s="350">
        <f t="shared" si="278"/>
        <v>10240893.687431153</v>
      </c>
      <c r="AZ687" s="365"/>
      <c r="BA687" s="377">
        <f t="shared" si="279"/>
        <v>0</v>
      </c>
      <c r="BB687" s="377">
        <f t="shared" si="280"/>
        <v>0</v>
      </c>
      <c r="BC687" s="377">
        <f t="shared" si="281"/>
        <v>0</v>
      </c>
      <c r="BD687" s="377">
        <f t="shared" si="282"/>
        <v>0</v>
      </c>
      <c r="BE687" s="377">
        <f t="shared" si="283"/>
        <v>0</v>
      </c>
      <c r="BF687" s="377">
        <f t="shared" si="284"/>
        <v>0</v>
      </c>
      <c r="BG687" s="328"/>
    </row>
    <row r="688" spans="2:59">
      <c r="B688" s="332">
        <v>673</v>
      </c>
      <c r="C688" s="350">
        <v>8107009.3453097325</v>
      </c>
      <c r="D688" s="350">
        <v>50076.776187145369</v>
      </c>
      <c r="E688" s="350">
        <v>47946.756027527517</v>
      </c>
      <c r="F688" s="350">
        <v>45759.420397306152</v>
      </c>
      <c r="G688" s="350">
        <v>43514.881022545494</v>
      </c>
      <c r="H688" s="348">
        <v>8294307.1789442562</v>
      </c>
      <c r="I688" s="369"/>
      <c r="J688" s="350">
        <v>10454755.916370729</v>
      </c>
      <c r="K688" s="350">
        <v>2426827.2806532932</v>
      </c>
      <c r="L688" s="350">
        <v>2451850.6665416872</v>
      </c>
      <c r="M688" s="350">
        <v>2474899.8165866905</v>
      </c>
      <c r="N688" s="350">
        <v>2495908.6112750703</v>
      </c>
      <c r="O688" s="348">
        <v>20304242.291427471</v>
      </c>
      <c r="P688" s="369"/>
      <c r="Q688" s="350">
        <f t="shared" si="285"/>
        <v>2347746.5710609965</v>
      </c>
      <c r="R688" s="350">
        <f t="shared" si="286"/>
        <v>2376750.5044661481</v>
      </c>
      <c r="S688" s="350">
        <f t="shared" si="287"/>
        <v>2403903.9105141596</v>
      </c>
      <c r="T688" s="350">
        <f t="shared" si="288"/>
        <v>2429140.3961893842</v>
      </c>
      <c r="U688" s="350">
        <f t="shared" si="289"/>
        <v>2452393.7302525248</v>
      </c>
      <c r="V688" s="350">
        <f t="shared" si="290"/>
        <v>12009935.112483215</v>
      </c>
      <c r="W688" s="365"/>
      <c r="X688" s="377">
        <f t="shared" si="268"/>
        <v>0</v>
      </c>
      <c r="Y688" s="377">
        <f t="shared" si="269"/>
        <v>0</v>
      </c>
      <c r="Z688" s="377">
        <f t="shared" si="270"/>
        <v>0</v>
      </c>
      <c r="AA688" s="377">
        <f t="shared" si="271"/>
        <v>0</v>
      </c>
      <c r="AB688" s="377">
        <f t="shared" si="272"/>
        <v>0</v>
      </c>
      <c r="AC688" s="377">
        <f t="shared" si="273"/>
        <v>0</v>
      </c>
      <c r="AD688" s="376"/>
      <c r="AE688" s="332">
        <v>673</v>
      </c>
      <c r="AF688" s="350">
        <v>6859832.0159703558</v>
      </c>
      <c r="AG688" s="350">
        <v>42372.995751375165</v>
      </c>
      <c r="AH688" s="350">
        <v>40570.656582482545</v>
      </c>
      <c r="AI688" s="350">
        <v>38719.819319723574</v>
      </c>
      <c r="AJ688" s="350">
        <v>36820.578501282034</v>
      </c>
      <c r="AK688" s="348">
        <v>7018316.0661252188</v>
      </c>
      <c r="AL688" s="369"/>
      <c r="AM688" s="350">
        <v>9061827.3813104592</v>
      </c>
      <c r="AN688" s="350">
        <v>2271571.6920310343</v>
      </c>
      <c r="AO688" s="350">
        <v>2295237.0396252368</v>
      </c>
      <c r="AP688" s="350">
        <v>2317055.973699512</v>
      </c>
      <c r="AQ688" s="350">
        <v>2336966.4692754885</v>
      </c>
      <c r="AR688" s="348">
        <v>18282658.555941731</v>
      </c>
      <c r="AS688" s="369"/>
      <c r="AT688" s="350">
        <f t="shared" si="291"/>
        <v>2201995.3653401034</v>
      </c>
      <c r="AU688" s="350">
        <f t="shared" si="274"/>
        <v>2229198.6962796589</v>
      </c>
      <c r="AV688" s="350">
        <f t="shared" si="275"/>
        <v>2254666.3830427541</v>
      </c>
      <c r="AW688" s="350">
        <f t="shared" si="276"/>
        <v>2278336.1543797883</v>
      </c>
      <c r="AX688" s="350">
        <f t="shared" si="277"/>
        <v>2300145.8907742063</v>
      </c>
      <c r="AY688" s="350">
        <f t="shared" si="278"/>
        <v>11264342.489816513</v>
      </c>
      <c r="AZ688" s="365"/>
      <c r="BA688" s="377">
        <f t="shared" si="279"/>
        <v>0</v>
      </c>
      <c r="BB688" s="377">
        <f t="shared" si="280"/>
        <v>0</v>
      </c>
      <c r="BC688" s="377">
        <f t="shared" si="281"/>
        <v>0</v>
      </c>
      <c r="BD688" s="377">
        <f t="shared" si="282"/>
        <v>0</v>
      </c>
      <c r="BE688" s="377">
        <f t="shared" si="283"/>
        <v>0</v>
      </c>
      <c r="BF688" s="377">
        <f t="shared" si="284"/>
        <v>0</v>
      </c>
      <c r="BG688" s="328"/>
    </row>
    <row r="689" spans="2:59">
      <c r="B689" s="332">
        <v>674</v>
      </c>
      <c r="C689" s="350">
        <v>5559119.8222618056</v>
      </c>
      <c r="D689" s="350">
        <v>34338.5319147302</v>
      </c>
      <c r="E689" s="350">
        <v>32877.939384637255</v>
      </c>
      <c r="F689" s="350">
        <v>31378.044621725265</v>
      </c>
      <c r="G689" s="350">
        <v>29838.924238536398</v>
      </c>
      <c r="H689" s="348">
        <v>5687553.2624214357</v>
      </c>
      <c r="I689" s="369"/>
      <c r="J689" s="350">
        <v>8297665.7699306104</v>
      </c>
      <c r="K689" s="350">
        <v>2806716.327225097</v>
      </c>
      <c r="L689" s="350">
        <v>2836929.0213328307</v>
      </c>
      <c r="M689" s="350">
        <v>2864866.4075912889</v>
      </c>
      <c r="N689" s="350">
        <v>2890451.3067054981</v>
      </c>
      <c r="O689" s="348">
        <v>19696628.832785323</v>
      </c>
      <c r="P689" s="369"/>
      <c r="Q689" s="350">
        <f t="shared" si="285"/>
        <v>2738545.9476688048</v>
      </c>
      <c r="R689" s="350">
        <f t="shared" si="286"/>
        <v>2772377.7953103669</v>
      </c>
      <c r="S689" s="350">
        <f t="shared" si="287"/>
        <v>2804051.0819481933</v>
      </c>
      <c r="T689" s="350">
        <f t="shared" si="288"/>
        <v>2833488.3629695638</v>
      </c>
      <c r="U689" s="350">
        <f t="shared" si="289"/>
        <v>2860612.3824669616</v>
      </c>
      <c r="V689" s="350">
        <f t="shared" si="290"/>
        <v>14009075.570363887</v>
      </c>
      <c r="W689" s="365"/>
      <c r="X689" s="377">
        <f t="shared" si="268"/>
        <v>0</v>
      </c>
      <c r="Y689" s="377">
        <f t="shared" si="269"/>
        <v>0</v>
      </c>
      <c r="Z689" s="377">
        <f t="shared" si="270"/>
        <v>0</v>
      </c>
      <c r="AA689" s="377">
        <f t="shared" si="271"/>
        <v>0</v>
      </c>
      <c r="AB689" s="377">
        <f t="shared" si="272"/>
        <v>0</v>
      </c>
      <c r="AC689" s="377">
        <f t="shared" si="273"/>
        <v>0</v>
      </c>
      <c r="AD689" s="376"/>
      <c r="AE689" s="332">
        <v>674</v>
      </c>
      <c r="AF689" s="350">
        <v>6225508.2640192145</v>
      </c>
      <c r="AG689" s="350">
        <v>38454.795191382793</v>
      </c>
      <c r="AH689" s="350">
        <v>36819.117034196774</v>
      </c>
      <c r="AI689" s="350">
        <v>35139.425367132324</v>
      </c>
      <c r="AJ689" s="350">
        <v>33415.805986508676</v>
      </c>
      <c r="AK689" s="348">
        <v>6369337.4075984359</v>
      </c>
      <c r="AL689" s="369"/>
      <c r="AM689" s="350">
        <v>7752968.2107281089</v>
      </c>
      <c r="AN689" s="350">
        <v>1584784.8989774776</v>
      </c>
      <c r="AO689" s="350">
        <v>1600815.4121657722</v>
      </c>
      <c r="AP689" s="350">
        <v>1615554.750363237</v>
      </c>
      <c r="AQ689" s="350">
        <v>1628959.9088697606</v>
      </c>
      <c r="AR689" s="348">
        <v>14183083.181104355</v>
      </c>
      <c r="AS689" s="369"/>
      <c r="AT689" s="350">
        <f t="shared" si="291"/>
        <v>1527459.9467088943</v>
      </c>
      <c r="AU689" s="350">
        <f t="shared" si="274"/>
        <v>1546330.1037860948</v>
      </c>
      <c r="AV689" s="350">
        <f t="shared" si="275"/>
        <v>1563996.2951315753</v>
      </c>
      <c r="AW689" s="350">
        <f t="shared" si="276"/>
        <v>1580415.3249961047</v>
      </c>
      <c r="AX689" s="350">
        <f t="shared" si="277"/>
        <v>1595544.1028832518</v>
      </c>
      <c r="AY689" s="350">
        <f t="shared" si="278"/>
        <v>7813745.7735059187</v>
      </c>
      <c r="AZ689" s="365"/>
      <c r="BA689" s="377">
        <f t="shared" si="279"/>
        <v>0</v>
      </c>
      <c r="BB689" s="377">
        <f t="shared" si="280"/>
        <v>0</v>
      </c>
      <c r="BC689" s="377">
        <f t="shared" si="281"/>
        <v>0</v>
      </c>
      <c r="BD689" s="377">
        <f t="shared" si="282"/>
        <v>0</v>
      </c>
      <c r="BE689" s="377">
        <f t="shared" si="283"/>
        <v>0</v>
      </c>
      <c r="BF689" s="377">
        <f t="shared" si="284"/>
        <v>0</v>
      </c>
      <c r="BG689" s="328"/>
    </row>
    <row r="690" spans="2:59">
      <c r="B690" s="332">
        <v>675</v>
      </c>
      <c r="C690" s="350">
        <v>6651718.5654575573</v>
      </c>
      <c r="D690" s="350">
        <v>41087.484628965685</v>
      </c>
      <c r="E690" s="350">
        <v>39339.824790788734</v>
      </c>
      <c r="F690" s="350">
        <v>37545.138192968683</v>
      </c>
      <c r="G690" s="350">
        <v>35703.516505602936</v>
      </c>
      <c r="H690" s="348">
        <v>6805394.5295758834</v>
      </c>
      <c r="I690" s="369"/>
      <c r="J690" s="350">
        <v>8261362.5635572113</v>
      </c>
      <c r="K690" s="350">
        <v>1670616.9371053171</v>
      </c>
      <c r="L690" s="350">
        <v>1687485.9872697855</v>
      </c>
      <c r="M690" s="350">
        <v>1702993.7464303654</v>
      </c>
      <c r="N690" s="350">
        <v>1717094.8973028271</v>
      </c>
      <c r="O690" s="348">
        <v>15039554.131665505</v>
      </c>
      <c r="P690" s="369"/>
      <c r="Q690" s="350">
        <f t="shared" si="285"/>
        <v>1609643.998099654</v>
      </c>
      <c r="R690" s="350">
        <f t="shared" si="286"/>
        <v>1629529.4524763515</v>
      </c>
      <c r="S690" s="350">
        <f t="shared" si="287"/>
        <v>1648146.1624789967</v>
      </c>
      <c r="T690" s="350">
        <f t="shared" si="288"/>
        <v>1665448.6082373967</v>
      </c>
      <c r="U690" s="350">
        <f t="shared" si="289"/>
        <v>1681391.3807972241</v>
      </c>
      <c r="V690" s="350">
        <f t="shared" si="290"/>
        <v>8234159.6020896221</v>
      </c>
      <c r="W690" s="365"/>
      <c r="X690" s="377">
        <f t="shared" si="268"/>
        <v>0</v>
      </c>
      <c r="Y690" s="377">
        <f t="shared" si="269"/>
        <v>0</v>
      </c>
      <c r="Z690" s="377">
        <f t="shared" si="270"/>
        <v>0</v>
      </c>
      <c r="AA690" s="377">
        <f t="shared" si="271"/>
        <v>0</v>
      </c>
      <c r="AB690" s="377">
        <f t="shared" si="272"/>
        <v>0</v>
      </c>
      <c r="AC690" s="377">
        <f t="shared" si="273"/>
        <v>0</v>
      </c>
      <c r="AD690" s="376"/>
      <c r="AE690" s="332">
        <v>675</v>
      </c>
      <c r="AF690" s="350">
        <v>4827884.9923399501</v>
      </c>
      <c r="AG690" s="350">
        <v>29821.714262431095</v>
      </c>
      <c r="AH690" s="350">
        <v>28553.244975671179</v>
      </c>
      <c r="AI690" s="350">
        <v>27250.643188433121</v>
      </c>
      <c r="AJ690" s="350">
        <v>25913.975435806831</v>
      </c>
      <c r="AK690" s="348">
        <v>4939424.5702022919</v>
      </c>
      <c r="AL690" s="369"/>
      <c r="AM690" s="350">
        <v>6539398.2084042616</v>
      </c>
      <c r="AN690" s="350">
        <v>1762478.8714797846</v>
      </c>
      <c r="AO690" s="350">
        <v>1781005.3042004118</v>
      </c>
      <c r="AP690" s="350">
        <v>1798100.164597793</v>
      </c>
      <c r="AQ690" s="350">
        <v>1813715.2364652739</v>
      </c>
      <c r="AR690" s="348">
        <v>13694697.785147525</v>
      </c>
      <c r="AS690" s="369"/>
      <c r="AT690" s="350">
        <f t="shared" si="291"/>
        <v>1711513.2160643116</v>
      </c>
      <c r="AU690" s="350">
        <f t="shared" si="274"/>
        <v>1732657.1572173536</v>
      </c>
      <c r="AV690" s="350">
        <f t="shared" si="275"/>
        <v>1752452.0592247406</v>
      </c>
      <c r="AW690" s="350">
        <f t="shared" si="276"/>
        <v>1770849.52140936</v>
      </c>
      <c r="AX690" s="350">
        <f t="shared" si="277"/>
        <v>1787801.261029467</v>
      </c>
      <c r="AY690" s="350">
        <f t="shared" si="278"/>
        <v>8755273.2149452344</v>
      </c>
      <c r="AZ690" s="365"/>
      <c r="BA690" s="377">
        <f t="shared" si="279"/>
        <v>0</v>
      </c>
      <c r="BB690" s="377">
        <f t="shared" si="280"/>
        <v>0</v>
      </c>
      <c r="BC690" s="377">
        <f t="shared" si="281"/>
        <v>0</v>
      </c>
      <c r="BD690" s="377">
        <f t="shared" si="282"/>
        <v>0</v>
      </c>
      <c r="BE690" s="377">
        <f t="shared" si="283"/>
        <v>0</v>
      </c>
      <c r="BF690" s="377">
        <f t="shared" si="284"/>
        <v>0</v>
      </c>
      <c r="BG690" s="328"/>
    </row>
    <row r="691" spans="2:59">
      <c r="B691" s="332">
        <v>676</v>
      </c>
      <c r="C691" s="350">
        <v>6454698.2222548975</v>
      </c>
      <c r="D691" s="350">
        <v>39870.495328641322</v>
      </c>
      <c r="E691" s="350">
        <v>38174.600239336134</v>
      </c>
      <c r="F691" s="350">
        <v>36433.071297837807</v>
      </c>
      <c r="G691" s="350">
        <v>34645.997459021033</v>
      </c>
      <c r="H691" s="348">
        <v>6603822.3865797343</v>
      </c>
      <c r="I691" s="369"/>
      <c r="J691" s="350">
        <v>7882485.2069953848</v>
      </c>
      <c r="K691" s="350">
        <v>1485296.2827970744</v>
      </c>
      <c r="L691" s="350">
        <v>1500113.7883552688</v>
      </c>
      <c r="M691" s="350">
        <v>1513719.8809295744</v>
      </c>
      <c r="N691" s="350">
        <v>1526074.3708082491</v>
      </c>
      <c r="O691" s="348">
        <v>13907689.529885551</v>
      </c>
      <c r="P691" s="369"/>
      <c r="Q691" s="350">
        <f t="shared" si="285"/>
        <v>1427786.9847404873</v>
      </c>
      <c r="R691" s="350">
        <f t="shared" si="286"/>
        <v>1445425.7874684331</v>
      </c>
      <c r="S691" s="350">
        <f t="shared" si="287"/>
        <v>1461939.1881159327</v>
      </c>
      <c r="T691" s="350">
        <f t="shared" si="288"/>
        <v>1477286.8096317365</v>
      </c>
      <c r="U691" s="350">
        <f t="shared" si="289"/>
        <v>1491428.3733492282</v>
      </c>
      <c r="V691" s="350">
        <f t="shared" si="290"/>
        <v>7303867.1433058167</v>
      </c>
      <c r="W691" s="365"/>
      <c r="X691" s="377">
        <f t="shared" si="268"/>
        <v>0</v>
      </c>
      <c r="Y691" s="377">
        <f t="shared" si="269"/>
        <v>0</v>
      </c>
      <c r="Z691" s="377">
        <f t="shared" si="270"/>
        <v>0</v>
      </c>
      <c r="AA691" s="377">
        <f t="shared" si="271"/>
        <v>0</v>
      </c>
      <c r="AB691" s="377">
        <f t="shared" si="272"/>
        <v>0</v>
      </c>
      <c r="AC691" s="377">
        <f t="shared" si="273"/>
        <v>0</v>
      </c>
      <c r="AD691" s="376"/>
      <c r="AE691" s="332">
        <v>676</v>
      </c>
      <c r="AF691" s="350">
        <v>5202132.7440854525</v>
      </c>
      <c r="AG691" s="350">
        <v>32133.43244412425</v>
      </c>
      <c r="AH691" s="350">
        <v>30766.634017485059</v>
      </c>
      <c r="AI691" s="350">
        <v>29363.057208872888</v>
      </c>
      <c r="AJ691" s="350">
        <v>27922.773711039794</v>
      </c>
      <c r="AK691" s="348">
        <v>5322318.6414669752</v>
      </c>
      <c r="AL691" s="369"/>
      <c r="AM691" s="350">
        <v>6765933.6079202686</v>
      </c>
      <c r="AN691" s="350">
        <v>1615253.4070691178</v>
      </c>
      <c r="AO691" s="350">
        <v>1631973.109271355</v>
      </c>
      <c r="AP691" s="350">
        <v>1647379.1994794151</v>
      </c>
      <c r="AQ691" s="350">
        <v>1661427.6336920911</v>
      </c>
      <c r="AR691" s="348">
        <v>13321966.95743225</v>
      </c>
      <c r="AS691" s="369"/>
      <c r="AT691" s="350">
        <f t="shared" si="291"/>
        <v>1563800.863834816</v>
      </c>
      <c r="AU691" s="350">
        <f t="shared" si="274"/>
        <v>1583119.9746249935</v>
      </c>
      <c r="AV691" s="350">
        <f t="shared" si="275"/>
        <v>1601206.47525387</v>
      </c>
      <c r="AW691" s="350">
        <f t="shared" si="276"/>
        <v>1618016.1422705422</v>
      </c>
      <c r="AX691" s="350">
        <f t="shared" si="277"/>
        <v>1633504.8599810514</v>
      </c>
      <c r="AY691" s="350">
        <f t="shared" si="278"/>
        <v>7999648.3159652743</v>
      </c>
      <c r="AZ691" s="365"/>
      <c r="BA691" s="377">
        <f t="shared" si="279"/>
        <v>0</v>
      </c>
      <c r="BB691" s="377">
        <f t="shared" si="280"/>
        <v>0</v>
      </c>
      <c r="BC691" s="377">
        <f t="shared" si="281"/>
        <v>0</v>
      </c>
      <c r="BD691" s="377">
        <f t="shared" si="282"/>
        <v>0</v>
      </c>
      <c r="BE691" s="377">
        <f t="shared" si="283"/>
        <v>0</v>
      </c>
      <c r="BF691" s="377">
        <f t="shared" si="284"/>
        <v>0</v>
      </c>
      <c r="BG691" s="328"/>
    </row>
    <row r="692" spans="2:59">
      <c r="B692" s="332">
        <v>677</v>
      </c>
      <c r="C692" s="350">
        <v>4527565.5231487537</v>
      </c>
      <c r="D692" s="350">
        <v>27966.649070970729</v>
      </c>
      <c r="E692" s="350">
        <v>26777.085148255188</v>
      </c>
      <c r="F692" s="350">
        <v>25555.51194349827</v>
      </c>
      <c r="G692" s="350">
        <v>24301.991852961743</v>
      </c>
      <c r="H692" s="348">
        <v>4632166.7611644398</v>
      </c>
      <c r="I692" s="369"/>
      <c r="J692" s="350">
        <v>6256467.7518525533</v>
      </c>
      <c r="K692" s="350">
        <v>1778227.6418438773</v>
      </c>
      <c r="L692" s="350">
        <v>1797034.0965766539</v>
      </c>
      <c r="M692" s="350">
        <v>1814396.9041846993</v>
      </c>
      <c r="N692" s="350">
        <v>1830267.3537687897</v>
      </c>
      <c r="O692" s="348">
        <v>13476393.748226574</v>
      </c>
      <c r="P692" s="369"/>
      <c r="Q692" s="350">
        <f t="shared" si="285"/>
        <v>1728902.2287037997</v>
      </c>
      <c r="R692" s="350">
        <f t="shared" si="286"/>
        <v>1750260.9927729066</v>
      </c>
      <c r="S692" s="350">
        <f t="shared" si="287"/>
        <v>1770257.0114283988</v>
      </c>
      <c r="T692" s="350">
        <f t="shared" si="288"/>
        <v>1788841.3922412011</v>
      </c>
      <c r="U692" s="350">
        <f t="shared" si="289"/>
        <v>1805965.361915828</v>
      </c>
      <c r="V692" s="350">
        <f t="shared" si="290"/>
        <v>8844226.9870621338</v>
      </c>
      <c r="W692" s="365"/>
      <c r="X692" s="377">
        <f t="shared" si="268"/>
        <v>0</v>
      </c>
      <c r="Y692" s="377">
        <f t="shared" si="269"/>
        <v>0</v>
      </c>
      <c r="Z692" s="377">
        <f t="shared" si="270"/>
        <v>0</v>
      </c>
      <c r="AA692" s="377">
        <f t="shared" si="271"/>
        <v>0</v>
      </c>
      <c r="AB692" s="377">
        <f t="shared" si="272"/>
        <v>0</v>
      </c>
      <c r="AC692" s="377">
        <f t="shared" si="273"/>
        <v>0</v>
      </c>
      <c r="AD692" s="376"/>
      <c r="AE692" s="332">
        <v>677</v>
      </c>
      <c r="AF692" s="350">
        <v>5167136.6219989751</v>
      </c>
      <c r="AG692" s="350">
        <v>31917.262350010558</v>
      </c>
      <c r="AH692" s="350">
        <v>30559.658737685666</v>
      </c>
      <c r="AI692" s="350">
        <v>29165.52416128177</v>
      </c>
      <c r="AJ692" s="350">
        <v>27734.929831258807</v>
      </c>
      <c r="AK692" s="348">
        <v>5286513.9970792122</v>
      </c>
      <c r="AL692" s="369"/>
      <c r="AM692" s="350">
        <v>7492904.3974214252</v>
      </c>
      <c r="AN692" s="350">
        <v>2386417.4463320933</v>
      </c>
      <c r="AO692" s="350">
        <v>2411959.0479226923</v>
      </c>
      <c r="AP692" s="350">
        <v>2435565.1437254208</v>
      </c>
      <c r="AQ692" s="350">
        <v>2457170.1937455228</v>
      </c>
      <c r="AR692" s="348">
        <v>17184016.229147155</v>
      </c>
      <c r="AS692" s="369"/>
      <c r="AT692" s="350">
        <f t="shared" si="291"/>
        <v>2325767.7754224502</v>
      </c>
      <c r="AU692" s="350">
        <f t="shared" si="274"/>
        <v>2354500.1839820826</v>
      </c>
      <c r="AV692" s="350">
        <f t="shared" si="275"/>
        <v>2381399.3891850067</v>
      </c>
      <c r="AW692" s="350">
        <f t="shared" si="276"/>
        <v>2406399.6195641388</v>
      </c>
      <c r="AX692" s="350">
        <f t="shared" si="277"/>
        <v>2429435.2639142638</v>
      </c>
      <c r="AY692" s="350">
        <f t="shared" si="278"/>
        <v>11897502.232067943</v>
      </c>
      <c r="AZ692" s="365"/>
      <c r="BA692" s="377">
        <f t="shared" si="279"/>
        <v>0</v>
      </c>
      <c r="BB692" s="377">
        <f t="shared" si="280"/>
        <v>0</v>
      </c>
      <c r="BC692" s="377">
        <f t="shared" si="281"/>
        <v>0</v>
      </c>
      <c r="BD692" s="377">
        <f t="shared" si="282"/>
        <v>0</v>
      </c>
      <c r="BE692" s="377">
        <f t="shared" si="283"/>
        <v>0</v>
      </c>
      <c r="BF692" s="377">
        <f t="shared" si="284"/>
        <v>0</v>
      </c>
      <c r="BG692" s="328"/>
    </row>
    <row r="693" spans="2:59">
      <c r="B693" s="332">
        <v>678</v>
      </c>
      <c r="C693" s="350">
        <v>4055321.8246583831</v>
      </c>
      <c r="D693" s="350">
        <v>25049.612592065325</v>
      </c>
      <c r="E693" s="350">
        <v>23984.125077208024</v>
      </c>
      <c r="F693" s="350">
        <v>22889.966980027984</v>
      </c>
      <c r="G693" s="350">
        <v>21767.194188599009</v>
      </c>
      <c r="H693" s="348">
        <v>4149012.7234962834</v>
      </c>
      <c r="I693" s="369"/>
      <c r="J693" s="350">
        <v>6123219.4236841537</v>
      </c>
      <c r="K693" s="350">
        <v>2118493.9060481954</v>
      </c>
      <c r="L693" s="350">
        <v>2141345.1665606499</v>
      </c>
      <c r="M693" s="350">
        <v>2162479.3310511447</v>
      </c>
      <c r="N693" s="350">
        <v>2181838.1188639249</v>
      </c>
      <c r="O693" s="348">
        <v>14727375.946208069</v>
      </c>
      <c r="P693" s="369"/>
      <c r="Q693" s="350">
        <f t="shared" si="285"/>
        <v>2067897.5990257706</v>
      </c>
      <c r="R693" s="350">
        <f t="shared" si="286"/>
        <v>2093444.2934561302</v>
      </c>
      <c r="S693" s="350">
        <f t="shared" si="287"/>
        <v>2117361.0414834418</v>
      </c>
      <c r="T693" s="350">
        <f t="shared" si="288"/>
        <v>2139589.3640711168</v>
      </c>
      <c r="U693" s="350">
        <f t="shared" si="289"/>
        <v>2160070.9246753259</v>
      </c>
      <c r="V693" s="350">
        <f t="shared" si="290"/>
        <v>10578363.222711787</v>
      </c>
      <c r="W693" s="365"/>
      <c r="X693" s="377">
        <f t="shared" si="268"/>
        <v>0</v>
      </c>
      <c r="Y693" s="377">
        <f t="shared" si="269"/>
        <v>0</v>
      </c>
      <c r="Z693" s="377">
        <f t="shared" si="270"/>
        <v>0</v>
      </c>
      <c r="AA693" s="377">
        <f t="shared" si="271"/>
        <v>0</v>
      </c>
      <c r="AB693" s="377">
        <f t="shared" si="272"/>
        <v>0</v>
      </c>
      <c r="AC693" s="377">
        <f t="shared" si="273"/>
        <v>0</v>
      </c>
      <c r="AD693" s="376"/>
      <c r="AE693" s="332">
        <v>678</v>
      </c>
      <c r="AF693" s="350">
        <v>10232200.046063922</v>
      </c>
      <c r="AG693" s="350">
        <v>63204.021333128832</v>
      </c>
      <c r="AH693" s="350">
        <v>60515.632625650804</v>
      </c>
      <c r="AI693" s="350">
        <v>57754.903633861555</v>
      </c>
      <c r="AJ693" s="350">
        <v>54921.975371961322</v>
      </c>
      <c r="AK693" s="348">
        <v>10468596.579028523</v>
      </c>
      <c r="AL693" s="369"/>
      <c r="AM693" s="350">
        <v>12147779.075623034</v>
      </c>
      <c r="AN693" s="350">
        <v>2002448.0100025963</v>
      </c>
      <c r="AO693" s="350">
        <v>2021914.6936729567</v>
      </c>
      <c r="AP693" s="350">
        <v>2039744.9787774533</v>
      </c>
      <c r="AQ693" s="350">
        <v>2055884.9667782136</v>
      </c>
      <c r="AR693" s="348">
        <v>20267771.724854257</v>
      </c>
      <c r="AS693" s="369"/>
      <c r="AT693" s="350">
        <f t="shared" si="291"/>
        <v>1915579.0295591112</v>
      </c>
      <c r="AU693" s="350">
        <f t="shared" si="274"/>
        <v>1939243.9886694674</v>
      </c>
      <c r="AV693" s="350">
        <f t="shared" si="275"/>
        <v>1961399.0610473058</v>
      </c>
      <c r="AW693" s="350">
        <f t="shared" si="276"/>
        <v>1981990.0751435917</v>
      </c>
      <c r="AX693" s="350">
        <f t="shared" si="277"/>
        <v>2000962.9914062524</v>
      </c>
      <c r="AY693" s="350">
        <f t="shared" si="278"/>
        <v>9799175.1458257344</v>
      </c>
      <c r="AZ693" s="365"/>
      <c r="BA693" s="377">
        <f t="shared" si="279"/>
        <v>0</v>
      </c>
      <c r="BB693" s="377">
        <f t="shared" si="280"/>
        <v>0</v>
      </c>
      <c r="BC693" s="377">
        <f t="shared" si="281"/>
        <v>0</v>
      </c>
      <c r="BD693" s="377">
        <f t="shared" si="282"/>
        <v>0</v>
      </c>
      <c r="BE693" s="377">
        <f t="shared" si="283"/>
        <v>0</v>
      </c>
      <c r="BF693" s="377">
        <f t="shared" si="284"/>
        <v>0</v>
      </c>
      <c r="BG693" s="328"/>
    </row>
    <row r="694" spans="2:59">
      <c r="B694" s="332">
        <v>679</v>
      </c>
      <c r="C694" s="350">
        <v>5542812.2265117373</v>
      </c>
      <c r="D694" s="350">
        <v>34237.800339403715</v>
      </c>
      <c r="E694" s="350">
        <v>32781.492435889544</v>
      </c>
      <c r="F694" s="350">
        <v>31285.997592073934</v>
      </c>
      <c r="G694" s="350">
        <v>29751.392195756031</v>
      </c>
      <c r="H694" s="348">
        <v>5670868.9090748597</v>
      </c>
      <c r="I694" s="369"/>
      <c r="J694" s="350">
        <v>7286475.3930864995</v>
      </c>
      <c r="K694" s="350">
        <v>1799442.0868066309</v>
      </c>
      <c r="L694" s="350">
        <v>1818152.5186000546</v>
      </c>
      <c r="M694" s="350">
        <v>1835400.0733971528</v>
      </c>
      <c r="N694" s="350">
        <v>1851135.637875956</v>
      </c>
      <c r="O694" s="348">
        <v>14590605.709766293</v>
      </c>
      <c r="P694" s="369"/>
      <c r="Q694" s="350">
        <f t="shared" si="285"/>
        <v>1743663.1665747622</v>
      </c>
      <c r="R694" s="350">
        <f t="shared" si="286"/>
        <v>1765204.2864672272</v>
      </c>
      <c r="S694" s="350">
        <f t="shared" si="287"/>
        <v>1785371.026164165</v>
      </c>
      <c r="T694" s="350">
        <f t="shared" si="288"/>
        <v>1804114.075805079</v>
      </c>
      <c r="U694" s="350">
        <f t="shared" si="289"/>
        <v>1821384.2456801999</v>
      </c>
      <c r="V694" s="350">
        <f t="shared" si="290"/>
        <v>8919736.8006914333</v>
      </c>
      <c r="W694" s="365"/>
      <c r="X694" s="377">
        <f t="shared" si="268"/>
        <v>0</v>
      </c>
      <c r="Y694" s="377">
        <f t="shared" si="269"/>
        <v>0</v>
      </c>
      <c r="Z694" s="377">
        <f t="shared" si="270"/>
        <v>0</v>
      </c>
      <c r="AA694" s="377">
        <f t="shared" si="271"/>
        <v>0</v>
      </c>
      <c r="AB694" s="377">
        <f t="shared" si="272"/>
        <v>0</v>
      </c>
      <c r="AC694" s="377">
        <f t="shared" si="273"/>
        <v>0</v>
      </c>
      <c r="AD694" s="376"/>
      <c r="AE694" s="332">
        <v>679</v>
      </c>
      <c r="AF694" s="350">
        <v>6994534.2547966084</v>
      </c>
      <c r="AG694" s="350">
        <v>43205.047816233819</v>
      </c>
      <c r="AH694" s="350">
        <v>41367.31723825384</v>
      </c>
      <c r="AI694" s="350">
        <v>39480.136239607469</v>
      </c>
      <c r="AJ694" s="350">
        <v>37543.601214878006</v>
      </c>
      <c r="AK694" s="348">
        <v>7156130.3573055817</v>
      </c>
      <c r="AL694" s="369"/>
      <c r="AM694" s="350">
        <v>10063590.403354686</v>
      </c>
      <c r="AN694" s="350">
        <v>3150176.1490556044</v>
      </c>
      <c r="AO694" s="350">
        <v>3183834.2972974097</v>
      </c>
      <c r="AP694" s="350">
        <v>3214937.1299928483</v>
      </c>
      <c r="AQ694" s="350">
        <v>3243398.1637520026</v>
      </c>
      <c r="AR694" s="348">
        <v>22855936.143452555</v>
      </c>
      <c r="AS694" s="369"/>
      <c r="AT694" s="350">
        <f t="shared" si="291"/>
        <v>3069056.1485580774</v>
      </c>
      <c r="AU694" s="350">
        <f t="shared" si="274"/>
        <v>3106971.1012393706</v>
      </c>
      <c r="AV694" s="350">
        <f t="shared" si="275"/>
        <v>3142466.9800591557</v>
      </c>
      <c r="AW694" s="350">
        <f t="shared" si="276"/>
        <v>3175456.9937532409</v>
      </c>
      <c r="AX694" s="350">
        <f t="shared" si="277"/>
        <v>3205854.5625371248</v>
      </c>
      <c r="AY694" s="350">
        <f t="shared" si="278"/>
        <v>15699805.786146972</v>
      </c>
      <c r="AZ694" s="365"/>
      <c r="BA694" s="377">
        <f t="shared" si="279"/>
        <v>0</v>
      </c>
      <c r="BB694" s="377">
        <f t="shared" si="280"/>
        <v>0</v>
      </c>
      <c r="BC694" s="377">
        <f t="shared" si="281"/>
        <v>0</v>
      </c>
      <c r="BD694" s="377">
        <f t="shared" si="282"/>
        <v>0</v>
      </c>
      <c r="BE694" s="377">
        <f t="shared" si="283"/>
        <v>0</v>
      </c>
      <c r="BF694" s="377">
        <f t="shared" si="284"/>
        <v>0</v>
      </c>
      <c r="BG694" s="328"/>
    </row>
    <row r="695" spans="2:59">
      <c r="B695" s="332">
        <v>680</v>
      </c>
      <c r="C695" s="350">
        <v>3648991.0517483875</v>
      </c>
      <c r="D695" s="350">
        <v>22539.718461409437</v>
      </c>
      <c r="E695" s="350">
        <v>21580.989518167225</v>
      </c>
      <c r="F695" s="350">
        <v>20596.462696760489</v>
      </c>
      <c r="G695" s="350">
        <v>19586.188285453853</v>
      </c>
      <c r="H695" s="348">
        <v>3733294.4107101783</v>
      </c>
      <c r="I695" s="369"/>
      <c r="J695" s="350">
        <v>5353426.9851300595</v>
      </c>
      <c r="K695" s="350">
        <v>1748032.160630913</v>
      </c>
      <c r="L695" s="350">
        <v>1766786.4797450784</v>
      </c>
      <c r="M695" s="350">
        <v>1784123.3397152959</v>
      </c>
      <c r="N695" s="350">
        <v>1799994.7077421844</v>
      </c>
      <c r="O695" s="348">
        <v>12452363.672963532</v>
      </c>
      <c r="P695" s="369"/>
      <c r="Q695" s="350">
        <f t="shared" si="285"/>
        <v>1704435.933381672</v>
      </c>
      <c r="R695" s="350">
        <f t="shared" si="286"/>
        <v>1725492.4421695035</v>
      </c>
      <c r="S695" s="350">
        <f t="shared" si="287"/>
        <v>1745205.4902269111</v>
      </c>
      <c r="T695" s="350">
        <f t="shared" si="288"/>
        <v>1763526.8770185355</v>
      </c>
      <c r="U695" s="350">
        <f t="shared" si="289"/>
        <v>1780408.5194567305</v>
      </c>
      <c r="V695" s="350">
        <f t="shared" si="290"/>
        <v>8719069.2622533534</v>
      </c>
      <c r="W695" s="365"/>
      <c r="X695" s="377">
        <f t="shared" si="268"/>
        <v>0</v>
      </c>
      <c r="Y695" s="377">
        <f t="shared" si="269"/>
        <v>0</v>
      </c>
      <c r="Z695" s="377">
        <f t="shared" si="270"/>
        <v>0</v>
      </c>
      <c r="AA695" s="377">
        <f t="shared" si="271"/>
        <v>0</v>
      </c>
      <c r="AB695" s="377">
        <f t="shared" si="272"/>
        <v>0</v>
      </c>
      <c r="AC695" s="377">
        <f t="shared" si="273"/>
        <v>0</v>
      </c>
      <c r="AD695" s="376"/>
      <c r="AE695" s="332">
        <v>680</v>
      </c>
      <c r="AF695" s="350">
        <v>5431305.8752882918</v>
      </c>
      <c r="AG695" s="350">
        <v>33549.028641258497</v>
      </c>
      <c r="AH695" s="350">
        <v>32122.017703604561</v>
      </c>
      <c r="AI695" s="350">
        <v>30656.608160623877</v>
      </c>
      <c r="AJ695" s="350">
        <v>29152.874863399764</v>
      </c>
      <c r="AK695" s="348">
        <v>5556786.4046571795</v>
      </c>
      <c r="AL695" s="369"/>
      <c r="AM695" s="350">
        <v>7751422.3972665984</v>
      </c>
      <c r="AN695" s="350">
        <v>2382328.1439016154</v>
      </c>
      <c r="AO695" s="350">
        <v>2407734.9772879295</v>
      </c>
      <c r="AP695" s="350">
        <v>2431209.0514581734</v>
      </c>
      <c r="AQ695" s="350">
        <v>2452684.9894832233</v>
      </c>
      <c r="AR695" s="348">
        <v>17425379.559397537</v>
      </c>
      <c r="AS695" s="369"/>
      <c r="AT695" s="350">
        <f t="shared" si="291"/>
        <v>2320116.5219783066</v>
      </c>
      <c r="AU695" s="350">
        <f t="shared" si="274"/>
        <v>2348779.115260357</v>
      </c>
      <c r="AV695" s="350">
        <f t="shared" si="275"/>
        <v>2375612.9595843251</v>
      </c>
      <c r="AW695" s="350">
        <f t="shared" si="276"/>
        <v>2400552.4432975496</v>
      </c>
      <c r="AX695" s="350">
        <f t="shared" si="277"/>
        <v>2423532.1146198236</v>
      </c>
      <c r="AY695" s="350">
        <f t="shared" si="278"/>
        <v>11868593.154740358</v>
      </c>
      <c r="AZ695" s="365"/>
      <c r="BA695" s="377">
        <f t="shared" si="279"/>
        <v>0</v>
      </c>
      <c r="BB695" s="377">
        <f t="shared" si="280"/>
        <v>0</v>
      </c>
      <c r="BC695" s="377">
        <f t="shared" si="281"/>
        <v>0</v>
      </c>
      <c r="BD695" s="377">
        <f t="shared" si="282"/>
        <v>0</v>
      </c>
      <c r="BE695" s="377">
        <f t="shared" si="283"/>
        <v>0</v>
      </c>
      <c r="BF695" s="377">
        <f t="shared" si="284"/>
        <v>0</v>
      </c>
      <c r="BG695" s="328"/>
    </row>
    <row r="696" spans="2:59">
      <c r="B696" s="332">
        <v>681</v>
      </c>
      <c r="C696" s="350">
        <v>5574342.7660969961</v>
      </c>
      <c r="D696" s="350">
        <v>34432.563624682305</v>
      </c>
      <c r="E696" s="350">
        <v>32967.971447386575</v>
      </c>
      <c r="F696" s="350">
        <v>31463.96941309678</v>
      </c>
      <c r="G696" s="350">
        <v>29920.634344147435</v>
      </c>
      <c r="H696" s="348">
        <v>5703127.9049263094</v>
      </c>
      <c r="I696" s="369"/>
      <c r="J696" s="350">
        <v>7594165.062036695</v>
      </c>
      <c r="K696" s="350">
        <v>2079207.6343160458</v>
      </c>
      <c r="L696" s="350">
        <v>2101103.7641274482</v>
      </c>
      <c r="M696" s="350">
        <v>2121311.3118261201</v>
      </c>
      <c r="N696" s="350">
        <v>2139773.37392167</v>
      </c>
      <c r="O696" s="348">
        <v>16035561.146227978</v>
      </c>
      <c r="P696" s="369"/>
      <c r="Q696" s="350">
        <f t="shared" si="285"/>
        <v>2019822.2959396988</v>
      </c>
      <c r="R696" s="350">
        <f t="shared" si="286"/>
        <v>2044775.0706913634</v>
      </c>
      <c r="S696" s="350">
        <f t="shared" si="287"/>
        <v>2068135.7926800617</v>
      </c>
      <c r="T696" s="350">
        <f t="shared" si="288"/>
        <v>2089847.3424130233</v>
      </c>
      <c r="U696" s="350">
        <f t="shared" si="289"/>
        <v>2109852.7395775225</v>
      </c>
      <c r="V696" s="350">
        <f t="shared" si="290"/>
        <v>10332433.241301669</v>
      </c>
      <c r="W696" s="365"/>
      <c r="X696" s="377">
        <f t="shared" si="268"/>
        <v>0</v>
      </c>
      <c r="Y696" s="377">
        <f t="shared" si="269"/>
        <v>0</v>
      </c>
      <c r="Z696" s="377">
        <f t="shared" si="270"/>
        <v>0</v>
      </c>
      <c r="AA696" s="377">
        <f t="shared" si="271"/>
        <v>0</v>
      </c>
      <c r="AB696" s="377">
        <f t="shared" si="272"/>
        <v>0</v>
      </c>
      <c r="AC696" s="377">
        <f t="shared" si="273"/>
        <v>0</v>
      </c>
      <c r="AD696" s="376"/>
      <c r="AE696" s="332">
        <v>681</v>
      </c>
      <c r="AF696" s="350">
        <v>5347851.4783992097</v>
      </c>
      <c r="AG696" s="350">
        <v>33033.533101924528</v>
      </c>
      <c r="AH696" s="350">
        <v>31628.448813199968</v>
      </c>
      <c r="AI696" s="350">
        <v>30185.555930559858</v>
      </c>
      <c r="AJ696" s="350">
        <v>28704.928154970446</v>
      </c>
      <c r="AK696" s="348">
        <v>5471403.9443998644</v>
      </c>
      <c r="AL696" s="369"/>
      <c r="AM696" s="350">
        <v>7549109.9915922862</v>
      </c>
      <c r="AN696" s="350">
        <v>2261486.2742032232</v>
      </c>
      <c r="AO696" s="350">
        <v>2285540.3544436432</v>
      </c>
      <c r="AP696" s="350">
        <v>2307759.3122992394</v>
      </c>
      <c r="AQ696" s="350">
        <v>2328081.1227414533</v>
      </c>
      <c r="AR696" s="348">
        <v>16731977.055279847</v>
      </c>
      <c r="AS696" s="369"/>
      <c r="AT696" s="350">
        <f t="shared" si="291"/>
        <v>2201258.5131930765</v>
      </c>
      <c r="AU696" s="350">
        <f t="shared" si="274"/>
        <v>2228452.7411012985</v>
      </c>
      <c r="AV696" s="350">
        <f t="shared" si="275"/>
        <v>2253911.9056304432</v>
      </c>
      <c r="AW696" s="350">
        <f t="shared" si="276"/>
        <v>2277573.7563686795</v>
      </c>
      <c r="AX696" s="350">
        <f t="shared" si="277"/>
        <v>2299376.1945864828</v>
      </c>
      <c r="AY696" s="350">
        <f t="shared" si="278"/>
        <v>11260573.110879984</v>
      </c>
      <c r="AZ696" s="365"/>
      <c r="BA696" s="377">
        <f t="shared" si="279"/>
        <v>0</v>
      </c>
      <c r="BB696" s="377">
        <f t="shared" si="280"/>
        <v>0</v>
      </c>
      <c r="BC696" s="377">
        <f t="shared" si="281"/>
        <v>0</v>
      </c>
      <c r="BD696" s="377">
        <f t="shared" si="282"/>
        <v>0</v>
      </c>
      <c r="BE696" s="377">
        <f t="shared" si="283"/>
        <v>0</v>
      </c>
      <c r="BF696" s="377">
        <f t="shared" si="284"/>
        <v>0</v>
      </c>
      <c r="BG696" s="328"/>
    </row>
    <row r="697" spans="2:59">
      <c r="B697" s="332">
        <v>682</v>
      </c>
      <c r="C697" s="350">
        <v>6328463.7634444032</v>
      </c>
      <c r="D697" s="350">
        <v>39090.748510585006</v>
      </c>
      <c r="E697" s="350">
        <v>37428.020022014935</v>
      </c>
      <c r="F697" s="350">
        <v>35720.550141971842</v>
      </c>
      <c r="G697" s="350">
        <v>33968.426085644322</v>
      </c>
      <c r="H697" s="348">
        <v>6474671.5082046194</v>
      </c>
      <c r="I697" s="369"/>
      <c r="J697" s="350">
        <v>7893718.2884521224</v>
      </c>
      <c r="K697" s="350">
        <v>1623682.3427595212</v>
      </c>
      <c r="L697" s="350">
        <v>1640122.9275543843</v>
      </c>
      <c r="M697" s="350">
        <v>1655240.7504403251</v>
      </c>
      <c r="N697" s="350">
        <v>1668991.741929983</v>
      </c>
      <c r="O697" s="348">
        <v>14481756.051136337</v>
      </c>
      <c r="P697" s="369"/>
      <c r="Q697" s="350">
        <f t="shared" si="285"/>
        <v>1565254.5250077192</v>
      </c>
      <c r="R697" s="350">
        <f t="shared" si="286"/>
        <v>1584591.5942489363</v>
      </c>
      <c r="S697" s="350">
        <f t="shared" si="287"/>
        <v>1602694.9075323695</v>
      </c>
      <c r="T697" s="350">
        <f t="shared" si="288"/>
        <v>1619520.2002983533</v>
      </c>
      <c r="U697" s="350">
        <f t="shared" si="289"/>
        <v>1635023.3158443386</v>
      </c>
      <c r="V697" s="350">
        <f t="shared" si="290"/>
        <v>8007084.5429317178</v>
      </c>
      <c r="W697" s="365"/>
      <c r="X697" s="377">
        <f t="shared" si="268"/>
        <v>0</v>
      </c>
      <c r="Y697" s="377">
        <f t="shared" si="269"/>
        <v>0</v>
      </c>
      <c r="Z697" s="377">
        <f t="shared" si="270"/>
        <v>0</v>
      </c>
      <c r="AA697" s="377">
        <f t="shared" si="271"/>
        <v>0</v>
      </c>
      <c r="AB697" s="377">
        <f t="shared" si="272"/>
        <v>0</v>
      </c>
      <c r="AC697" s="377">
        <f t="shared" si="273"/>
        <v>0</v>
      </c>
      <c r="AD697" s="376"/>
      <c r="AE697" s="332">
        <v>682</v>
      </c>
      <c r="AF697" s="350">
        <v>7267906.0247798776</v>
      </c>
      <c r="AG697" s="350">
        <v>44893.657802759881</v>
      </c>
      <c r="AH697" s="350">
        <v>42984.102047781307</v>
      </c>
      <c r="AI697" s="350">
        <v>41023.16317032824</v>
      </c>
      <c r="AJ697" s="350">
        <v>39010.941332431241</v>
      </c>
      <c r="AK697" s="348">
        <v>7435817.8891331786</v>
      </c>
      <c r="AL697" s="369"/>
      <c r="AM697" s="350">
        <v>9815916.5704208519</v>
      </c>
      <c r="AN697" s="350">
        <v>2624382.1870950945</v>
      </c>
      <c r="AO697" s="350">
        <v>2651942.2367111673</v>
      </c>
      <c r="AP697" s="350">
        <v>2677370.4685508595</v>
      </c>
      <c r="AQ697" s="350">
        <v>2700595.1019785721</v>
      </c>
      <c r="AR697" s="348">
        <v>20470206.564756542</v>
      </c>
      <c r="AS697" s="369"/>
      <c r="AT697" s="350">
        <f t="shared" si="291"/>
        <v>2548010.5456409743</v>
      </c>
      <c r="AU697" s="350">
        <f t="shared" si="274"/>
        <v>2579488.5292923348</v>
      </c>
      <c r="AV697" s="350">
        <f t="shared" si="275"/>
        <v>2608958.1346633858</v>
      </c>
      <c r="AW697" s="350">
        <f t="shared" si="276"/>
        <v>2636347.3053805311</v>
      </c>
      <c r="AX697" s="350">
        <f t="shared" si="277"/>
        <v>2661584.160646141</v>
      </c>
      <c r="AY697" s="350">
        <f t="shared" si="278"/>
        <v>13034388.675623365</v>
      </c>
      <c r="AZ697" s="365"/>
      <c r="BA697" s="377">
        <f t="shared" si="279"/>
        <v>0</v>
      </c>
      <c r="BB697" s="377">
        <f t="shared" si="280"/>
        <v>0</v>
      </c>
      <c r="BC697" s="377">
        <f t="shared" si="281"/>
        <v>0</v>
      </c>
      <c r="BD697" s="377">
        <f t="shared" si="282"/>
        <v>0</v>
      </c>
      <c r="BE697" s="377">
        <f t="shared" si="283"/>
        <v>0</v>
      </c>
      <c r="BF697" s="377">
        <f t="shared" si="284"/>
        <v>0</v>
      </c>
      <c r="BG697" s="328"/>
    </row>
    <row r="698" spans="2:59">
      <c r="B698" s="332">
        <v>683</v>
      </c>
      <c r="C698" s="350">
        <v>4355378.8371487856</v>
      </c>
      <c r="D698" s="350">
        <v>26903.056595624388</v>
      </c>
      <c r="E698" s="350">
        <v>25758.732674096136</v>
      </c>
      <c r="F698" s="350">
        <v>24583.616807340193</v>
      </c>
      <c r="G698" s="350">
        <v>23377.769018645005</v>
      </c>
      <c r="H698" s="348">
        <v>4456002.0122444918</v>
      </c>
      <c r="I698" s="369"/>
      <c r="J698" s="350">
        <v>5915091.416463037</v>
      </c>
      <c r="K698" s="350">
        <v>1605884.240255517</v>
      </c>
      <c r="L698" s="350">
        <v>1622779.1329625412</v>
      </c>
      <c r="M698" s="350">
        <v>1638369.7381708426</v>
      </c>
      <c r="N698" s="350">
        <v>1652612.1155425359</v>
      </c>
      <c r="O698" s="348">
        <v>12434736.643394476</v>
      </c>
      <c r="P698" s="369"/>
      <c r="Q698" s="350">
        <f t="shared" si="285"/>
        <v>1559712.5793142514</v>
      </c>
      <c r="R698" s="350">
        <f t="shared" si="286"/>
        <v>1578981.1836598925</v>
      </c>
      <c r="S698" s="350">
        <f t="shared" si="287"/>
        <v>1597020.4002884449</v>
      </c>
      <c r="T698" s="350">
        <f t="shared" si="288"/>
        <v>1613786.1213635025</v>
      </c>
      <c r="U698" s="350">
        <f t="shared" si="289"/>
        <v>1629234.346523891</v>
      </c>
      <c r="V698" s="350">
        <f t="shared" si="290"/>
        <v>7978734.631149984</v>
      </c>
      <c r="W698" s="365"/>
      <c r="X698" s="377">
        <f t="shared" si="268"/>
        <v>0</v>
      </c>
      <c r="Y698" s="377">
        <f t="shared" si="269"/>
        <v>0</v>
      </c>
      <c r="Z698" s="377">
        <f t="shared" si="270"/>
        <v>0</v>
      </c>
      <c r="AA698" s="377">
        <f t="shared" si="271"/>
        <v>0</v>
      </c>
      <c r="AB698" s="377">
        <f t="shared" si="272"/>
        <v>0</v>
      </c>
      <c r="AC698" s="377">
        <f t="shared" si="273"/>
        <v>0</v>
      </c>
      <c r="AD698" s="376"/>
      <c r="AE698" s="332">
        <v>683</v>
      </c>
      <c r="AF698" s="350">
        <v>5495108.7863441287</v>
      </c>
      <c r="AG698" s="350">
        <v>33943.137487188003</v>
      </c>
      <c r="AH698" s="350">
        <v>32499.363094480428</v>
      </c>
      <c r="AI698" s="350">
        <v>31016.739018406915</v>
      </c>
      <c r="AJ698" s="350">
        <v>29495.340989344615</v>
      </c>
      <c r="AK698" s="348">
        <v>5622063.3669335488</v>
      </c>
      <c r="AL698" s="369"/>
      <c r="AM698" s="350">
        <v>7804662.5765053323</v>
      </c>
      <c r="AN698" s="350">
        <v>2372029.0295162625</v>
      </c>
      <c r="AO698" s="350">
        <v>2397296.9337293222</v>
      </c>
      <c r="AP698" s="350">
        <v>2420640.2520526517</v>
      </c>
      <c r="AQ698" s="350">
        <v>2441993.9064169759</v>
      </c>
      <c r="AR698" s="348">
        <v>17436622.698220544</v>
      </c>
      <c r="AS698" s="369"/>
      <c r="AT698" s="350">
        <f t="shared" si="291"/>
        <v>2309553.7901612036</v>
      </c>
      <c r="AU698" s="350">
        <f t="shared" si="274"/>
        <v>2338085.8920290745</v>
      </c>
      <c r="AV698" s="350">
        <f t="shared" si="275"/>
        <v>2364797.5706348419</v>
      </c>
      <c r="AW698" s="350">
        <f t="shared" si="276"/>
        <v>2389623.513034245</v>
      </c>
      <c r="AX698" s="350">
        <f t="shared" si="277"/>
        <v>2412498.5654276311</v>
      </c>
      <c r="AY698" s="350">
        <f t="shared" si="278"/>
        <v>11814559.331286995</v>
      </c>
      <c r="AZ698" s="365"/>
      <c r="BA698" s="377">
        <f t="shared" si="279"/>
        <v>0</v>
      </c>
      <c r="BB698" s="377">
        <f t="shared" si="280"/>
        <v>0</v>
      </c>
      <c r="BC698" s="377">
        <f t="shared" si="281"/>
        <v>0</v>
      </c>
      <c r="BD698" s="377">
        <f t="shared" si="282"/>
        <v>0</v>
      </c>
      <c r="BE698" s="377">
        <f t="shared" si="283"/>
        <v>0</v>
      </c>
      <c r="BF698" s="377">
        <f t="shared" si="284"/>
        <v>0</v>
      </c>
      <c r="BG698" s="328"/>
    </row>
    <row r="699" spans="2:59">
      <c r="B699" s="332">
        <v>684</v>
      </c>
      <c r="C699" s="350">
        <v>6311831.1078951787</v>
      </c>
      <c r="D699" s="350">
        <v>38988.009049724213</v>
      </c>
      <c r="E699" s="350">
        <v>37329.650593322687</v>
      </c>
      <c r="F699" s="350">
        <v>35626.668336094517</v>
      </c>
      <c r="G699" s="350">
        <v>33879.149264007981</v>
      </c>
      <c r="H699" s="348">
        <v>6457654.5851383274</v>
      </c>
      <c r="I699" s="369"/>
      <c r="J699" s="350">
        <v>7992732.3360768054</v>
      </c>
      <c r="K699" s="350">
        <v>1740654.999551595</v>
      </c>
      <c r="L699" s="350">
        <v>1758437.4930755622</v>
      </c>
      <c r="M699" s="350">
        <v>1774802.9174723381</v>
      </c>
      <c r="N699" s="350">
        <v>1789703.9405673826</v>
      </c>
      <c r="O699" s="348">
        <v>15056331.686743684</v>
      </c>
      <c r="P699" s="369"/>
      <c r="Q699" s="350">
        <f t="shared" si="285"/>
        <v>1680901.2281816266</v>
      </c>
      <c r="R699" s="350">
        <f t="shared" si="286"/>
        <v>1701666.9905018706</v>
      </c>
      <c r="S699" s="350">
        <f t="shared" si="287"/>
        <v>1721107.8424822395</v>
      </c>
      <c r="T699" s="350">
        <f t="shared" si="288"/>
        <v>1739176.2491362435</v>
      </c>
      <c r="U699" s="350">
        <f t="shared" si="289"/>
        <v>1755824.7913033746</v>
      </c>
      <c r="V699" s="350">
        <f t="shared" si="290"/>
        <v>8598677.1016053557</v>
      </c>
      <c r="W699" s="365"/>
      <c r="X699" s="377">
        <f t="shared" si="268"/>
        <v>0</v>
      </c>
      <c r="Y699" s="377">
        <f t="shared" si="269"/>
        <v>0</v>
      </c>
      <c r="Z699" s="377">
        <f t="shared" si="270"/>
        <v>0</v>
      </c>
      <c r="AA699" s="377">
        <f t="shared" si="271"/>
        <v>0</v>
      </c>
      <c r="AB699" s="377">
        <f t="shared" si="272"/>
        <v>0</v>
      </c>
      <c r="AC699" s="377">
        <f t="shared" si="273"/>
        <v>0</v>
      </c>
      <c r="AD699" s="376"/>
      <c r="AE699" s="332">
        <v>684</v>
      </c>
      <c r="AF699" s="350">
        <v>7605178.8699891921</v>
      </c>
      <c r="AG699" s="350">
        <v>46976.982992624842</v>
      </c>
      <c r="AH699" s="350">
        <v>44978.812814127377</v>
      </c>
      <c r="AI699" s="350">
        <v>42926.875039301522</v>
      </c>
      <c r="AJ699" s="350">
        <v>40821.274478265419</v>
      </c>
      <c r="AK699" s="348">
        <v>7780882.8153135115</v>
      </c>
      <c r="AL699" s="369"/>
      <c r="AM699" s="350">
        <v>10464449.674744245</v>
      </c>
      <c r="AN699" s="350">
        <v>2941571.0637054108</v>
      </c>
      <c r="AO699" s="350">
        <v>2972642.4514254248</v>
      </c>
      <c r="AP699" s="350">
        <v>3001325.4948428795</v>
      </c>
      <c r="AQ699" s="350">
        <v>3027539.637144844</v>
      </c>
      <c r="AR699" s="348">
        <v>22407528.321862806</v>
      </c>
      <c r="AS699" s="369"/>
      <c r="AT699" s="350">
        <f t="shared" si="291"/>
        <v>2859270.8047550526</v>
      </c>
      <c r="AU699" s="350">
        <f t="shared" si="274"/>
        <v>2894594.0807127859</v>
      </c>
      <c r="AV699" s="350">
        <f t="shared" si="275"/>
        <v>2927663.6386112976</v>
      </c>
      <c r="AW699" s="350">
        <f t="shared" si="276"/>
        <v>2958398.6198035781</v>
      </c>
      <c r="AX699" s="350">
        <f t="shared" si="277"/>
        <v>2986718.3626665785</v>
      </c>
      <c r="AY699" s="350">
        <f t="shared" si="278"/>
        <v>14626645.506549295</v>
      </c>
      <c r="AZ699" s="365"/>
      <c r="BA699" s="377">
        <f t="shared" si="279"/>
        <v>0</v>
      </c>
      <c r="BB699" s="377">
        <f t="shared" si="280"/>
        <v>0</v>
      </c>
      <c r="BC699" s="377">
        <f t="shared" si="281"/>
        <v>0</v>
      </c>
      <c r="BD699" s="377">
        <f t="shared" si="282"/>
        <v>0</v>
      </c>
      <c r="BE699" s="377">
        <f t="shared" si="283"/>
        <v>0</v>
      </c>
      <c r="BF699" s="377">
        <f t="shared" si="284"/>
        <v>0</v>
      </c>
      <c r="BG699" s="328"/>
    </row>
    <row r="700" spans="2:59">
      <c r="B700" s="332">
        <v>685</v>
      </c>
      <c r="C700" s="350">
        <v>6971771.2680270812</v>
      </c>
      <c r="D700" s="350">
        <v>43064.441466193341</v>
      </c>
      <c r="E700" s="350">
        <v>41232.691591900642</v>
      </c>
      <c r="F700" s="350">
        <v>39351.652228214509</v>
      </c>
      <c r="G700" s="350">
        <v>37421.4194560057</v>
      </c>
      <c r="H700" s="348">
        <v>7132841.4727693964</v>
      </c>
      <c r="I700" s="369"/>
      <c r="J700" s="350">
        <v>9469203.504256947</v>
      </c>
      <c r="K700" s="350">
        <v>2571349.8196647675</v>
      </c>
      <c r="L700" s="350">
        <v>2598402.700024263</v>
      </c>
      <c r="M700" s="350">
        <v>2623367.1531133587</v>
      </c>
      <c r="N700" s="350">
        <v>2646172.8210575785</v>
      </c>
      <c r="O700" s="348">
        <v>19908495.99811691</v>
      </c>
      <c r="P700" s="369"/>
      <c r="Q700" s="350">
        <f t="shared" si="285"/>
        <v>2497432.2362298658</v>
      </c>
      <c r="R700" s="350">
        <f t="shared" si="286"/>
        <v>2528285.3781985743</v>
      </c>
      <c r="S700" s="350">
        <f t="shared" si="287"/>
        <v>2557170.0084323622</v>
      </c>
      <c r="T700" s="350">
        <f t="shared" si="288"/>
        <v>2584015.5008851443</v>
      </c>
      <c r="U700" s="350">
        <f t="shared" si="289"/>
        <v>2608751.401601573</v>
      </c>
      <c r="V700" s="350">
        <f t="shared" si="290"/>
        <v>12775654.525347514</v>
      </c>
      <c r="W700" s="365"/>
      <c r="X700" s="377">
        <f t="shared" si="268"/>
        <v>0</v>
      </c>
      <c r="Y700" s="377">
        <f t="shared" si="269"/>
        <v>0</v>
      </c>
      <c r="Z700" s="377">
        <f t="shared" si="270"/>
        <v>0</v>
      </c>
      <c r="AA700" s="377">
        <f t="shared" si="271"/>
        <v>0</v>
      </c>
      <c r="AB700" s="377">
        <f t="shared" si="272"/>
        <v>0</v>
      </c>
      <c r="AC700" s="377">
        <f t="shared" si="273"/>
        <v>0</v>
      </c>
      <c r="AD700" s="376"/>
      <c r="AE700" s="332">
        <v>685</v>
      </c>
      <c r="AF700" s="350">
        <v>5774616.1972703068</v>
      </c>
      <c r="AG700" s="350">
        <v>35669.647160905995</v>
      </c>
      <c r="AH700" s="350">
        <v>34152.435524613225</v>
      </c>
      <c r="AI700" s="350">
        <v>32594.398124982912</v>
      </c>
      <c r="AJ700" s="350">
        <v>30995.614544401727</v>
      </c>
      <c r="AK700" s="348">
        <v>5908028.2926252112</v>
      </c>
      <c r="AL700" s="369"/>
      <c r="AM700" s="350">
        <v>7449122.6167930653</v>
      </c>
      <c r="AN700" s="350">
        <v>1730862.8278856587</v>
      </c>
      <c r="AO700" s="350">
        <v>1748712.5075909453</v>
      </c>
      <c r="AP700" s="350">
        <v>1765154.1375277506</v>
      </c>
      <c r="AQ700" s="350">
        <v>1780140.5585190754</v>
      </c>
      <c r="AR700" s="348">
        <v>14473992.648316495</v>
      </c>
      <c r="AS700" s="369"/>
      <c r="AT700" s="350">
        <f t="shared" si="291"/>
        <v>1674506.4195227586</v>
      </c>
      <c r="AU700" s="350">
        <f t="shared" si="274"/>
        <v>1695193.1807247526</v>
      </c>
      <c r="AV700" s="350">
        <f t="shared" si="275"/>
        <v>1714560.0720663322</v>
      </c>
      <c r="AW700" s="350">
        <f t="shared" si="276"/>
        <v>1732559.7394027677</v>
      </c>
      <c r="AX700" s="350">
        <f t="shared" si="277"/>
        <v>1749144.9439746737</v>
      </c>
      <c r="AY700" s="350">
        <f t="shared" si="278"/>
        <v>8565964.3556912839</v>
      </c>
      <c r="AZ700" s="365"/>
      <c r="BA700" s="377">
        <f t="shared" si="279"/>
        <v>0</v>
      </c>
      <c r="BB700" s="377">
        <f t="shared" si="280"/>
        <v>0</v>
      </c>
      <c r="BC700" s="377">
        <f t="shared" si="281"/>
        <v>0</v>
      </c>
      <c r="BD700" s="377">
        <f t="shared" si="282"/>
        <v>0</v>
      </c>
      <c r="BE700" s="377">
        <f t="shared" si="283"/>
        <v>0</v>
      </c>
      <c r="BF700" s="377">
        <f t="shared" si="284"/>
        <v>0</v>
      </c>
      <c r="BG700" s="328"/>
    </row>
    <row r="701" spans="2:59">
      <c r="B701" s="332">
        <v>686</v>
      </c>
      <c r="C701" s="350">
        <v>3842137.1586958948</v>
      </c>
      <c r="D701" s="350">
        <v>23732.776709779257</v>
      </c>
      <c r="E701" s="350">
        <v>22723.300927100951</v>
      </c>
      <c r="F701" s="350">
        <v>21686.661749143386</v>
      </c>
      <c r="G701" s="350">
        <v>20622.912125996314</v>
      </c>
      <c r="H701" s="348">
        <v>3930902.8102079146</v>
      </c>
      <c r="I701" s="369"/>
      <c r="J701" s="350">
        <v>5509938.9740910325</v>
      </c>
      <c r="K701" s="350">
        <v>1712138.5249922946</v>
      </c>
      <c r="L701" s="350">
        <v>1730418.3969012504</v>
      </c>
      <c r="M701" s="350">
        <v>1747309.3556770652</v>
      </c>
      <c r="N701" s="350">
        <v>1762764.4046510644</v>
      </c>
      <c r="O701" s="348">
        <v>12462569.656312706</v>
      </c>
      <c r="P701" s="369"/>
      <c r="Q701" s="350">
        <f t="shared" si="285"/>
        <v>1667801.8153951378</v>
      </c>
      <c r="R701" s="350">
        <f t="shared" si="286"/>
        <v>1688405.7482825154</v>
      </c>
      <c r="S701" s="350">
        <f t="shared" si="287"/>
        <v>1707695.0959741494</v>
      </c>
      <c r="T701" s="350">
        <f t="shared" si="288"/>
        <v>1725622.6939279218</v>
      </c>
      <c r="U701" s="350">
        <f t="shared" si="289"/>
        <v>1742141.4925250681</v>
      </c>
      <c r="V701" s="350">
        <f t="shared" si="290"/>
        <v>8531666.8461047914</v>
      </c>
      <c r="W701" s="365"/>
      <c r="X701" s="377">
        <f t="shared" si="268"/>
        <v>0</v>
      </c>
      <c r="Y701" s="377">
        <f t="shared" si="269"/>
        <v>0</v>
      </c>
      <c r="Z701" s="377">
        <f t="shared" si="270"/>
        <v>0</v>
      </c>
      <c r="AA701" s="377">
        <f t="shared" si="271"/>
        <v>0</v>
      </c>
      <c r="AB701" s="377">
        <f t="shared" si="272"/>
        <v>0</v>
      </c>
      <c r="AC701" s="377">
        <f t="shared" si="273"/>
        <v>0</v>
      </c>
      <c r="AD701" s="376"/>
      <c r="AE701" s="332">
        <v>686</v>
      </c>
      <c r="AF701" s="350">
        <v>6269759.7460968047</v>
      </c>
      <c r="AG701" s="350">
        <v>38728.135392382406</v>
      </c>
      <c r="AH701" s="350">
        <v>37080.830685266781</v>
      </c>
      <c r="AI701" s="350">
        <v>35389.199616223901</v>
      </c>
      <c r="AJ701" s="350">
        <v>33653.328591411693</v>
      </c>
      <c r="AK701" s="348">
        <v>6414611.2403820902</v>
      </c>
      <c r="AL701" s="369"/>
      <c r="AM701" s="350">
        <v>7862725.9328461606</v>
      </c>
      <c r="AN701" s="350">
        <v>1651373.7397444043</v>
      </c>
      <c r="AO701" s="350">
        <v>1668150.2539548501</v>
      </c>
      <c r="AP701" s="350">
        <v>1683581.7948876522</v>
      </c>
      <c r="AQ701" s="350">
        <v>1697623.5104849932</v>
      </c>
      <c r="AR701" s="348">
        <v>14563455.231918061</v>
      </c>
      <c r="AS701" s="369"/>
      <c r="AT701" s="350">
        <f t="shared" si="291"/>
        <v>1592966.1867493559</v>
      </c>
      <c r="AU701" s="350">
        <f t="shared" si="274"/>
        <v>1612645.6043520218</v>
      </c>
      <c r="AV701" s="350">
        <f t="shared" si="275"/>
        <v>1631069.4232695834</v>
      </c>
      <c r="AW701" s="350">
        <f t="shared" si="276"/>
        <v>1648192.5952714283</v>
      </c>
      <c r="AX701" s="350">
        <f t="shared" si="277"/>
        <v>1663970.1818935815</v>
      </c>
      <c r="AY701" s="350">
        <f t="shared" si="278"/>
        <v>8148843.9915359709</v>
      </c>
      <c r="AZ701" s="365"/>
      <c r="BA701" s="377">
        <f t="shared" si="279"/>
        <v>0</v>
      </c>
      <c r="BB701" s="377">
        <f t="shared" si="280"/>
        <v>0</v>
      </c>
      <c r="BC701" s="377">
        <f t="shared" si="281"/>
        <v>0</v>
      </c>
      <c r="BD701" s="377">
        <f t="shared" si="282"/>
        <v>0</v>
      </c>
      <c r="BE701" s="377">
        <f t="shared" si="283"/>
        <v>0</v>
      </c>
      <c r="BF701" s="377">
        <f t="shared" si="284"/>
        <v>0</v>
      </c>
      <c r="BG701" s="328"/>
    </row>
    <row r="702" spans="2:59">
      <c r="B702" s="332">
        <v>687</v>
      </c>
      <c r="C702" s="350">
        <v>3899376.0839437786</v>
      </c>
      <c r="D702" s="350">
        <v>24086.339993938123</v>
      </c>
      <c r="E702" s="350">
        <v>23061.825365304536</v>
      </c>
      <c r="F702" s="350">
        <v>22009.742669856296</v>
      </c>
      <c r="G702" s="350">
        <v>20930.145646512909</v>
      </c>
      <c r="H702" s="348">
        <v>3989464.1376193906</v>
      </c>
      <c r="I702" s="369"/>
      <c r="J702" s="350">
        <v>5194963.385462705</v>
      </c>
      <c r="K702" s="350">
        <v>1335679.2565468734</v>
      </c>
      <c r="L702" s="350">
        <v>1349639.1565490272</v>
      </c>
      <c r="M702" s="350">
        <v>1362513.6495661403</v>
      </c>
      <c r="N702" s="350">
        <v>1374266.2400972515</v>
      </c>
      <c r="O702" s="348">
        <v>10617061.688221997</v>
      </c>
      <c r="P702" s="369"/>
      <c r="Q702" s="350">
        <f t="shared" si="285"/>
        <v>1295587.3015189264</v>
      </c>
      <c r="R702" s="350">
        <f t="shared" si="286"/>
        <v>1311592.9165529353</v>
      </c>
      <c r="S702" s="350">
        <f t="shared" si="287"/>
        <v>1326577.3311837227</v>
      </c>
      <c r="T702" s="350">
        <f t="shared" si="288"/>
        <v>1340503.9068962839</v>
      </c>
      <c r="U702" s="350">
        <f t="shared" si="289"/>
        <v>1353336.0944507385</v>
      </c>
      <c r="V702" s="350">
        <f t="shared" si="290"/>
        <v>6627597.5506026056</v>
      </c>
      <c r="W702" s="365"/>
      <c r="X702" s="377">
        <f t="shared" si="268"/>
        <v>0</v>
      </c>
      <c r="Y702" s="377">
        <f t="shared" si="269"/>
        <v>0</v>
      </c>
      <c r="Z702" s="377">
        <f t="shared" si="270"/>
        <v>0</v>
      </c>
      <c r="AA702" s="377">
        <f t="shared" si="271"/>
        <v>0</v>
      </c>
      <c r="AB702" s="377">
        <f t="shared" si="272"/>
        <v>0</v>
      </c>
      <c r="AC702" s="377">
        <f t="shared" si="273"/>
        <v>0</v>
      </c>
      <c r="AD702" s="376"/>
      <c r="AE702" s="332">
        <v>687</v>
      </c>
      <c r="AF702" s="350">
        <v>4136939.5461628567</v>
      </c>
      <c r="AG702" s="350">
        <v>25553.763037513225</v>
      </c>
      <c r="AH702" s="350">
        <v>24466.831438310124</v>
      </c>
      <c r="AI702" s="350">
        <v>23350.652230421882</v>
      </c>
      <c r="AJ702" s="350">
        <v>22205.282426731119</v>
      </c>
      <c r="AK702" s="348">
        <v>4232516.075295832</v>
      </c>
      <c r="AL702" s="369"/>
      <c r="AM702" s="350">
        <v>5779601.1615253929</v>
      </c>
      <c r="AN702" s="350">
        <v>1688508.7306240266</v>
      </c>
      <c r="AO702" s="350">
        <v>1706420.3819175516</v>
      </c>
      <c r="AP702" s="350">
        <v>1722961.5626804212</v>
      </c>
      <c r="AQ702" s="350">
        <v>1738085.9895258071</v>
      </c>
      <c r="AR702" s="348">
        <v>12635577.826273199</v>
      </c>
      <c r="AS702" s="369"/>
      <c r="AT702" s="350">
        <f t="shared" si="291"/>
        <v>1642661.6153625362</v>
      </c>
      <c r="AU702" s="350">
        <f t="shared" si="274"/>
        <v>1662954.9675865134</v>
      </c>
      <c r="AV702" s="350">
        <f t="shared" si="275"/>
        <v>1681953.5504792414</v>
      </c>
      <c r="AW702" s="350">
        <f t="shared" si="276"/>
        <v>1699610.9104499994</v>
      </c>
      <c r="AX702" s="350">
        <f t="shared" si="277"/>
        <v>1715880.7070990759</v>
      </c>
      <c r="AY702" s="350">
        <f t="shared" si="278"/>
        <v>8403061.7509773672</v>
      </c>
      <c r="AZ702" s="365"/>
      <c r="BA702" s="377">
        <f t="shared" si="279"/>
        <v>0</v>
      </c>
      <c r="BB702" s="377">
        <f t="shared" si="280"/>
        <v>0</v>
      </c>
      <c r="BC702" s="377">
        <f t="shared" si="281"/>
        <v>0</v>
      </c>
      <c r="BD702" s="377">
        <f t="shared" si="282"/>
        <v>0</v>
      </c>
      <c r="BE702" s="377">
        <f t="shared" si="283"/>
        <v>0</v>
      </c>
      <c r="BF702" s="377">
        <f t="shared" si="284"/>
        <v>0</v>
      </c>
      <c r="BG702" s="328"/>
    </row>
    <row r="703" spans="2:59">
      <c r="B703" s="332">
        <v>688</v>
      </c>
      <c r="C703" s="350">
        <v>6364527.3471979098</v>
      </c>
      <c r="D703" s="350">
        <v>39313.512286375881</v>
      </c>
      <c r="E703" s="350">
        <v>37641.308520652914</v>
      </c>
      <c r="F703" s="350">
        <v>35924.10839874942</v>
      </c>
      <c r="G703" s="350">
        <v>34161.999632860105</v>
      </c>
      <c r="H703" s="348">
        <v>6511568.2760365494</v>
      </c>
      <c r="I703" s="369"/>
      <c r="J703" s="350">
        <v>8433509.7386550866</v>
      </c>
      <c r="K703" s="350">
        <v>2133855.9996405886</v>
      </c>
      <c r="L703" s="350">
        <v>2156113.0903199781</v>
      </c>
      <c r="M703" s="350">
        <v>2176635.8734773202</v>
      </c>
      <c r="N703" s="350">
        <v>2195366.0696783876</v>
      </c>
      <c r="O703" s="348">
        <v>17095480.77177136</v>
      </c>
      <c r="P703" s="369"/>
      <c r="Q703" s="350">
        <f t="shared" si="285"/>
        <v>2068982.3914571768</v>
      </c>
      <c r="R703" s="350">
        <f t="shared" si="286"/>
        <v>2094542.4873542127</v>
      </c>
      <c r="S703" s="350">
        <f t="shared" si="287"/>
        <v>2118471.7817993253</v>
      </c>
      <c r="T703" s="350">
        <f t="shared" si="288"/>
        <v>2140711.7650785707</v>
      </c>
      <c r="U703" s="350">
        <f t="shared" si="289"/>
        <v>2161204.0700455275</v>
      </c>
      <c r="V703" s="350">
        <f t="shared" si="290"/>
        <v>10583912.495734811</v>
      </c>
      <c r="W703" s="365"/>
      <c r="X703" s="377">
        <f t="shared" si="268"/>
        <v>0</v>
      </c>
      <c r="Y703" s="377">
        <f t="shared" si="269"/>
        <v>0</v>
      </c>
      <c r="Z703" s="377">
        <f t="shared" si="270"/>
        <v>0</v>
      </c>
      <c r="AA703" s="377">
        <f t="shared" si="271"/>
        <v>0</v>
      </c>
      <c r="AB703" s="377">
        <f t="shared" si="272"/>
        <v>0</v>
      </c>
      <c r="AC703" s="377">
        <f t="shared" si="273"/>
        <v>0</v>
      </c>
      <c r="AD703" s="376"/>
      <c r="AE703" s="332">
        <v>688</v>
      </c>
      <c r="AF703" s="350">
        <v>4572061.4600441447</v>
      </c>
      <c r="AG703" s="350">
        <v>28241.499262729503</v>
      </c>
      <c r="AH703" s="350">
        <v>27040.244562493535</v>
      </c>
      <c r="AI703" s="350">
        <v>25806.665999900531</v>
      </c>
      <c r="AJ703" s="350">
        <v>24540.82658442896</v>
      </c>
      <c r="AK703" s="348">
        <v>4677690.696453697</v>
      </c>
      <c r="AL703" s="369"/>
      <c r="AM703" s="350">
        <v>6122166.9705328457</v>
      </c>
      <c r="AN703" s="350">
        <v>1597496.9288914911</v>
      </c>
      <c r="AO703" s="350">
        <v>1614223.778043001</v>
      </c>
      <c r="AP703" s="350">
        <v>1629652.6518901899</v>
      </c>
      <c r="AQ703" s="350">
        <v>1643739.8841021317</v>
      </c>
      <c r="AR703" s="348">
        <v>12607280.213459661</v>
      </c>
      <c r="AS703" s="369"/>
      <c r="AT703" s="350">
        <f t="shared" si="291"/>
        <v>1550105.5104887011</v>
      </c>
      <c r="AU703" s="350">
        <f t="shared" si="274"/>
        <v>1569255.4296287617</v>
      </c>
      <c r="AV703" s="350">
        <f t="shared" si="275"/>
        <v>1587183.5334805073</v>
      </c>
      <c r="AW703" s="350">
        <f t="shared" si="276"/>
        <v>1603845.9858902893</v>
      </c>
      <c r="AX703" s="350">
        <f t="shared" si="277"/>
        <v>1619199.0575177027</v>
      </c>
      <c r="AY703" s="350">
        <f t="shared" si="278"/>
        <v>7929589.5170059642</v>
      </c>
      <c r="AZ703" s="365"/>
      <c r="BA703" s="377">
        <f t="shared" si="279"/>
        <v>0</v>
      </c>
      <c r="BB703" s="377">
        <f t="shared" si="280"/>
        <v>0</v>
      </c>
      <c r="BC703" s="377">
        <f t="shared" si="281"/>
        <v>0</v>
      </c>
      <c r="BD703" s="377">
        <f t="shared" si="282"/>
        <v>0</v>
      </c>
      <c r="BE703" s="377">
        <f t="shared" si="283"/>
        <v>0</v>
      </c>
      <c r="BF703" s="377">
        <f t="shared" si="284"/>
        <v>0</v>
      </c>
      <c r="BG703" s="328"/>
    </row>
    <row r="704" spans="2:59">
      <c r="B704" s="332">
        <v>689</v>
      </c>
      <c r="C704" s="350">
        <v>4775944.2482693493</v>
      </c>
      <c r="D704" s="350">
        <v>29500.877699276072</v>
      </c>
      <c r="E704" s="350">
        <v>28246.055224460288</v>
      </c>
      <c r="F704" s="350">
        <v>26957.467463275629</v>
      </c>
      <c r="G704" s="350">
        <v>25635.180234988547</v>
      </c>
      <c r="H704" s="348">
        <v>4886283.82889135</v>
      </c>
      <c r="I704" s="369"/>
      <c r="J704" s="350">
        <v>6971864.8350851852</v>
      </c>
      <c r="K704" s="350">
        <v>2252549.7479712889</v>
      </c>
      <c r="L704" s="350">
        <v>2276692.3530033301</v>
      </c>
      <c r="M704" s="350">
        <v>2299008.2373415623</v>
      </c>
      <c r="N704" s="350">
        <v>2319435.518661587</v>
      </c>
      <c r="O704" s="348">
        <v>16119550.692062953</v>
      </c>
      <c r="P704" s="369"/>
      <c r="Q704" s="350">
        <f t="shared" si="285"/>
        <v>2195920.5868158359</v>
      </c>
      <c r="R704" s="350">
        <f t="shared" si="286"/>
        <v>2223048.8702720129</v>
      </c>
      <c r="S704" s="350">
        <f t="shared" si="287"/>
        <v>2248446.29777887</v>
      </c>
      <c r="T704" s="350">
        <f t="shared" si="288"/>
        <v>2272050.7698782869</v>
      </c>
      <c r="U704" s="350">
        <f t="shared" si="289"/>
        <v>2293800.3384265983</v>
      </c>
      <c r="V704" s="350">
        <f t="shared" si="290"/>
        <v>11233266.863171604</v>
      </c>
      <c r="W704" s="365"/>
      <c r="X704" s="377">
        <f t="shared" si="268"/>
        <v>0</v>
      </c>
      <c r="Y704" s="377">
        <f t="shared" si="269"/>
        <v>0</v>
      </c>
      <c r="Z704" s="377">
        <f t="shared" si="270"/>
        <v>0</v>
      </c>
      <c r="AA704" s="377">
        <f t="shared" si="271"/>
        <v>0</v>
      </c>
      <c r="AB704" s="377">
        <f t="shared" si="272"/>
        <v>0</v>
      </c>
      <c r="AC704" s="377">
        <f t="shared" si="273"/>
        <v>0</v>
      </c>
      <c r="AD704" s="376"/>
      <c r="AE704" s="332">
        <v>689</v>
      </c>
      <c r="AF704" s="350">
        <v>5447449.0641220259</v>
      </c>
      <c r="AG704" s="350">
        <v>33648.74467953189</v>
      </c>
      <c r="AH704" s="350">
        <v>32217.492311262577</v>
      </c>
      <c r="AI704" s="350">
        <v>30747.727207478514</v>
      </c>
      <c r="AJ704" s="350">
        <v>29239.524441747733</v>
      </c>
      <c r="AK704" s="348">
        <v>5573302.5527620465</v>
      </c>
      <c r="AL704" s="369"/>
      <c r="AM704" s="350">
        <v>7037197.4926743479</v>
      </c>
      <c r="AN704" s="350">
        <v>1643036.8388248216</v>
      </c>
      <c r="AO704" s="350">
        <v>1659992.1896473572</v>
      </c>
      <c r="AP704" s="350">
        <v>1675611.0080980728</v>
      </c>
      <c r="AQ704" s="350">
        <v>1689848.521561323</v>
      </c>
      <c r="AR704" s="348">
        <v>13705686.050805924</v>
      </c>
      <c r="AS704" s="369"/>
      <c r="AT704" s="350">
        <f t="shared" si="291"/>
        <v>1589748.4285523221</v>
      </c>
      <c r="AU704" s="350">
        <f t="shared" si="274"/>
        <v>1609388.0941452899</v>
      </c>
      <c r="AV704" s="350">
        <f t="shared" si="275"/>
        <v>1627774.6973360947</v>
      </c>
      <c r="AW704" s="350">
        <f t="shared" si="276"/>
        <v>1644863.2808905942</v>
      </c>
      <c r="AX704" s="350">
        <f t="shared" si="277"/>
        <v>1660608.9971195753</v>
      </c>
      <c r="AY704" s="350">
        <f t="shared" si="278"/>
        <v>8132383.498043878</v>
      </c>
      <c r="AZ704" s="365"/>
      <c r="BA704" s="377">
        <f t="shared" si="279"/>
        <v>0</v>
      </c>
      <c r="BB704" s="377">
        <f t="shared" si="280"/>
        <v>0</v>
      </c>
      <c r="BC704" s="377">
        <f t="shared" si="281"/>
        <v>0</v>
      </c>
      <c r="BD704" s="377">
        <f t="shared" si="282"/>
        <v>0</v>
      </c>
      <c r="BE704" s="377">
        <f t="shared" si="283"/>
        <v>0</v>
      </c>
      <c r="BF704" s="377">
        <f t="shared" si="284"/>
        <v>0</v>
      </c>
      <c r="BG704" s="328"/>
    </row>
    <row r="705" spans="2:59">
      <c r="B705" s="332">
        <v>690</v>
      </c>
      <c r="C705" s="350">
        <v>5519560.1451310888</v>
      </c>
      <c r="D705" s="350">
        <v>34094.17286525324</v>
      </c>
      <c r="E705" s="350">
        <v>32643.974169213554</v>
      </c>
      <c r="F705" s="350">
        <v>31154.75292197584</v>
      </c>
      <c r="G705" s="350">
        <v>29626.585190889778</v>
      </c>
      <c r="H705" s="348">
        <v>5647079.6302784206</v>
      </c>
      <c r="I705" s="369"/>
      <c r="J705" s="350">
        <v>6819137.0107240807</v>
      </c>
      <c r="K705" s="350">
        <v>1349725.9403497649</v>
      </c>
      <c r="L705" s="350">
        <v>1363306.2985106779</v>
      </c>
      <c r="M705" s="350">
        <v>1375786.5377480814</v>
      </c>
      <c r="N705" s="350">
        <v>1387130.072341623</v>
      </c>
      <c r="O705" s="348">
        <v>12295085.859674228</v>
      </c>
      <c r="P705" s="369"/>
      <c r="Q705" s="350">
        <f t="shared" si="285"/>
        <v>1299576.8655929919</v>
      </c>
      <c r="R705" s="350">
        <f t="shared" si="286"/>
        <v>1315631.7674845117</v>
      </c>
      <c r="S705" s="350">
        <f t="shared" si="287"/>
        <v>1330662.3243414643</v>
      </c>
      <c r="T705" s="350">
        <f t="shared" si="288"/>
        <v>1344631.7848261055</v>
      </c>
      <c r="U705" s="350">
        <f t="shared" si="289"/>
        <v>1357503.4871507331</v>
      </c>
      <c r="V705" s="350">
        <f t="shared" si="290"/>
        <v>6648006.2293958077</v>
      </c>
      <c r="W705" s="365"/>
      <c r="X705" s="377">
        <f t="shared" si="268"/>
        <v>0</v>
      </c>
      <c r="Y705" s="377">
        <f t="shared" si="269"/>
        <v>0</v>
      </c>
      <c r="Z705" s="377">
        <f t="shared" si="270"/>
        <v>0</v>
      </c>
      <c r="AA705" s="377">
        <f t="shared" si="271"/>
        <v>0</v>
      </c>
      <c r="AB705" s="377">
        <f t="shared" si="272"/>
        <v>0</v>
      </c>
      <c r="AC705" s="377">
        <f t="shared" si="273"/>
        <v>0</v>
      </c>
      <c r="AD705" s="376"/>
      <c r="AE705" s="332">
        <v>690</v>
      </c>
      <c r="AF705" s="350">
        <v>4955546.9878342235</v>
      </c>
      <c r="AG705" s="350">
        <v>30610.278935750124</v>
      </c>
      <c r="AH705" s="350">
        <v>29308.267979991095</v>
      </c>
      <c r="AI705" s="350">
        <v>27971.221970541803</v>
      </c>
      <c r="AJ705" s="350">
        <v>26599.209201849255</v>
      </c>
      <c r="AK705" s="348">
        <v>5070035.9659223547</v>
      </c>
      <c r="AL705" s="369"/>
      <c r="AM705" s="350">
        <v>6740724.7241165312</v>
      </c>
      <c r="AN705" s="350">
        <v>1837842.0038460121</v>
      </c>
      <c r="AO705" s="350">
        <v>1857186.8789462859</v>
      </c>
      <c r="AP705" s="350">
        <v>1875039.1325506598</v>
      </c>
      <c r="AQ705" s="350">
        <v>1891348.4720946657</v>
      </c>
      <c r="AR705" s="348">
        <v>14202141.211554155</v>
      </c>
      <c r="AS705" s="369"/>
      <c r="AT705" s="350">
        <f t="shared" si="291"/>
        <v>1785177.7362823077</v>
      </c>
      <c r="AU705" s="350">
        <f t="shared" si="274"/>
        <v>1807231.724910262</v>
      </c>
      <c r="AV705" s="350">
        <f t="shared" si="275"/>
        <v>1827878.6109662948</v>
      </c>
      <c r="AW705" s="350">
        <f t="shared" si="276"/>
        <v>1847067.910580118</v>
      </c>
      <c r="AX705" s="350">
        <f t="shared" si="277"/>
        <v>1864749.2628928164</v>
      </c>
      <c r="AY705" s="350">
        <f t="shared" si="278"/>
        <v>9132105.2456317991</v>
      </c>
      <c r="AZ705" s="365"/>
      <c r="BA705" s="377">
        <f t="shared" si="279"/>
        <v>0</v>
      </c>
      <c r="BB705" s="377">
        <f t="shared" si="280"/>
        <v>0</v>
      </c>
      <c r="BC705" s="377">
        <f t="shared" si="281"/>
        <v>0</v>
      </c>
      <c r="BD705" s="377">
        <f t="shared" si="282"/>
        <v>0</v>
      </c>
      <c r="BE705" s="377">
        <f t="shared" si="283"/>
        <v>0</v>
      </c>
      <c r="BF705" s="377">
        <f t="shared" si="284"/>
        <v>0</v>
      </c>
      <c r="BG705" s="328"/>
    </row>
    <row r="706" spans="2:59">
      <c r="B706" s="332">
        <v>691</v>
      </c>
      <c r="C706" s="350">
        <v>4964617.7634986332</v>
      </c>
      <c r="D706" s="350">
        <v>30666.308870271037</v>
      </c>
      <c r="E706" s="350">
        <v>29361.914676233067</v>
      </c>
      <c r="F706" s="350">
        <v>28022.421299328937</v>
      </c>
      <c r="G706" s="350">
        <v>26647.897159023436</v>
      </c>
      <c r="H706" s="348">
        <v>5079316.3055034894</v>
      </c>
      <c r="I706" s="369"/>
      <c r="J706" s="350">
        <v>6647562.989862645</v>
      </c>
      <c r="K706" s="350">
        <v>1734402.5489968627</v>
      </c>
      <c r="L706" s="350">
        <v>1752562.6471169908</v>
      </c>
      <c r="M706" s="350">
        <v>1769313.5318161687</v>
      </c>
      <c r="N706" s="350">
        <v>1784607.7946910327</v>
      </c>
      <c r="O706" s="348">
        <v>13688449.512483701</v>
      </c>
      <c r="P706" s="369"/>
      <c r="Q706" s="350">
        <f t="shared" si="285"/>
        <v>1682945.2263640119</v>
      </c>
      <c r="R706" s="350">
        <f t="shared" si="286"/>
        <v>1703736.2401265916</v>
      </c>
      <c r="S706" s="350">
        <f t="shared" si="287"/>
        <v>1723200.7324407578</v>
      </c>
      <c r="T706" s="350">
        <f t="shared" si="288"/>
        <v>1741291.1105168397</v>
      </c>
      <c r="U706" s="350">
        <f t="shared" si="289"/>
        <v>1757959.8975320093</v>
      </c>
      <c r="V706" s="350">
        <f t="shared" si="290"/>
        <v>8609133.2069802117</v>
      </c>
      <c r="W706" s="365"/>
      <c r="X706" s="377">
        <f t="shared" si="268"/>
        <v>0</v>
      </c>
      <c r="Y706" s="377">
        <f t="shared" si="269"/>
        <v>0</v>
      </c>
      <c r="Z706" s="377">
        <f t="shared" si="270"/>
        <v>0</v>
      </c>
      <c r="AA706" s="377">
        <f t="shared" si="271"/>
        <v>0</v>
      </c>
      <c r="AB706" s="377">
        <f t="shared" si="272"/>
        <v>0</v>
      </c>
      <c r="AC706" s="377">
        <f t="shared" si="273"/>
        <v>0</v>
      </c>
      <c r="AD706" s="376"/>
      <c r="AE706" s="332">
        <v>691</v>
      </c>
      <c r="AF706" s="350">
        <v>6985994.1163261132</v>
      </c>
      <c r="AG706" s="350">
        <v>43152.295613224174</v>
      </c>
      <c r="AH706" s="350">
        <v>41316.808854921757</v>
      </c>
      <c r="AI706" s="350">
        <v>39431.932053590237</v>
      </c>
      <c r="AJ706" s="350">
        <v>37497.761486117306</v>
      </c>
      <c r="AK706" s="348">
        <v>7147392.9143339675</v>
      </c>
      <c r="AL706" s="369"/>
      <c r="AM706" s="350">
        <v>9079108.032966869</v>
      </c>
      <c r="AN706" s="350">
        <v>2162124.4277002127</v>
      </c>
      <c r="AO706" s="350">
        <v>2184497.3341236338</v>
      </c>
      <c r="AP706" s="350">
        <v>2205111.8360989657</v>
      </c>
      <c r="AQ706" s="350">
        <v>2223908.981992906</v>
      </c>
      <c r="AR706" s="348">
        <v>17854750.612882584</v>
      </c>
      <c r="AS706" s="369"/>
      <c r="AT706" s="350">
        <f t="shared" si="291"/>
        <v>2093113.9166407557</v>
      </c>
      <c r="AU706" s="350">
        <f t="shared" si="274"/>
        <v>2118972.1320869885</v>
      </c>
      <c r="AV706" s="350">
        <f t="shared" si="275"/>
        <v>2143180.5252687121</v>
      </c>
      <c r="AW706" s="350">
        <f t="shared" si="276"/>
        <v>2165679.9040453755</v>
      </c>
      <c r="AX706" s="350">
        <f t="shared" si="277"/>
        <v>2186411.2205067887</v>
      </c>
      <c r="AY706" s="350">
        <f t="shared" si="278"/>
        <v>10707357.698548617</v>
      </c>
      <c r="AZ706" s="365"/>
      <c r="BA706" s="377">
        <f t="shared" si="279"/>
        <v>0</v>
      </c>
      <c r="BB706" s="377">
        <f t="shared" si="280"/>
        <v>0</v>
      </c>
      <c r="BC706" s="377">
        <f t="shared" si="281"/>
        <v>0</v>
      </c>
      <c r="BD706" s="377">
        <f t="shared" si="282"/>
        <v>0</v>
      </c>
      <c r="BE706" s="377">
        <f t="shared" si="283"/>
        <v>0</v>
      </c>
      <c r="BF706" s="377">
        <f t="shared" si="284"/>
        <v>0</v>
      </c>
      <c r="BG706" s="328"/>
    </row>
    <row r="707" spans="2:59">
      <c r="B707" s="332">
        <v>692</v>
      </c>
      <c r="C707" s="350">
        <v>5062101.3959744014</v>
      </c>
      <c r="D707" s="350">
        <v>31268.462616180488</v>
      </c>
      <c r="E707" s="350">
        <v>29938.455758635107</v>
      </c>
      <c r="F707" s="350">
        <v>28572.660521996353</v>
      </c>
      <c r="G707" s="350">
        <v>27171.146669188136</v>
      </c>
      <c r="H707" s="348">
        <v>5179052.1215404011</v>
      </c>
      <c r="I707" s="369"/>
      <c r="J707" s="350">
        <v>7016431.0165915769</v>
      </c>
      <c r="K707" s="350">
        <v>2009741.7650373413</v>
      </c>
      <c r="L707" s="350">
        <v>2031015.0094822969</v>
      </c>
      <c r="M707" s="350">
        <v>2050656.7676516795</v>
      </c>
      <c r="N707" s="350">
        <v>2068611.9765805677</v>
      </c>
      <c r="O707" s="348">
        <v>15176456.535343461</v>
      </c>
      <c r="P707" s="369"/>
      <c r="Q707" s="350">
        <f t="shared" si="285"/>
        <v>1954329.6206171755</v>
      </c>
      <c r="R707" s="350">
        <f t="shared" si="286"/>
        <v>1978473.3024211607</v>
      </c>
      <c r="S707" s="350">
        <f t="shared" si="287"/>
        <v>2001076.5537236617</v>
      </c>
      <c r="T707" s="350">
        <f t="shared" si="288"/>
        <v>2022084.107129683</v>
      </c>
      <c r="U707" s="350">
        <f t="shared" si="289"/>
        <v>2041440.8299113796</v>
      </c>
      <c r="V707" s="350">
        <f t="shared" si="290"/>
        <v>9997404.4138030596</v>
      </c>
      <c r="W707" s="365"/>
      <c r="X707" s="377">
        <f t="shared" si="268"/>
        <v>0</v>
      </c>
      <c r="Y707" s="377">
        <f t="shared" si="269"/>
        <v>0</v>
      </c>
      <c r="Z707" s="377">
        <f t="shared" si="270"/>
        <v>0</v>
      </c>
      <c r="AA707" s="377">
        <f t="shared" si="271"/>
        <v>0</v>
      </c>
      <c r="AB707" s="377">
        <f t="shared" si="272"/>
        <v>0</v>
      </c>
      <c r="AC707" s="377">
        <f t="shared" si="273"/>
        <v>0</v>
      </c>
      <c r="AD707" s="376"/>
      <c r="AE707" s="332">
        <v>692</v>
      </c>
      <c r="AF707" s="350">
        <v>4593925.3125105221</v>
      </c>
      <c r="AG707" s="350">
        <v>28376.551684640854</v>
      </c>
      <c r="AH707" s="350">
        <v>27169.552517546268</v>
      </c>
      <c r="AI707" s="350">
        <v>25930.074913582317</v>
      </c>
      <c r="AJ707" s="350">
        <v>24658.182183546229</v>
      </c>
      <c r="AK707" s="348">
        <v>4700059.6738098385</v>
      </c>
      <c r="AL707" s="369"/>
      <c r="AM707" s="350">
        <v>6829729.5113987718</v>
      </c>
      <c r="AN707" s="350">
        <v>2291801.7540026633</v>
      </c>
      <c r="AO707" s="350">
        <v>2316453.4654837237</v>
      </c>
      <c r="AP707" s="350">
        <v>2339247.1784009775</v>
      </c>
      <c r="AQ707" s="350">
        <v>2360119.8827826427</v>
      </c>
      <c r="AR707" s="348">
        <v>16137351.792068776</v>
      </c>
      <c r="AS707" s="369"/>
      <c r="AT707" s="350">
        <f t="shared" si="291"/>
        <v>2235804.1988882497</v>
      </c>
      <c r="AU707" s="350">
        <f t="shared" si="274"/>
        <v>2263425.2023180225</v>
      </c>
      <c r="AV707" s="350">
        <f t="shared" si="275"/>
        <v>2289283.9129661773</v>
      </c>
      <c r="AW707" s="350">
        <f t="shared" si="276"/>
        <v>2313317.1034873952</v>
      </c>
      <c r="AX707" s="350">
        <f t="shared" si="277"/>
        <v>2335461.7005990967</v>
      </c>
      <c r="AY707" s="350">
        <f t="shared" si="278"/>
        <v>11437292.118258938</v>
      </c>
      <c r="AZ707" s="365"/>
      <c r="BA707" s="377">
        <f t="shared" si="279"/>
        <v>0</v>
      </c>
      <c r="BB707" s="377">
        <f t="shared" si="280"/>
        <v>0</v>
      </c>
      <c r="BC707" s="377">
        <f t="shared" si="281"/>
        <v>0</v>
      </c>
      <c r="BD707" s="377">
        <f t="shared" si="282"/>
        <v>0</v>
      </c>
      <c r="BE707" s="377">
        <f t="shared" si="283"/>
        <v>0</v>
      </c>
      <c r="BF707" s="377">
        <f t="shared" si="284"/>
        <v>0</v>
      </c>
      <c r="BG707" s="328"/>
    </row>
    <row r="708" spans="2:59">
      <c r="B708" s="332">
        <v>693</v>
      </c>
      <c r="C708" s="350">
        <v>5068817.4093227973</v>
      </c>
      <c r="D708" s="350">
        <v>31309.94724793547</v>
      </c>
      <c r="E708" s="350">
        <v>29978.175837860676</v>
      </c>
      <c r="F708" s="350">
        <v>28610.568567382732</v>
      </c>
      <c r="G708" s="350">
        <v>27207.195291972326</v>
      </c>
      <c r="H708" s="348">
        <v>5185923.296267949</v>
      </c>
      <c r="I708" s="369"/>
      <c r="J708" s="350">
        <v>7434378.1672330573</v>
      </c>
      <c r="K708" s="350">
        <v>2426094.7140584686</v>
      </c>
      <c r="L708" s="350">
        <v>2452122.382795183</v>
      </c>
      <c r="M708" s="350">
        <v>2476182.7501267102</v>
      </c>
      <c r="N708" s="350">
        <v>2498209.1521210703</v>
      </c>
      <c r="O708" s="348">
        <v>17286987.166334487</v>
      </c>
      <c r="P708" s="369"/>
      <c r="Q708" s="350">
        <f t="shared" si="285"/>
        <v>2365560.75791026</v>
      </c>
      <c r="R708" s="350">
        <f t="shared" si="286"/>
        <v>2394784.7668105331</v>
      </c>
      <c r="S708" s="350">
        <f t="shared" si="287"/>
        <v>2422144.2069573225</v>
      </c>
      <c r="T708" s="350">
        <f t="shared" si="288"/>
        <v>2447572.1815593275</v>
      </c>
      <c r="U708" s="350">
        <f t="shared" si="289"/>
        <v>2471001.9568290981</v>
      </c>
      <c r="V708" s="350">
        <f t="shared" si="290"/>
        <v>12101063.870066538</v>
      </c>
      <c r="W708" s="365"/>
      <c r="X708" s="377">
        <f t="shared" si="268"/>
        <v>0</v>
      </c>
      <c r="Y708" s="377">
        <f t="shared" si="269"/>
        <v>0</v>
      </c>
      <c r="Z708" s="377">
        <f t="shared" si="270"/>
        <v>0</v>
      </c>
      <c r="AA708" s="377">
        <f t="shared" si="271"/>
        <v>0</v>
      </c>
      <c r="AB708" s="377">
        <f t="shared" si="272"/>
        <v>0</v>
      </c>
      <c r="AC708" s="377">
        <f t="shared" si="273"/>
        <v>0</v>
      </c>
      <c r="AD708" s="376"/>
      <c r="AE708" s="332">
        <v>693</v>
      </c>
      <c r="AF708" s="350">
        <v>7767447.0253891973</v>
      </c>
      <c r="AG708" s="350">
        <v>47979.308974271014</v>
      </c>
      <c r="AH708" s="350">
        <v>45938.504770385989</v>
      </c>
      <c r="AI708" s="350">
        <v>43842.785756035635</v>
      </c>
      <c r="AJ708" s="350">
        <v>41692.258977633639</v>
      </c>
      <c r="AK708" s="348">
        <v>7946899.8838675236</v>
      </c>
      <c r="AL708" s="369"/>
      <c r="AM708" s="350">
        <v>9679569.9781939574</v>
      </c>
      <c r="AN708" s="350">
        <v>1983724.5247051991</v>
      </c>
      <c r="AO708" s="350">
        <v>2003798.8208239884</v>
      </c>
      <c r="AP708" s="350">
        <v>2022256.9657157902</v>
      </c>
      <c r="AQ708" s="350">
        <v>2039045.1243727936</v>
      </c>
      <c r="AR708" s="348">
        <v>17728395.413811728</v>
      </c>
      <c r="AS708" s="369"/>
      <c r="AT708" s="350">
        <f t="shared" si="291"/>
        <v>1912122.9528047601</v>
      </c>
      <c r="AU708" s="350">
        <f t="shared" si="274"/>
        <v>1935745.2157309281</v>
      </c>
      <c r="AV708" s="350">
        <f t="shared" si="275"/>
        <v>1957860.3160536024</v>
      </c>
      <c r="AW708" s="350">
        <f t="shared" si="276"/>
        <v>1978414.1799597545</v>
      </c>
      <c r="AX708" s="350">
        <f t="shared" si="277"/>
        <v>1997352.8653951599</v>
      </c>
      <c r="AY708" s="350">
        <f t="shared" si="278"/>
        <v>9781495.5299442038</v>
      </c>
      <c r="AZ708" s="365"/>
      <c r="BA708" s="377">
        <f t="shared" si="279"/>
        <v>0</v>
      </c>
      <c r="BB708" s="377">
        <f t="shared" si="280"/>
        <v>0</v>
      </c>
      <c r="BC708" s="377">
        <f t="shared" si="281"/>
        <v>0</v>
      </c>
      <c r="BD708" s="377">
        <f t="shared" si="282"/>
        <v>0</v>
      </c>
      <c r="BE708" s="377">
        <f t="shared" si="283"/>
        <v>0</v>
      </c>
      <c r="BF708" s="377">
        <f t="shared" si="284"/>
        <v>0</v>
      </c>
      <c r="BG708" s="328"/>
    </row>
    <row r="709" spans="2:59">
      <c r="B709" s="332">
        <v>694</v>
      </c>
      <c r="C709" s="350">
        <v>4541286.7627966898</v>
      </c>
      <c r="D709" s="350">
        <v>28051.404795010392</v>
      </c>
      <c r="E709" s="350">
        <v>26858.235779982631</v>
      </c>
      <c r="F709" s="350">
        <v>25632.960475586697</v>
      </c>
      <c r="G709" s="350">
        <v>24375.641467181769</v>
      </c>
      <c r="H709" s="348">
        <v>4646205.0053144516</v>
      </c>
      <c r="I709" s="369"/>
      <c r="J709" s="350">
        <v>6061619.6837318745</v>
      </c>
      <c r="K709" s="350">
        <v>1567166.4359187481</v>
      </c>
      <c r="L709" s="350">
        <v>1583557.0289839921</v>
      </c>
      <c r="M709" s="350">
        <v>1598674.1734508313</v>
      </c>
      <c r="N709" s="350">
        <v>1612475.042465555</v>
      </c>
      <c r="O709" s="348">
        <v>12423492.364551</v>
      </c>
      <c r="P709" s="369"/>
      <c r="Q709" s="350">
        <f t="shared" si="285"/>
        <v>1520332.9209351847</v>
      </c>
      <c r="R709" s="350">
        <f t="shared" si="286"/>
        <v>1539115.0311237378</v>
      </c>
      <c r="S709" s="350">
        <f t="shared" si="287"/>
        <v>1556698.7932040095</v>
      </c>
      <c r="T709" s="350">
        <f t="shared" si="288"/>
        <v>1573041.2129752447</v>
      </c>
      <c r="U709" s="350">
        <f t="shared" si="289"/>
        <v>1588099.4009983733</v>
      </c>
      <c r="V709" s="350">
        <f t="shared" si="290"/>
        <v>7777287.3592365487</v>
      </c>
      <c r="W709" s="365"/>
      <c r="X709" s="377">
        <f t="shared" si="268"/>
        <v>0</v>
      </c>
      <c r="Y709" s="377">
        <f t="shared" si="269"/>
        <v>0</v>
      </c>
      <c r="Z709" s="377">
        <f t="shared" si="270"/>
        <v>0</v>
      </c>
      <c r="AA709" s="377">
        <f t="shared" si="271"/>
        <v>0</v>
      </c>
      <c r="AB709" s="377">
        <f t="shared" si="272"/>
        <v>0</v>
      </c>
      <c r="AC709" s="377">
        <f t="shared" si="273"/>
        <v>0</v>
      </c>
      <c r="AD709" s="376"/>
      <c r="AE709" s="332">
        <v>694</v>
      </c>
      <c r="AF709" s="350">
        <v>5809797.3724644557</v>
      </c>
      <c r="AG709" s="350">
        <v>35886.96032302978</v>
      </c>
      <c r="AH709" s="350">
        <v>34360.505251925584</v>
      </c>
      <c r="AI709" s="350">
        <v>32792.975691285923</v>
      </c>
      <c r="AJ709" s="350">
        <v>31184.451708341829</v>
      </c>
      <c r="AK709" s="348">
        <v>5944022.2654390391</v>
      </c>
      <c r="AL709" s="369"/>
      <c r="AM709" s="350">
        <v>7722406.1492275745</v>
      </c>
      <c r="AN709" s="350">
        <v>1972124.0018550665</v>
      </c>
      <c r="AO709" s="350">
        <v>1992718.2660160088</v>
      </c>
      <c r="AP709" s="350">
        <v>2011709.8225986732</v>
      </c>
      <c r="AQ709" s="350">
        <v>2029044.7959106974</v>
      </c>
      <c r="AR709" s="348">
        <v>15728003.03560802</v>
      </c>
      <c r="AS709" s="369"/>
      <c r="AT709" s="350">
        <f t="shared" si="291"/>
        <v>1912608.7767631188</v>
      </c>
      <c r="AU709" s="350">
        <f t="shared" si="274"/>
        <v>1936237.0415320368</v>
      </c>
      <c r="AV709" s="350">
        <f t="shared" si="275"/>
        <v>1958357.7607640831</v>
      </c>
      <c r="AW709" s="350">
        <f t="shared" si="276"/>
        <v>1978916.8469073873</v>
      </c>
      <c r="AX709" s="350">
        <f t="shared" si="277"/>
        <v>1997860.3442023557</v>
      </c>
      <c r="AY709" s="350">
        <f t="shared" si="278"/>
        <v>9783980.7701689806</v>
      </c>
      <c r="AZ709" s="365"/>
      <c r="BA709" s="377">
        <f t="shared" si="279"/>
        <v>0</v>
      </c>
      <c r="BB709" s="377">
        <f t="shared" si="280"/>
        <v>0</v>
      </c>
      <c r="BC709" s="377">
        <f t="shared" si="281"/>
        <v>0</v>
      </c>
      <c r="BD709" s="377">
        <f t="shared" si="282"/>
        <v>0</v>
      </c>
      <c r="BE709" s="377">
        <f t="shared" si="283"/>
        <v>0</v>
      </c>
      <c r="BF709" s="377">
        <f t="shared" si="284"/>
        <v>0</v>
      </c>
      <c r="BG709" s="328"/>
    </row>
    <row r="710" spans="2:59">
      <c r="B710" s="332">
        <v>695</v>
      </c>
      <c r="C710" s="350">
        <v>7270375.0178589821</v>
      </c>
      <c r="D710" s="350">
        <v>44908.908705843598</v>
      </c>
      <c r="E710" s="350">
        <v>42998.704252337651</v>
      </c>
      <c r="F710" s="350">
        <v>41037.099220905264</v>
      </c>
      <c r="G710" s="350">
        <v>39024.193807605196</v>
      </c>
      <c r="H710" s="348">
        <v>7438343.9238456748</v>
      </c>
      <c r="I710" s="369"/>
      <c r="J710" s="350">
        <v>10187625.969752667</v>
      </c>
      <c r="K710" s="350">
        <v>2998199.4201404899</v>
      </c>
      <c r="L710" s="350">
        <v>3030029.3563891882</v>
      </c>
      <c r="M710" s="350">
        <v>3059425.9749266752</v>
      </c>
      <c r="N710" s="350">
        <v>3086307.0786737236</v>
      </c>
      <c r="O710" s="348">
        <v>22361587.799882747</v>
      </c>
      <c r="P710" s="369"/>
      <c r="Q710" s="350">
        <f t="shared" si="285"/>
        <v>2917250.9518936854</v>
      </c>
      <c r="R710" s="350">
        <f t="shared" si="286"/>
        <v>2953290.5114346463</v>
      </c>
      <c r="S710" s="350">
        <f t="shared" si="287"/>
        <v>2987030.6521368506</v>
      </c>
      <c r="T710" s="350">
        <f t="shared" si="288"/>
        <v>3018388.8757057698</v>
      </c>
      <c r="U710" s="350">
        <f t="shared" si="289"/>
        <v>3047282.8848661184</v>
      </c>
      <c r="V710" s="350">
        <f t="shared" si="290"/>
        <v>14923243.876037072</v>
      </c>
      <c r="W710" s="365"/>
      <c r="X710" s="377">
        <f t="shared" si="268"/>
        <v>0</v>
      </c>
      <c r="Y710" s="377">
        <f t="shared" si="269"/>
        <v>0</v>
      </c>
      <c r="Z710" s="377">
        <f t="shared" si="270"/>
        <v>0</v>
      </c>
      <c r="AA710" s="377">
        <f t="shared" si="271"/>
        <v>0</v>
      </c>
      <c r="AB710" s="377">
        <f t="shared" si="272"/>
        <v>0</v>
      </c>
      <c r="AC710" s="377">
        <f t="shared" si="273"/>
        <v>0</v>
      </c>
      <c r="AD710" s="376"/>
      <c r="AE710" s="332">
        <v>695</v>
      </c>
      <c r="AF710" s="350">
        <v>7242689.5280797053</v>
      </c>
      <c r="AG710" s="350">
        <v>44737.896188619379</v>
      </c>
      <c r="AH710" s="350">
        <v>42834.965767847068</v>
      </c>
      <c r="AI710" s="350">
        <v>40880.830501855678</v>
      </c>
      <c r="AJ710" s="350">
        <v>38875.590205155167</v>
      </c>
      <c r="AK710" s="348">
        <v>7410018.8107431829</v>
      </c>
      <c r="AL710" s="369"/>
      <c r="AM710" s="350">
        <v>9049229.9456054047</v>
      </c>
      <c r="AN710" s="350">
        <v>1873596.2157440742</v>
      </c>
      <c r="AO710" s="350">
        <v>1892587.2464108698</v>
      </c>
      <c r="AP710" s="350">
        <v>1910052.0432947797</v>
      </c>
      <c r="AQ710" s="350">
        <v>1925939.7426982587</v>
      </c>
      <c r="AR710" s="348">
        <v>16651405.193753388</v>
      </c>
      <c r="AS710" s="369"/>
      <c r="AT710" s="350">
        <f t="shared" si="291"/>
        <v>1806540.4175256994</v>
      </c>
      <c r="AU710" s="350">
        <f t="shared" si="274"/>
        <v>1828858.3195554549</v>
      </c>
      <c r="AV710" s="350">
        <f t="shared" si="275"/>
        <v>1849752.2806430226</v>
      </c>
      <c r="AW710" s="350">
        <f t="shared" si="276"/>
        <v>1869171.2127929241</v>
      </c>
      <c r="AX710" s="350">
        <f t="shared" si="277"/>
        <v>1887064.1524931036</v>
      </c>
      <c r="AY710" s="350">
        <f t="shared" si="278"/>
        <v>9241386.3830102049</v>
      </c>
      <c r="AZ710" s="365"/>
      <c r="BA710" s="377">
        <f t="shared" si="279"/>
        <v>0</v>
      </c>
      <c r="BB710" s="377">
        <f t="shared" si="280"/>
        <v>0</v>
      </c>
      <c r="BC710" s="377">
        <f t="shared" si="281"/>
        <v>0</v>
      </c>
      <c r="BD710" s="377">
        <f t="shared" si="282"/>
        <v>0</v>
      </c>
      <c r="BE710" s="377">
        <f t="shared" si="283"/>
        <v>0</v>
      </c>
      <c r="BF710" s="377">
        <f t="shared" si="284"/>
        <v>0</v>
      </c>
      <c r="BG710" s="328"/>
    </row>
    <row r="711" spans="2:59">
      <c r="B711" s="332">
        <v>696</v>
      </c>
      <c r="C711" s="350">
        <v>5902657.2144707562</v>
      </c>
      <c r="D711" s="350">
        <v>36460.553040993545</v>
      </c>
      <c r="E711" s="350">
        <v>34909.7001522633</v>
      </c>
      <c r="F711" s="350">
        <v>33317.116267347687</v>
      </c>
      <c r="G711" s="350">
        <v>31682.882733220154</v>
      </c>
      <c r="H711" s="348">
        <v>6039027.4666645806</v>
      </c>
      <c r="I711" s="369"/>
      <c r="J711" s="350">
        <v>7239501.6087503228</v>
      </c>
      <c r="K711" s="350">
        <v>1389820.2502338612</v>
      </c>
      <c r="L711" s="350">
        <v>1403730.9804258288</v>
      </c>
      <c r="M711" s="350">
        <v>1416508.4545455093</v>
      </c>
      <c r="N711" s="350">
        <v>1428115.0408144207</v>
      </c>
      <c r="O711" s="348">
        <v>12877676.334769942</v>
      </c>
      <c r="P711" s="369"/>
      <c r="Q711" s="350">
        <f t="shared" si="285"/>
        <v>1336844.3942795666</v>
      </c>
      <c r="R711" s="350">
        <f t="shared" si="286"/>
        <v>1353359.6971928675</v>
      </c>
      <c r="S711" s="350">
        <f t="shared" si="287"/>
        <v>1368821.2802735656</v>
      </c>
      <c r="T711" s="350">
        <f t="shared" si="288"/>
        <v>1383191.3382781616</v>
      </c>
      <c r="U711" s="350">
        <f t="shared" si="289"/>
        <v>1396432.1580812004</v>
      </c>
      <c r="V711" s="350">
        <f t="shared" si="290"/>
        <v>6838648.8681053612</v>
      </c>
      <c r="W711" s="365"/>
      <c r="X711" s="377">
        <f t="shared" si="268"/>
        <v>0</v>
      </c>
      <c r="Y711" s="377">
        <f t="shared" si="269"/>
        <v>0</v>
      </c>
      <c r="Z711" s="377">
        <f t="shared" si="270"/>
        <v>0</v>
      </c>
      <c r="AA711" s="377">
        <f t="shared" si="271"/>
        <v>0</v>
      </c>
      <c r="AB711" s="377">
        <f t="shared" si="272"/>
        <v>0</v>
      </c>
      <c r="AC711" s="377">
        <f t="shared" si="273"/>
        <v>0</v>
      </c>
      <c r="AD711" s="376"/>
      <c r="AE711" s="332">
        <v>696</v>
      </c>
      <c r="AF711" s="350">
        <v>5254071.9847595906</v>
      </c>
      <c r="AG711" s="350">
        <v>32454.259720839724</v>
      </c>
      <c r="AH711" s="350">
        <v>31073.814877255561</v>
      </c>
      <c r="AI711" s="350">
        <v>29656.224448220561</v>
      </c>
      <c r="AJ711" s="350">
        <v>28201.560842282219</v>
      </c>
      <c r="AK711" s="348">
        <v>5375457.8446481889</v>
      </c>
      <c r="AL711" s="369"/>
      <c r="AM711" s="350">
        <v>6862870.3319429662</v>
      </c>
      <c r="AN711" s="350">
        <v>1661127.6141555039</v>
      </c>
      <c r="AO711" s="350">
        <v>1678354.0987432748</v>
      </c>
      <c r="AP711" s="350">
        <v>1694229.8639700299</v>
      </c>
      <c r="AQ711" s="350">
        <v>1708709.5971462689</v>
      </c>
      <c r="AR711" s="348">
        <v>13605291.505958043</v>
      </c>
      <c r="AS711" s="369"/>
      <c r="AT711" s="350">
        <f t="shared" si="291"/>
        <v>1608798.3471833756</v>
      </c>
      <c r="AU711" s="350">
        <f t="shared" si="274"/>
        <v>1628673.3544346641</v>
      </c>
      <c r="AV711" s="350">
        <f t="shared" si="275"/>
        <v>1647280.2838660192</v>
      </c>
      <c r="AW711" s="350">
        <f t="shared" si="276"/>
        <v>1664573.6395218093</v>
      </c>
      <c r="AX711" s="350">
        <f t="shared" si="277"/>
        <v>1680508.0363039868</v>
      </c>
      <c r="AY711" s="350">
        <f t="shared" si="278"/>
        <v>8229833.6613098541</v>
      </c>
      <c r="AZ711" s="365"/>
      <c r="BA711" s="377">
        <f t="shared" si="279"/>
        <v>0</v>
      </c>
      <c r="BB711" s="377">
        <f t="shared" si="280"/>
        <v>0</v>
      </c>
      <c r="BC711" s="377">
        <f t="shared" si="281"/>
        <v>0</v>
      </c>
      <c r="BD711" s="377">
        <f t="shared" si="282"/>
        <v>0</v>
      </c>
      <c r="BE711" s="377">
        <f t="shared" si="283"/>
        <v>0</v>
      </c>
      <c r="BF711" s="377">
        <f t="shared" si="284"/>
        <v>0</v>
      </c>
      <c r="BG711" s="328"/>
    </row>
    <row r="712" spans="2:59">
      <c r="B712" s="332">
        <v>697</v>
      </c>
      <c r="C712" s="350">
        <v>5484413.2822026694</v>
      </c>
      <c r="D712" s="350">
        <v>33877.071649062214</v>
      </c>
      <c r="E712" s="350">
        <v>32436.107372694361</v>
      </c>
      <c r="F712" s="350">
        <v>30956.369028743196</v>
      </c>
      <c r="G712" s="350">
        <v>29437.932200187814</v>
      </c>
      <c r="H712" s="348">
        <v>5611120.7624533577</v>
      </c>
      <c r="I712" s="369"/>
      <c r="J712" s="350">
        <v>7449595.1332540736</v>
      </c>
      <c r="K712" s="350">
        <v>2023336.6723688014</v>
      </c>
      <c r="L712" s="350">
        <v>2044624.4733763565</v>
      </c>
      <c r="M712" s="350">
        <v>2064268.941641663</v>
      </c>
      <c r="N712" s="350">
        <v>2082214.7138723792</v>
      </c>
      <c r="O712" s="348">
        <v>15664039.934513273</v>
      </c>
      <c r="P712" s="369"/>
      <c r="Q712" s="350">
        <f t="shared" si="285"/>
        <v>1965181.8510514041</v>
      </c>
      <c r="R712" s="350">
        <f t="shared" si="286"/>
        <v>1989459.6007197392</v>
      </c>
      <c r="S712" s="350">
        <f t="shared" si="287"/>
        <v>2012188.3660036621</v>
      </c>
      <c r="T712" s="350">
        <f t="shared" si="288"/>
        <v>2033312.5726129198</v>
      </c>
      <c r="U712" s="350">
        <f t="shared" si="289"/>
        <v>2052776.7816721913</v>
      </c>
      <c r="V712" s="350">
        <f t="shared" si="290"/>
        <v>10052919.172059916</v>
      </c>
      <c r="W712" s="365"/>
      <c r="X712" s="377">
        <f t="shared" si="268"/>
        <v>0</v>
      </c>
      <c r="Y712" s="377">
        <f t="shared" si="269"/>
        <v>0</v>
      </c>
      <c r="Z712" s="377">
        <f t="shared" si="270"/>
        <v>0</v>
      </c>
      <c r="AA712" s="377">
        <f t="shared" si="271"/>
        <v>0</v>
      </c>
      <c r="AB712" s="377">
        <f t="shared" si="272"/>
        <v>0</v>
      </c>
      <c r="AC712" s="377">
        <f t="shared" si="273"/>
        <v>0</v>
      </c>
      <c r="AD712" s="376"/>
      <c r="AE712" s="332">
        <v>697</v>
      </c>
      <c r="AF712" s="350">
        <v>4952123.2410296313</v>
      </c>
      <c r="AG712" s="350">
        <v>30589.130544875083</v>
      </c>
      <c r="AH712" s="350">
        <v>29288.019137816766</v>
      </c>
      <c r="AI712" s="350">
        <v>27951.896882498761</v>
      </c>
      <c r="AJ712" s="350">
        <v>26580.83202618482</v>
      </c>
      <c r="AK712" s="348">
        <v>5066533.1196210058</v>
      </c>
      <c r="AL712" s="369"/>
      <c r="AM712" s="350">
        <v>7146439.8023362178</v>
      </c>
      <c r="AN712" s="350">
        <v>2252014.1592637673</v>
      </c>
      <c r="AO712" s="350">
        <v>2276091.9236354963</v>
      </c>
      <c r="AP712" s="350">
        <v>2298343.0314283092</v>
      </c>
      <c r="AQ712" s="350">
        <v>2318705.6479962571</v>
      </c>
      <c r="AR712" s="348">
        <v>16291594.564660046</v>
      </c>
      <c r="AS712" s="369"/>
      <c r="AT712" s="350">
        <f t="shared" si="291"/>
        <v>2194316.5613065865</v>
      </c>
      <c r="AU712" s="350">
        <f t="shared" si="274"/>
        <v>2221425.028718892</v>
      </c>
      <c r="AV712" s="350">
        <f t="shared" si="275"/>
        <v>2246803.9044976793</v>
      </c>
      <c r="AW712" s="350">
        <f t="shared" si="276"/>
        <v>2270391.1345458105</v>
      </c>
      <c r="AX712" s="350">
        <f t="shared" si="277"/>
        <v>2292124.8159700721</v>
      </c>
      <c r="AY712" s="350">
        <f t="shared" si="278"/>
        <v>11225061.445039041</v>
      </c>
      <c r="AZ712" s="365"/>
      <c r="BA712" s="377">
        <f t="shared" si="279"/>
        <v>0</v>
      </c>
      <c r="BB712" s="377">
        <f t="shared" si="280"/>
        <v>0</v>
      </c>
      <c r="BC712" s="377">
        <f t="shared" si="281"/>
        <v>0</v>
      </c>
      <c r="BD712" s="377">
        <f t="shared" si="282"/>
        <v>0</v>
      </c>
      <c r="BE712" s="377">
        <f t="shared" si="283"/>
        <v>0</v>
      </c>
      <c r="BF712" s="377">
        <f t="shared" si="284"/>
        <v>0</v>
      </c>
      <c r="BG712" s="328"/>
    </row>
    <row r="713" spans="2:59">
      <c r="B713" s="332">
        <v>698</v>
      </c>
      <c r="C713" s="350">
        <v>7889146.3525194591</v>
      </c>
      <c r="D713" s="350">
        <v>48731.042407309382</v>
      </c>
      <c r="E713" s="350">
        <v>46658.263154533146</v>
      </c>
      <c r="F713" s="350">
        <v>44529.708693337103</v>
      </c>
      <c r="G713" s="350">
        <v>42345.487747334642</v>
      </c>
      <c r="H713" s="348">
        <v>8071410.8545219731</v>
      </c>
      <c r="I713" s="369"/>
      <c r="J713" s="350">
        <v>9717488.4590074848</v>
      </c>
      <c r="K713" s="350">
        <v>1899660.3878043657</v>
      </c>
      <c r="L713" s="350">
        <v>1918733.7221160165</v>
      </c>
      <c r="M713" s="350">
        <v>1936258.4513390716</v>
      </c>
      <c r="N713" s="350">
        <v>1952183.1056472932</v>
      </c>
      <c r="O713" s="348">
        <v>17424324.125914231</v>
      </c>
      <c r="P713" s="369"/>
      <c r="Q713" s="350">
        <f t="shared" si="285"/>
        <v>1828342.1064880257</v>
      </c>
      <c r="R713" s="350">
        <f t="shared" si="286"/>
        <v>1850929.3453970563</v>
      </c>
      <c r="S713" s="350">
        <f t="shared" si="287"/>
        <v>1872075.4589614833</v>
      </c>
      <c r="T713" s="350">
        <f t="shared" si="288"/>
        <v>1891728.7426457345</v>
      </c>
      <c r="U713" s="350">
        <f t="shared" si="289"/>
        <v>1909837.6178999585</v>
      </c>
      <c r="V713" s="350">
        <f t="shared" si="290"/>
        <v>9352913.2713922579</v>
      </c>
      <c r="W713" s="365"/>
      <c r="X713" s="377">
        <f t="shared" si="268"/>
        <v>0</v>
      </c>
      <c r="Y713" s="377">
        <f t="shared" si="269"/>
        <v>0</v>
      </c>
      <c r="Z713" s="377">
        <f t="shared" si="270"/>
        <v>0</v>
      </c>
      <c r="AA713" s="377">
        <f t="shared" si="271"/>
        <v>0</v>
      </c>
      <c r="AB713" s="377">
        <f t="shared" si="272"/>
        <v>0</v>
      </c>
      <c r="AC713" s="377">
        <f t="shared" si="273"/>
        <v>0</v>
      </c>
      <c r="AD713" s="376"/>
      <c r="AE713" s="332">
        <v>698</v>
      </c>
      <c r="AF713" s="350">
        <v>4308836.313130605</v>
      </c>
      <c r="AG713" s="350">
        <v>26615.564690883199</v>
      </c>
      <c r="AH713" s="350">
        <v>25483.469263267205</v>
      </c>
      <c r="AI713" s="350">
        <v>24320.910939839265</v>
      </c>
      <c r="AJ713" s="350">
        <v>23127.949102461615</v>
      </c>
      <c r="AK713" s="348">
        <v>4408384.2071270561</v>
      </c>
      <c r="AL713" s="369"/>
      <c r="AM713" s="350">
        <v>7223222.779312484</v>
      </c>
      <c r="AN713" s="350">
        <v>2977006.2027130886</v>
      </c>
      <c r="AO713" s="350">
        <v>3009581.1181155639</v>
      </c>
      <c r="AP713" s="350">
        <v>3039745.9923235914</v>
      </c>
      <c r="AQ713" s="350">
        <v>3067418.6682524723</v>
      </c>
      <c r="AR713" s="348">
        <v>19316974.760717202</v>
      </c>
      <c r="AS713" s="369"/>
      <c r="AT713" s="350">
        <f t="shared" si="291"/>
        <v>2914386.4661818789</v>
      </c>
      <c r="AU713" s="350">
        <f t="shared" si="274"/>
        <v>2950390.6380222053</v>
      </c>
      <c r="AV713" s="350">
        <f t="shared" si="275"/>
        <v>2984097.6488522966</v>
      </c>
      <c r="AW713" s="350">
        <f t="shared" si="276"/>
        <v>3015425.0813837522</v>
      </c>
      <c r="AX713" s="350">
        <f t="shared" si="277"/>
        <v>3044290.7191500105</v>
      </c>
      <c r="AY713" s="350">
        <f t="shared" si="278"/>
        <v>14908590.553590145</v>
      </c>
      <c r="AZ713" s="365"/>
      <c r="BA713" s="377">
        <f t="shared" si="279"/>
        <v>0</v>
      </c>
      <c r="BB713" s="377">
        <f t="shared" si="280"/>
        <v>0</v>
      </c>
      <c r="BC713" s="377">
        <f t="shared" si="281"/>
        <v>0</v>
      </c>
      <c r="BD713" s="377">
        <f t="shared" si="282"/>
        <v>0</v>
      </c>
      <c r="BE713" s="377">
        <f t="shared" si="283"/>
        <v>0</v>
      </c>
      <c r="BF713" s="377">
        <f t="shared" si="284"/>
        <v>0</v>
      </c>
      <c r="BG713" s="328"/>
    </row>
    <row r="714" spans="2:59">
      <c r="B714" s="332">
        <v>699</v>
      </c>
      <c r="C714" s="350">
        <v>7893978.9346506661</v>
      </c>
      <c r="D714" s="350">
        <v>48760.893135670965</v>
      </c>
      <c r="E714" s="350">
        <v>46686.844179489359</v>
      </c>
      <c r="F714" s="350">
        <v>44556.985849184195</v>
      </c>
      <c r="G714" s="350">
        <v>42371.426934956391</v>
      </c>
      <c r="H714" s="348">
        <v>8076355.0847499669</v>
      </c>
      <c r="I714" s="369"/>
      <c r="J714" s="350">
        <v>10212847.553345647</v>
      </c>
      <c r="K714" s="350">
        <v>2396276.6885834346</v>
      </c>
      <c r="L714" s="350">
        <v>2421022.0510371309</v>
      </c>
      <c r="M714" s="350">
        <v>2443818.262411179</v>
      </c>
      <c r="N714" s="350">
        <v>2464600.0149196154</v>
      </c>
      <c r="O714" s="348">
        <v>19938564.570297007</v>
      </c>
      <c r="P714" s="369"/>
      <c r="Q714" s="350">
        <f t="shared" si="285"/>
        <v>2318868.6186949806</v>
      </c>
      <c r="R714" s="350">
        <f t="shared" si="286"/>
        <v>2347515.7954477635</v>
      </c>
      <c r="S714" s="350">
        <f t="shared" si="287"/>
        <v>2374335.2068576417</v>
      </c>
      <c r="T714" s="350">
        <f t="shared" si="288"/>
        <v>2399261.276561995</v>
      </c>
      <c r="U714" s="350">
        <f t="shared" si="289"/>
        <v>2422228.5879846588</v>
      </c>
      <c r="V714" s="350">
        <f t="shared" si="290"/>
        <v>11862209.48554704</v>
      </c>
      <c r="W714" s="365"/>
      <c r="X714" s="377">
        <f t="shared" si="268"/>
        <v>0</v>
      </c>
      <c r="Y714" s="377">
        <f t="shared" si="269"/>
        <v>0</v>
      </c>
      <c r="Z714" s="377">
        <f t="shared" si="270"/>
        <v>0</v>
      </c>
      <c r="AA714" s="377">
        <f t="shared" si="271"/>
        <v>0</v>
      </c>
      <c r="AB714" s="377">
        <f t="shared" si="272"/>
        <v>0</v>
      </c>
      <c r="AC714" s="377">
        <f t="shared" si="273"/>
        <v>0</v>
      </c>
      <c r="AD714" s="376"/>
      <c r="AE714" s="332">
        <v>699</v>
      </c>
      <c r="AF714" s="350">
        <v>5010167.1950645298</v>
      </c>
      <c r="AG714" s="350">
        <v>30947.666469950953</v>
      </c>
      <c r="AH714" s="350">
        <v>29631.30470521301</v>
      </c>
      <c r="AI714" s="350">
        <v>28279.521729229633</v>
      </c>
      <c r="AJ714" s="350">
        <v>26892.386589196263</v>
      </c>
      <c r="AK714" s="348">
        <v>5125918.0745581202</v>
      </c>
      <c r="AL714" s="369"/>
      <c r="AM714" s="350">
        <v>7599409.761390496</v>
      </c>
      <c r="AN714" s="350">
        <v>2652177.5945875109</v>
      </c>
      <c r="AO714" s="350">
        <v>2680807.7166668423</v>
      </c>
      <c r="AP714" s="350">
        <v>2707288.3171943449</v>
      </c>
      <c r="AQ714" s="350">
        <v>2731546.4212412965</v>
      </c>
      <c r="AR714" s="348">
        <v>18371229.811080489</v>
      </c>
      <c r="AS714" s="369"/>
      <c r="AT714" s="350">
        <f t="shared" si="291"/>
        <v>2589242.5663259663</v>
      </c>
      <c r="AU714" s="350">
        <f t="shared" si="274"/>
        <v>2621229.9281175598</v>
      </c>
      <c r="AV714" s="350">
        <f t="shared" si="275"/>
        <v>2651176.4119616295</v>
      </c>
      <c r="AW714" s="350">
        <f t="shared" si="276"/>
        <v>2679008.7954651155</v>
      </c>
      <c r="AX714" s="350">
        <f t="shared" si="277"/>
        <v>2704654.0346521004</v>
      </c>
      <c r="AY714" s="350">
        <f t="shared" si="278"/>
        <v>13245311.736522369</v>
      </c>
      <c r="AZ714" s="365"/>
      <c r="BA714" s="377">
        <f t="shared" si="279"/>
        <v>0</v>
      </c>
      <c r="BB714" s="377">
        <f t="shared" si="280"/>
        <v>0</v>
      </c>
      <c r="BC714" s="377">
        <f t="shared" si="281"/>
        <v>0</v>
      </c>
      <c r="BD714" s="377">
        <f t="shared" si="282"/>
        <v>0</v>
      </c>
      <c r="BE714" s="377">
        <f t="shared" si="283"/>
        <v>0</v>
      </c>
      <c r="BF714" s="377">
        <f t="shared" si="284"/>
        <v>0</v>
      </c>
      <c r="BG714" s="328"/>
    </row>
    <row r="715" spans="2:59">
      <c r="B715" s="332">
        <v>700</v>
      </c>
      <c r="C715" s="350">
        <v>5573744.7291725129</v>
      </c>
      <c r="D715" s="350">
        <v>34428.869566869165</v>
      </c>
      <c r="E715" s="350">
        <v>32964.434516651672</v>
      </c>
      <c r="F715" s="350">
        <v>31460.593837484699</v>
      </c>
      <c r="G715" s="350">
        <v>29917.424343455637</v>
      </c>
      <c r="H715" s="348">
        <v>5702516.0514369737</v>
      </c>
      <c r="I715" s="369"/>
      <c r="J715" s="350">
        <v>7379738.5321062692</v>
      </c>
      <c r="K715" s="350">
        <v>1862733.8216834515</v>
      </c>
      <c r="L715" s="350">
        <v>1882157.0257232951</v>
      </c>
      <c r="M715" s="350">
        <v>1900066.2415039178</v>
      </c>
      <c r="N715" s="350">
        <v>1916410.5977476442</v>
      </c>
      <c r="O715" s="348">
        <v>14941106.218764579</v>
      </c>
      <c r="P715" s="369"/>
      <c r="Q715" s="350">
        <f t="shared" si="285"/>
        <v>1805993.8029337563</v>
      </c>
      <c r="R715" s="350">
        <f t="shared" si="286"/>
        <v>1828304.9521165823</v>
      </c>
      <c r="S715" s="350">
        <f t="shared" si="287"/>
        <v>1849192.5912066433</v>
      </c>
      <c r="T715" s="350">
        <f t="shared" si="288"/>
        <v>1868605.6476664331</v>
      </c>
      <c r="U715" s="350">
        <f t="shared" si="289"/>
        <v>1886493.1734041886</v>
      </c>
      <c r="V715" s="350">
        <f t="shared" si="290"/>
        <v>9238590.1673276052</v>
      </c>
      <c r="W715" s="365"/>
      <c r="X715" s="377">
        <f t="shared" si="268"/>
        <v>0</v>
      </c>
      <c r="Y715" s="377">
        <f t="shared" si="269"/>
        <v>0</v>
      </c>
      <c r="Z715" s="377">
        <f t="shared" si="270"/>
        <v>0</v>
      </c>
      <c r="AA715" s="377">
        <f t="shared" si="271"/>
        <v>0</v>
      </c>
      <c r="AB715" s="377">
        <f t="shared" si="272"/>
        <v>0</v>
      </c>
      <c r="AC715" s="377">
        <f t="shared" si="273"/>
        <v>0</v>
      </c>
      <c r="AD715" s="376"/>
      <c r="AE715" s="332">
        <v>700</v>
      </c>
      <c r="AF715" s="350">
        <v>7112952.9901904976</v>
      </c>
      <c r="AG715" s="350">
        <v>43936.517123362573</v>
      </c>
      <c r="AH715" s="350">
        <v>42067.673432896321</v>
      </c>
      <c r="AI715" s="350">
        <v>40148.54211716455</v>
      </c>
      <c r="AJ715" s="350">
        <v>38179.221202720015</v>
      </c>
      <c r="AK715" s="348">
        <v>7277284.9440666409</v>
      </c>
      <c r="AL715" s="369"/>
      <c r="AM715" s="350">
        <v>8944605.9047843404</v>
      </c>
      <c r="AN715" s="350">
        <v>1898217.5721694473</v>
      </c>
      <c r="AO715" s="350">
        <v>1917533.1339604089</v>
      </c>
      <c r="AP715" s="350">
        <v>1935302.8749918488</v>
      </c>
      <c r="AQ715" s="350">
        <v>1951475.2213407198</v>
      </c>
      <c r="AR715" s="348">
        <v>16647134.707246765</v>
      </c>
      <c r="AS715" s="369"/>
      <c r="AT715" s="350">
        <f t="shared" si="291"/>
        <v>1831652.9145938428</v>
      </c>
      <c r="AU715" s="350">
        <f t="shared" si="274"/>
        <v>1854281.0550460848</v>
      </c>
      <c r="AV715" s="350">
        <f t="shared" si="275"/>
        <v>1875465.4605275125</v>
      </c>
      <c r="AW715" s="350">
        <f t="shared" si="276"/>
        <v>1895154.3328746844</v>
      </c>
      <c r="AX715" s="350">
        <f t="shared" si="277"/>
        <v>1913296.0001379999</v>
      </c>
      <c r="AY715" s="350">
        <f t="shared" si="278"/>
        <v>9369849.7631801255</v>
      </c>
      <c r="AZ715" s="365"/>
      <c r="BA715" s="377">
        <f t="shared" si="279"/>
        <v>0</v>
      </c>
      <c r="BB715" s="377">
        <f t="shared" si="280"/>
        <v>0</v>
      </c>
      <c r="BC715" s="377">
        <f t="shared" si="281"/>
        <v>0</v>
      </c>
      <c r="BD715" s="377">
        <f t="shared" si="282"/>
        <v>0</v>
      </c>
      <c r="BE715" s="377">
        <f t="shared" si="283"/>
        <v>0</v>
      </c>
      <c r="BF715" s="377">
        <f t="shared" si="284"/>
        <v>0</v>
      </c>
      <c r="BG715" s="328"/>
    </row>
    <row r="716" spans="2:59">
      <c r="B716" s="332">
        <v>701</v>
      </c>
      <c r="C716" s="350">
        <v>5284619.0871667666</v>
      </c>
      <c r="D716" s="350">
        <v>32642.94834142143</v>
      </c>
      <c r="E716" s="350">
        <v>31254.477610463306</v>
      </c>
      <c r="F716" s="350">
        <v>29828.645330129362</v>
      </c>
      <c r="G716" s="350">
        <v>28365.524329953514</v>
      </c>
      <c r="H716" s="348">
        <v>5406710.6827787347</v>
      </c>
      <c r="I716" s="369"/>
      <c r="J716" s="350">
        <v>6848068.2306259777</v>
      </c>
      <c r="K716" s="350">
        <v>1615406.8574564247</v>
      </c>
      <c r="L716" s="350">
        <v>1632100.8194509803</v>
      </c>
      <c r="M716" s="350">
        <v>1647480.8734614372</v>
      </c>
      <c r="N716" s="350">
        <v>1661502.9865456044</v>
      </c>
      <c r="O716" s="348">
        <v>13404559.767540423</v>
      </c>
      <c r="P716" s="369"/>
      <c r="Q716" s="350">
        <f t="shared" si="285"/>
        <v>1563449.1434592111</v>
      </c>
      <c r="R716" s="350">
        <f t="shared" si="286"/>
        <v>1582763.9091150034</v>
      </c>
      <c r="S716" s="350">
        <f t="shared" si="287"/>
        <v>1600846.341840517</v>
      </c>
      <c r="T716" s="350">
        <f t="shared" si="288"/>
        <v>1617652.2281313078</v>
      </c>
      <c r="U716" s="350">
        <f t="shared" si="289"/>
        <v>1633137.4622156508</v>
      </c>
      <c r="V716" s="350">
        <f t="shared" si="290"/>
        <v>7997849.0847616885</v>
      </c>
      <c r="W716" s="365"/>
      <c r="X716" s="377">
        <f t="shared" si="268"/>
        <v>0</v>
      </c>
      <c r="Y716" s="377">
        <f t="shared" si="269"/>
        <v>0</v>
      </c>
      <c r="Z716" s="377">
        <f t="shared" si="270"/>
        <v>0</v>
      </c>
      <c r="AA716" s="377">
        <f t="shared" si="271"/>
        <v>0</v>
      </c>
      <c r="AB716" s="377">
        <f t="shared" si="272"/>
        <v>0</v>
      </c>
      <c r="AC716" s="377">
        <f t="shared" si="273"/>
        <v>0</v>
      </c>
      <c r="AD716" s="376"/>
      <c r="AE716" s="332">
        <v>701</v>
      </c>
      <c r="AF716" s="350">
        <v>7402956.1448570797</v>
      </c>
      <c r="AG716" s="350">
        <v>45727.858720644181</v>
      </c>
      <c r="AH716" s="350">
        <v>43782.8201549195</v>
      </c>
      <c r="AI716" s="350">
        <v>41785.443680451099</v>
      </c>
      <c r="AJ716" s="350">
        <v>39735.831320456178</v>
      </c>
      <c r="AK716" s="348">
        <v>7573988.0987335509</v>
      </c>
      <c r="AL716" s="369"/>
      <c r="AM716" s="350">
        <v>9541104.6383017264</v>
      </c>
      <c r="AN716" s="350">
        <v>2210290.9223231627</v>
      </c>
      <c r="AO716" s="350">
        <v>2233075.134754579</v>
      </c>
      <c r="AP716" s="350">
        <v>2254061.2244222565</v>
      </c>
      <c r="AQ716" s="350">
        <v>2273188.9749887027</v>
      </c>
      <c r="AR716" s="348">
        <v>18511720.89479043</v>
      </c>
      <c r="AS716" s="369"/>
      <c r="AT716" s="350">
        <f t="shared" si="291"/>
        <v>2138148.4934446467</v>
      </c>
      <c r="AU716" s="350">
        <f t="shared" si="274"/>
        <v>2164563.0636025183</v>
      </c>
      <c r="AV716" s="350">
        <f t="shared" si="275"/>
        <v>2189292.3145996598</v>
      </c>
      <c r="AW716" s="350">
        <f t="shared" si="276"/>
        <v>2212275.7807418052</v>
      </c>
      <c r="AX716" s="350">
        <f t="shared" si="277"/>
        <v>2233453.1436682465</v>
      </c>
      <c r="AY716" s="350">
        <f t="shared" si="278"/>
        <v>10937732.796056878</v>
      </c>
      <c r="AZ716" s="365"/>
      <c r="BA716" s="377">
        <f t="shared" si="279"/>
        <v>0</v>
      </c>
      <c r="BB716" s="377">
        <f t="shared" si="280"/>
        <v>0</v>
      </c>
      <c r="BC716" s="377">
        <f t="shared" si="281"/>
        <v>0</v>
      </c>
      <c r="BD716" s="377">
        <f t="shared" si="282"/>
        <v>0</v>
      </c>
      <c r="BE716" s="377">
        <f t="shared" si="283"/>
        <v>0</v>
      </c>
      <c r="BF716" s="377">
        <f t="shared" si="284"/>
        <v>0</v>
      </c>
      <c r="BG716" s="328"/>
    </row>
    <row r="717" spans="2:59">
      <c r="B717" s="332">
        <v>702</v>
      </c>
      <c r="C717" s="350">
        <v>4856300.0669217343</v>
      </c>
      <c r="D717" s="350">
        <v>29997.233405134302</v>
      </c>
      <c r="E717" s="350">
        <v>28721.298395921014</v>
      </c>
      <c r="F717" s="350">
        <v>27411.029995457571</v>
      </c>
      <c r="G717" s="350">
        <v>26066.495130432409</v>
      </c>
      <c r="H717" s="348">
        <v>4968496.1238486804</v>
      </c>
      <c r="I717" s="369"/>
      <c r="J717" s="350">
        <v>6822834.27228049</v>
      </c>
      <c r="K717" s="350">
        <v>2020825.89534376</v>
      </c>
      <c r="L717" s="350">
        <v>2042294.3665850381</v>
      </c>
      <c r="M717" s="350">
        <v>2062122.8415715769</v>
      </c>
      <c r="N717" s="350">
        <v>2080255.9102040797</v>
      </c>
      <c r="O717" s="348">
        <v>15028333.285984945</v>
      </c>
      <c r="P717" s="369"/>
      <c r="Q717" s="350">
        <f t="shared" si="285"/>
        <v>1966534.2053587558</v>
      </c>
      <c r="R717" s="350">
        <f t="shared" si="286"/>
        <v>1990828.6619386256</v>
      </c>
      <c r="S717" s="350">
        <f t="shared" si="287"/>
        <v>2013573.0681891171</v>
      </c>
      <c r="T717" s="350">
        <f t="shared" si="288"/>
        <v>2034711.8115761194</v>
      </c>
      <c r="U717" s="350">
        <f t="shared" si="289"/>
        <v>2054189.4150736474</v>
      </c>
      <c r="V717" s="350">
        <f t="shared" si="290"/>
        <v>10059837.162136264</v>
      </c>
      <c r="W717" s="365"/>
      <c r="X717" s="377">
        <f t="shared" si="268"/>
        <v>0</v>
      </c>
      <c r="Y717" s="377">
        <f t="shared" si="269"/>
        <v>0</v>
      </c>
      <c r="Z717" s="377">
        <f t="shared" si="270"/>
        <v>0</v>
      </c>
      <c r="AA717" s="377">
        <f t="shared" si="271"/>
        <v>0</v>
      </c>
      <c r="AB717" s="377">
        <f t="shared" si="272"/>
        <v>0</v>
      </c>
      <c r="AC717" s="377">
        <f t="shared" si="273"/>
        <v>0</v>
      </c>
      <c r="AD717" s="376"/>
      <c r="AE717" s="332">
        <v>702</v>
      </c>
      <c r="AF717" s="350">
        <v>6761301.0380044179</v>
      </c>
      <c r="AG717" s="350">
        <v>41764.372580864467</v>
      </c>
      <c r="AH717" s="350">
        <v>39987.921253034816</v>
      </c>
      <c r="AI717" s="350">
        <v>38163.668432156664</v>
      </c>
      <c r="AJ717" s="350">
        <v>36291.707298522713</v>
      </c>
      <c r="AK717" s="348">
        <v>6917508.7075689966</v>
      </c>
      <c r="AL717" s="369"/>
      <c r="AM717" s="350">
        <v>8959822.6519173458</v>
      </c>
      <c r="AN717" s="350">
        <v>2267446.4028972127</v>
      </c>
      <c r="AO717" s="350">
        <v>2291097.4618568011</v>
      </c>
      <c r="AP717" s="350">
        <v>2312905.6401935648</v>
      </c>
      <c r="AQ717" s="350">
        <v>2332809.0095677045</v>
      </c>
      <c r="AR717" s="348">
        <v>18164081.16643263</v>
      </c>
      <c r="AS717" s="369"/>
      <c r="AT717" s="350">
        <f t="shared" si="291"/>
        <v>2198521.6139129279</v>
      </c>
      <c r="AU717" s="350">
        <f t="shared" si="274"/>
        <v>2225682.0303163482</v>
      </c>
      <c r="AV717" s="350">
        <f t="shared" si="275"/>
        <v>2251109.5406037662</v>
      </c>
      <c r="AW717" s="350">
        <f t="shared" si="276"/>
        <v>2274741.9717614083</v>
      </c>
      <c r="AX717" s="350">
        <f t="shared" si="277"/>
        <v>2296517.3022691817</v>
      </c>
      <c r="AY717" s="350">
        <f t="shared" si="278"/>
        <v>11246572.458863635</v>
      </c>
      <c r="AZ717" s="365"/>
      <c r="BA717" s="377">
        <f t="shared" si="279"/>
        <v>0</v>
      </c>
      <c r="BB717" s="377">
        <f t="shared" si="280"/>
        <v>0</v>
      </c>
      <c r="BC717" s="377">
        <f t="shared" si="281"/>
        <v>0</v>
      </c>
      <c r="BD717" s="377">
        <f t="shared" si="282"/>
        <v>0</v>
      </c>
      <c r="BE717" s="377">
        <f t="shared" si="283"/>
        <v>0</v>
      </c>
      <c r="BF717" s="377">
        <f t="shared" si="284"/>
        <v>0</v>
      </c>
      <c r="BG717" s="328"/>
    </row>
    <row r="718" spans="2:59">
      <c r="B718" s="332">
        <v>703</v>
      </c>
      <c r="C718" s="350">
        <v>6233997.7362299357</v>
      </c>
      <c r="D718" s="350">
        <v>38507.234430286189</v>
      </c>
      <c r="E718" s="350">
        <v>36869.32576537678</v>
      </c>
      <c r="F718" s="350">
        <v>35187.343571158279</v>
      </c>
      <c r="G718" s="350">
        <v>33461.373760942755</v>
      </c>
      <c r="H718" s="348">
        <v>6378023.0137576992</v>
      </c>
      <c r="I718" s="369"/>
      <c r="J718" s="350">
        <v>8899288.6896907277</v>
      </c>
      <c r="K718" s="350">
        <v>2736725.0473197768</v>
      </c>
      <c r="L718" s="350">
        <v>2765913.1777118444</v>
      </c>
      <c r="M718" s="350">
        <v>2792881.0412021708</v>
      </c>
      <c r="N718" s="350">
        <v>2817553.5343607599</v>
      </c>
      <c r="O718" s="348">
        <v>20012361.490285277</v>
      </c>
      <c r="P718" s="369"/>
      <c r="Q718" s="350">
        <f t="shared" si="285"/>
        <v>2665290.9534607921</v>
      </c>
      <c r="R718" s="350">
        <f t="shared" si="286"/>
        <v>2698217.8128894907</v>
      </c>
      <c r="S718" s="350">
        <f t="shared" si="287"/>
        <v>2729043.8519464675</v>
      </c>
      <c r="T718" s="350">
        <f t="shared" si="288"/>
        <v>2757693.6976310126</v>
      </c>
      <c r="U718" s="350">
        <f t="shared" si="289"/>
        <v>2784092.1605998171</v>
      </c>
      <c r="V718" s="350">
        <f t="shared" si="290"/>
        <v>13634338.476527579</v>
      </c>
      <c r="W718" s="365"/>
      <c r="X718" s="377">
        <f t="shared" si="268"/>
        <v>0</v>
      </c>
      <c r="Y718" s="377">
        <f t="shared" si="269"/>
        <v>0</v>
      </c>
      <c r="Z718" s="377">
        <f t="shared" si="270"/>
        <v>0</v>
      </c>
      <c r="AA718" s="377">
        <f t="shared" si="271"/>
        <v>0</v>
      </c>
      <c r="AB718" s="377">
        <f t="shared" si="272"/>
        <v>0</v>
      </c>
      <c r="AC718" s="377">
        <f t="shared" si="273"/>
        <v>0</v>
      </c>
      <c r="AD718" s="376"/>
      <c r="AE718" s="332">
        <v>703</v>
      </c>
      <c r="AF718" s="350">
        <v>5041780.9363285266</v>
      </c>
      <c r="AG718" s="350">
        <v>31142.943689734584</v>
      </c>
      <c r="AH718" s="350">
        <v>29818.275790965403</v>
      </c>
      <c r="AI718" s="350">
        <v>28457.963176033445</v>
      </c>
      <c r="AJ718" s="350">
        <v>27062.075327816692</v>
      </c>
      <c r="AK718" s="348">
        <v>5158262.1943130763</v>
      </c>
      <c r="AL718" s="369"/>
      <c r="AM718" s="350">
        <v>6962561.7024433101</v>
      </c>
      <c r="AN718" s="350">
        <v>1975652.9308852728</v>
      </c>
      <c r="AO718" s="350">
        <v>1996543.4972517379</v>
      </c>
      <c r="AP718" s="350">
        <v>2015830.1134351713</v>
      </c>
      <c r="AQ718" s="350">
        <v>2033458.6626224834</v>
      </c>
      <c r="AR718" s="348">
        <v>14984046.906637976</v>
      </c>
      <c r="AS718" s="369"/>
      <c r="AT718" s="350">
        <f t="shared" si="291"/>
        <v>1920780.7661147835</v>
      </c>
      <c r="AU718" s="350">
        <f t="shared" si="274"/>
        <v>1944509.9871955381</v>
      </c>
      <c r="AV718" s="350">
        <f t="shared" si="275"/>
        <v>1966725.2214607724</v>
      </c>
      <c r="AW718" s="350">
        <f t="shared" si="276"/>
        <v>1987372.1502591379</v>
      </c>
      <c r="AX718" s="350">
        <f t="shared" si="277"/>
        <v>2006396.5872946668</v>
      </c>
      <c r="AY718" s="350">
        <f t="shared" si="278"/>
        <v>9825784.7123248987</v>
      </c>
      <c r="AZ718" s="365"/>
      <c r="BA718" s="377">
        <f t="shared" si="279"/>
        <v>0</v>
      </c>
      <c r="BB718" s="377">
        <f t="shared" si="280"/>
        <v>0</v>
      </c>
      <c r="BC718" s="377">
        <f t="shared" si="281"/>
        <v>0</v>
      </c>
      <c r="BD718" s="377">
        <f t="shared" si="282"/>
        <v>0</v>
      </c>
      <c r="BE718" s="377">
        <f t="shared" si="283"/>
        <v>0</v>
      </c>
      <c r="BF718" s="377">
        <f t="shared" si="284"/>
        <v>0</v>
      </c>
      <c r="BG718" s="328"/>
    </row>
    <row r="719" spans="2:59">
      <c r="B719" s="332">
        <v>704</v>
      </c>
      <c r="C719" s="350">
        <v>7063982.9532850273</v>
      </c>
      <c r="D719" s="350">
        <v>43634.030537551305</v>
      </c>
      <c r="E719" s="350">
        <v>41778.053141104188</v>
      </c>
      <c r="F719" s="350">
        <v>39872.134330988774</v>
      </c>
      <c r="G719" s="350">
        <v>37916.371458894297</v>
      </c>
      <c r="H719" s="348">
        <v>7227183.5427535661</v>
      </c>
      <c r="I719" s="369"/>
      <c r="J719" s="350">
        <v>8747031.884274831</v>
      </c>
      <c r="K719" s="350">
        <v>1747475.2564512407</v>
      </c>
      <c r="L719" s="350">
        <v>1765084.9707887992</v>
      </c>
      <c r="M719" s="350">
        <v>1781270.5448004252</v>
      </c>
      <c r="N719" s="350">
        <v>1795984.5960894213</v>
      </c>
      <c r="O719" s="348">
        <v>15836847.252404716</v>
      </c>
      <c r="P719" s="369"/>
      <c r="Q719" s="350">
        <f t="shared" si="285"/>
        <v>1683048.9309898037</v>
      </c>
      <c r="R719" s="350">
        <f t="shared" si="286"/>
        <v>1703841.2259136895</v>
      </c>
      <c r="S719" s="350">
        <f t="shared" si="287"/>
        <v>1723306.9176476949</v>
      </c>
      <c r="T719" s="350">
        <f t="shared" si="288"/>
        <v>1741398.4104694363</v>
      </c>
      <c r="U719" s="350">
        <f t="shared" si="289"/>
        <v>1758068.224630527</v>
      </c>
      <c r="V719" s="350">
        <f t="shared" si="290"/>
        <v>8609663.7096511498</v>
      </c>
      <c r="W719" s="365"/>
      <c r="X719" s="377">
        <f t="shared" si="268"/>
        <v>0</v>
      </c>
      <c r="Y719" s="377">
        <f t="shared" si="269"/>
        <v>0</v>
      </c>
      <c r="Z719" s="377">
        <f t="shared" si="270"/>
        <v>0</v>
      </c>
      <c r="AA719" s="377">
        <f t="shared" si="271"/>
        <v>0</v>
      </c>
      <c r="AB719" s="377">
        <f t="shared" si="272"/>
        <v>0</v>
      </c>
      <c r="AC719" s="377">
        <f t="shared" si="273"/>
        <v>0</v>
      </c>
      <c r="AD719" s="376"/>
      <c r="AE719" s="332">
        <v>704</v>
      </c>
      <c r="AF719" s="350">
        <v>4634484.0287104333</v>
      </c>
      <c r="AG719" s="350">
        <v>28627.081771269975</v>
      </c>
      <c r="AH719" s="350">
        <v>27409.426284503825</v>
      </c>
      <c r="AI719" s="350">
        <v>26159.005616178241</v>
      </c>
      <c r="AJ719" s="350">
        <v>24875.883636041075</v>
      </c>
      <c r="AK719" s="348">
        <v>4741555.4260184262</v>
      </c>
      <c r="AL719" s="369"/>
      <c r="AM719" s="350">
        <v>6408139.010311218</v>
      </c>
      <c r="AN719" s="350">
        <v>1824193.7005155887</v>
      </c>
      <c r="AO719" s="350">
        <v>1843489.6620001453</v>
      </c>
      <c r="AP719" s="350">
        <v>1861304.6801179706</v>
      </c>
      <c r="AQ719" s="350">
        <v>1877588.782943225</v>
      </c>
      <c r="AR719" s="348">
        <v>13814715.835888147</v>
      </c>
      <c r="AS719" s="369"/>
      <c r="AT719" s="350">
        <f t="shared" si="291"/>
        <v>1773654.9816007847</v>
      </c>
      <c r="AU719" s="350">
        <f t="shared" si="274"/>
        <v>1795566.6187443188</v>
      </c>
      <c r="AV719" s="350">
        <f t="shared" si="275"/>
        <v>1816080.2357156414</v>
      </c>
      <c r="AW719" s="350">
        <f t="shared" si="276"/>
        <v>1835145.6745017923</v>
      </c>
      <c r="AX719" s="350">
        <f t="shared" si="277"/>
        <v>1852712.8993071839</v>
      </c>
      <c r="AY719" s="350">
        <f t="shared" si="278"/>
        <v>9073160.4098697212</v>
      </c>
      <c r="AZ719" s="365"/>
      <c r="BA719" s="377">
        <f t="shared" si="279"/>
        <v>0</v>
      </c>
      <c r="BB719" s="377">
        <f t="shared" si="280"/>
        <v>0</v>
      </c>
      <c r="BC719" s="377">
        <f t="shared" si="281"/>
        <v>0</v>
      </c>
      <c r="BD719" s="377">
        <f t="shared" si="282"/>
        <v>0</v>
      </c>
      <c r="BE719" s="377">
        <f t="shared" si="283"/>
        <v>0</v>
      </c>
      <c r="BF719" s="377">
        <f t="shared" si="284"/>
        <v>0</v>
      </c>
      <c r="BG719" s="328"/>
    </row>
    <row r="720" spans="2:59">
      <c r="B720" s="332">
        <v>705</v>
      </c>
      <c r="C720" s="350">
        <v>5711970.4703765837</v>
      </c>
      <c r="D720" s="350">
        <v>35282.686210066604</v>
      </c>
      <c r="E720" s="350">
        <v>33781.933992469014</v>
      </c>
      <c r="F720" s="350">
        <v>32240.798908438923</v>
      </c>
      <c r="G720" s="350">
        <v>30659.359677009277</v>
      </c>
      <c r="H720" s="348">
        <v>5843935.2491645673</v>
      </c>
      <c r="I720" s="369"/>
      <c r="J720" s="350">
        <v>7370289.8453347962</v>
      </c>
      <c r="K720" s="350">
        <v>1714088.848502411</v>
      </c>
      <c r="L720" s="350">
        <v>1731767.7726180956</v>
      </c>
      <c r="M720" s="350">
        <v>1748052.3064827244</v>
      </c>
      <c r="N720" s="350">
        <v>1762895.7467014862</v>
      </c>
      <c r="O720" s="348">
        <v>14327094.519639514</v>
      </c>
      <c r="P720" s="369"/>
      <c r="Q720" s="350">
        <f t="shared" si="285"/>
        <v>1658319.3749582125</v>
      </c>
      <c r="R720" s="350">
        <f t="shared" si="286"/>
        <v>1678806.1622923445</v>
      </c>
      <c r="S720" s="350">
        <f t="shared" si="287"/>
        <v>1697985.8386256266</v>
      </c>
      <c r="T720" s="350">
        <f t="shared" si="288"/>
        <v>1715811.5075742854</v>
      </c>
      <c r="U720" s="350">
        <f t="shared" si="289"/>
        <v>1732236.3870244769</v>
      </c>
      <c r="V720" s="350">
        <f t="shared" si="290"/>
        <v>8483159.270474948</v>
      </c>
      <c r="W720" s="365"/>
      <c r="X720" s="377">
        <f t="shared" ref="X720:X783" si="292">IF(Q720&lt;Q$8,1,0)</f>
        <v>0</v>
      </c>
      <c r="Y720" s="377">
        <f t="shared" ref="Y720:Y783" si="293">IF(R720&lt;R$8,1,0)</f>
        <v>0</v>
      </c>
      <c r="Z720" s="377">
        <f t="shared" ref="Z720:Z783" si="294">IF(S720&lt;S$8,1,0)</f>
        <v>0</v>
      </c>
      <c r="AA720" s="377">
        <f t="shared" ref="AA720:AA783" si="295">IF(T720&lt;T$8,1,0)</f>
        <v>0</v>
      </c>
      <c r="AB720" s="377">
        <f t="shared" ref="AB720:AB783" si="296">IF(U720&lt;U$8,1,0)</f>
        <v>0</v>
      </c>
      <c r="AC720" s="377">
        <f t="shared" ref="AC720:AC783" si="297">IF(V720&lt;V$8,1,0)</f>
        <v>0</v>
      </c>
      <c r="AD720" s="376"/>
      <c r="AE720" s="332">
        <v>705</v>
      </c>
      <c r="AF720" s="350">
        <v>4677311.5690898765</v>
      </c>
      <c r="AG720" s="350">
        <v>28891.626323135857</v>
      </c>
      <c r="AH720" s="350">
        <v>27662.718410165755</v>
      </c>
      <c r="AI720" s="350">
        <v>26400.742530659507</v>
      </c>
      <c r="AJ720" s="350">
        <v>25105.76314458956</v>
      </c>
      <c r="AK720" s="348">
        <v>4785372.4194984278</v>
      </c>
      <c r="AL720" s="369"/>
      <c r="AM720" s="350">
        <v>6960817.0800266126</v>
      </c>
      <c r="AN720" s="350">
        <v>2340607.4401034098</v>
      </c>
      <c r="AO720" s="350">
        <v>2365788.943397352</v>
      </c>
      <c r="AP720" s="350">
        <v>2389072.9107752587</v>
      </c>
      <c r="AQ720" s="350">
        <v>2410394.9877339182</v>
      </c>
      <c r="AR720" s="348">
        <v>16466681.362036552</v>
      </c>
      <c r="AS720" s="369"/>
      <c r="AT720" s="350">
        <f t="shared" si="291"/>
        <v>2283505.5109367361</v>
      </c>
      <c r="AU720" s="350">
        <f t="shared" ref="AU720:AU783" si="298">AN720-AG720</f>
        <v>2311715.8137802738</v>
      </c>
      <c r="AV720" s="350">
        <f t="shared" ref="AV720:AV783" si="299">AO720-AH720</f>
        <v>2338126.224987186</v>
      </c>
      <c r="AW720" s="350">
        <f t="shared" ref="AW720:AW783" si="300">AP720-AI720</f>
        <v>2362672.1682445994</v>
      </c>
      <c r="AX720" s="350">
        <f t="shared" ref="AX720:AX783" si="301">AQ720-AJ720</f>
        <v>2385289.2245893287</v>
      </c>
      <c r="AY720" s="350">
        <f t="shared" ref="AY720:AY783" si="302">AR720-AK720</f>
        <v>11681308.942538124</v>
      </c>
      <c r="AZ720" s="365"/>
      <c r="BA720" s="377">
        <f t="shared" ref="BA720:BA783" si="303">IF(AT720&lt;AT$8,1,0)</f>
        <v>0</v>
      </c>
      <c r="BB720" s="377">
        <f t="shared" ref="BB720:BB783" si="304">IF(AU720&lt;AU$8,1,0)</f>
        <v>0</v>
      </c>
      <c r="BC720" s="377">
        <f t="shared" ref="BC720:BC783" si="305">IF(AV720&lt;AV$8,1,0)</f>
        <v>0</v>
      </c>
      <c r="BD720" s="377">
        <f t="shared" ref="BD720:BD783" si="306">IF(AW720&lt;AW$8,1,0)</f>
        <v>0</v>
      </c>
      <c r="BE720" s="377">
        <f t="shared" ref="BE720:BE783" si="307">IF(AX720&lt;AX$8,1,0)</f>
        <v>0</v>
      </c>
      <c r="BF720" s="377">
        <f t="shared" ref="BF720:BF783" si="308">IF(AY720&lt;AY$8,1,0)</f>
        <v>0</v>
      </c>
      <c r="BG720" s="328"/>
    </row>
    <row r="721" spans="2:59">
      <c r="B721" s="332">
        <v>706</v>
      </c>
      <c r="C721" s="350">
        <v>6427395.3142115325</v>
      </c>
      <c r="D721" s="350">
        <v>39701.846008391512</v>
      </c>
      <c r="E721" s="350">
        <v>38013.124433028257</v>
      </c>
      <c r="F721" s="350">
        <v>36278.962033371208</v>
      </c>
      <c r="G721" s="350">
        <v>34499.447388029905</v>
      </c>
      <c r="H721" s="348">
        <v>6575888.6940743532</v>
      </c>
      <c r="I721" s="369"/>
      <c r="J721" s="350">
        <v>7844389.9221905582</v>
      </c>
      <c r="K721" s="350">
        <v>1474201.9282800329</v>
      </c>
      <c r="L721" s="350">
        <v>1488901.7856222438</v>
      </c>
      <c r="M721" s="350">
        <v>1502399.2349165054</v>
      </c>
      <c r="N721" s="350">
        <v>1514654.3905337707</v>
      </c>
      <c r="O721" s="348">
        <v>13824547.26154311</v>
      </c>
      <c r="P721" s="369"/>
      <c r="Q721" s="350">
        <f t="shared" ref="Q721:Q784" si="309">J721-C721</f>
        <v>1416994.6079790257</v>
      </c>
      <c r="R721" s="350">
        <f t="shared" ref="R721:R784" si="310">K721-D721</f>
        <v>1434500.0822716414</v>
      </c>
      <c r="S721" s="350">
        <f t="shared" ref="S721:S784" si="311">L721-E721</f>
        <v>1450888.6611892155</v>
      </c>
      <c r="T721" s="350">
        <f t="shared" ref="T721:T784" si="312">M721-F721</f>
        <v>1466120.2728831342</v>
      </c>
      <c r="U721" s="350">
        <f t="shared" ref="U721:U784" si="313">N721-G721</f>
        <v>1480154.9431457408</v>
      </c>
      <c r="V721" s="350">
        <f t="shared" ref="V721:V784" si="314">O721-H721</f>
        <v>7248658.5674687568</v>
      </c>
      <c r="W721" s="365"/>
      <c r="X721" s="377">
        <f t="shared" si="292"/>
        <v>0</v>
      </c>
      <c r="Y721" s="377">
        <f t="shared" si="293"/>
        <v>0</v>
      </c>
      <c r="Z721" s="377">
        <f t="shared" si="294"/>
        <v>0</v>
      </c>
      <c r="AA721" s="377">
        <f t="shared" si="295"/>
        <v>0</v>
      </c>
      <c r="AB721" s="377">
        <f t="shared" si="296"/>
        <v>0</v>
      </c>
      <c r="AC721" s="377">
        <f t="shared" si="297"/>
        <v>0</v>
      </c>
      <c r="AD721" s="376"/>
      <c r="AE721" s="332">
        <v>706</v>
      </c>
      <c r="AF721" s="350">
        <v>6192180.8049358856</v>
      </c>
      <c r="AG721" s="350">
        <v>38248.932383248248</v>
      </c>
      <c r="AH721" s="350">
        <v>36622.010619040404</v>
      </c>
      <c r="AI721" s="350">
        <v>34951.310965631237</v>
      </c>
      <c r="AJ721" s="350">
        <v>33236.918760032386</v>
      </c>
      <c r="AK721" s="348">
        <v>6335239.9776638383</v>
      </c>
      <c r="AL721" s="369"/>
      <c r="AM721" s="350">
        <v>8029360.2875330066</v>
      </c>
      <c r="AN721" s="350">
        <v>1898124.8303530375</v>
      </c>
      <c r="AO721" s="350">
        <v>1917746.2328709054</v>
      </c>
      <c r="AP721" s="350">
        <v>1935823.8119571505</v>
      </c>
      <c r="AQ721" s="350">
        <v>1952305.8250916195</v>
      </c>
      <c r="AR721" s="348">
        <v>15733360.987805719</v>
      </c>
      <c r="AS721" s="369"/>
      <c r="AT721" s="350">
        <f t="shared" ref="AT721:AT784" si="315">AM721-AF721</f>
        <v>1837179.482597121</v>
      </c>
      <c r="AU721" s="350">
        <f t="shared" si="298"/>
        <v>1859875.8979697891</v>
      </c>
      <c r="AV721" s="350">
        <f t="shared" si="299"/>
        <v>1881124.2222518651</v>
      </c>
      <c r="AW721" s="350">
        <f t="shared" si="300"/>
        <v>1900872.5009915193</v>
      </c>
      <c r="AX721" s="350">
        <f t="shared" si="301"/>
        <v>1919068.9063315871</v>
      </c>
      <c r="AY721" s="350">
        <f t="shared" si="302"/>
        <v>9398121.0101418793</v>
      </c>
      <c r="AZ721" s="365"/>
      <c r="BA721" s="377">
        <f t="shared" si="303"/>
        <v>0</v>
      </c>
      <c r="BB721" s="377">
        <f t="shared" si="304"/>
        <v>0</v>
      </c>
      <c r="BC721" s="377">
        <f t="shared" si="305"/>
        <v>0</v>
      </c>
      <c r="BD721" s="377">
        <f t="shared" si="306"/>
        <v>0</v>
      </c>
      <c r="BE721" s="377">
        <f t="shared" si="307"/>
        <v>0</v>
      </c>
      <c r="BF721" s="377">
        <f t="shared" si="308"/>
        <v>0</v>
      </c>
      <c r="BG721" s="328"/>
    </row>
    <row r="722" spans="2:59">
      <c r="B722" s="332">
        <v>707</v>
      </c>
      <c r="C722" s="350">
        <v>4515765.6382001396</v>
      </c>
      <c r="D722" s="350">
        <v>27893.76150264054</v>
      </c>
      <c r="E722" s="350">
        <v>26707.297859171278</v>
      </c>
      <c r="F722" s="350">
        <v>25488.908357266962</v>
      </c>
      <c r="G722" s="350">
        <v>24238.655230571836</v>
      </c>
      <c r="H722" s="348">
        <v>4620094.2611497901</v>
      </c>
      <c r="I722" s="369"/>
      <c r="J722" s="350">
        <v>6244848.7575262766</v>
      </c>
      <c r="K722" s="350">
        <v>1778337.8796107909</v>
      </c>
      <c r="L722" s="350">
        <v>1797149.5267551513</v>
      </c>
      <c r="M722" s="350">
        <v>1814517.4625023233</v>
      </c>
      <c r="N722" s="350">
        <v>1830392.9706874478</v>
      </c>
      <c r="O722" s="348">
        <v>13465246.597081989</v>
      </c>
      <c r="P722" s="369"/>
      <c r="Q722" s="350">
        <f t="shared" si="309"/>
        <v>1729083.119326137</v>
      </c>
      <c r="R722" s="350">
        <f t="shared" si="310"/>
        <v>1750444.1181081503</v>
      </c>
      <c r="S722" s="350">
        <f t="shared" si="311"/>
        <v>1770442.2288959802</v>
      </c>
      <c r="T722" s="350">
        <f t="shared" si="312"/>
        <v>1789028.5541450563</v>
      </c>
      <c r="U722" s="350">
        <f t="shared" si="313"/>
        <v>1806154.3154568761</v>
      </c>
      <c r="V722" s="350">
        <f t="shared" si="314"/>
        <v>8845152.3359321989</v>
      </c>
      <c r="W722" s="365"/>
      <c r="X722" s="377">
        <f t="shared" si="292"/>
        <v>0</v>
      </c>
      <c r="Y722" s="377">
        <f t="shared" si="293"/>
        <v>0</v>
      </c>
      <c r="Z722" s="377">
        <f t="shared" si="294"/>
        <v>0</v>
      </c>
      <c r="AA722" s="377">
        <f t="shared" si="295"/>
        <v>0</v>
      </c>
      <c r="AB722" s="377">
        <f t="shared" si="296"/>
        <v>0</v>
      </c>
      <c r="AC722" s="377">
        <f t="shared" si="297"/>
        <v>0</v>
      </c>
      <c r="AD722" s="376"/>
      <c r="AE722" s="332">
        <v>707</v>
      </c>
      <c r="AF722" s="350">
        <v>5073260.4562253039</v>
      </c>
      <c r="AG722" s="350">
        <v>31337.391827784792</v>
      </c>
      <c r="AH722" s="350">
        <v>30004.453060051212</v>
      </c>
      <c r="AI722" s="350">
        <v>28635.647020161385</v>
      </c>
      <c r="AJ722" s="350">
        <v>27231.04362482957</v>
      </c>
      <c r="AK722" s="348">
        <v>5190468.9917581305</v>
      </c>
      <c r="AL722" s="369"/>
      <c r="AM722" s="350">
        <v>6834618.8402459901</v>
      </c>
      <c r="AN722" s="350">
        <v>1814455.5014945199</v>
      </c>
      <c r="AO722" s="350">
        <v>1833493.9605543506</v>
      </c>
      <c r="AP722" s="350">
        <v>1851058.4142517671</v>
      </c>
      <c r="AQ722" s="350">
        <v>1867099.2436017785</v>
      </c>
      <c r="AR722" s="348">
        <v>14200725.960148405</v>
      </c>
      <c r="AS722" s="369"/>
      <c r="AT722" s="350">
        <f t="shared" si="315"/>
        <v>1761358.3840206861</v>
      </c>
      <c r="AU722" s="350">
        <f t="shared" si="298"/>
        <v>1783118.1096667352</v>
      </c>
      <c r="AV722" s="350">
        <f t="shared" si="299"/>
        <v>1803489.5074942994</v>
      </c>
      <c r="AW722" s="350">
        <f t="shared" si="300"/>
        <v>1822422.7672316057</v>
      </c>
      <c r="AX722" s="350">
        <f t="shared" si="301"/>
        <v>1839868.199976949</v>
      </c>
      <c r="AY722" s="350">
        <f t="shared" si="302"/>
        <v>9010256.9683902748</v>
      </c>
      <c r="AZ722" s="365"/>
      <c r="BA722" s="377">
        <f t="shared" si="303"/>
        <v>0</v>
      </c>
      <c r="BB722" s="377">
        <f t="shared" si="304"/>
        <v>0</v>
      </c>
      <c r="BC722" s="377">
        <f t="shared" si="305"/>
        <v>0</v>
      </c>
      <c r="BD722" s="377">
        <f t="shared" si="306"/>
        <v>0</v>
      </c>
      <c r="BE722" s="377">
        <f t="shared" si="307"/>
        <v>0</v>
      </c>
      <c r="BF722" s="377">
        <f t="shared" si="308"/>
        <v>0</v>
      </c>
      <c r="BG722" s="328"/>
    </row>
    <row r="723" spans="2:59">
      <c r="B723" s="332">
        <v>708</v>
      </c>
      <c r="C723" s="350">
        <v>4933466.0238614269</v>
      </c>
      <c r="D723" s="350">
        <v>30473.885421967938</v>
      </c>
      <c r="E723" s="350">
        <v>29177.675976533857</v>
      </c>
      <c r="F723" s="350">
        <v>27846.587586865422</v>
      </c>
      <c r="G723" s="350">
        <v>26480.688243107506</v>
      </c>
      <c r="H723" s="348">
        <v>5047444.861089902</v>
      </c>
      <c r="I723" s="369"/>
      <c r="J723" s="350">
        <v>6615399.4866810422</v>
      </c>
      <c r="K723" s="350">
        <v>1733185.8627323844</v>
      </c>
      <c r="L723" s="350">
        <v>1751342.4438158004</v>
      </c>
      <c r="M723" s="350">
        <v>1768090.8578155006</v>
      </c>
      <c r="N723" s="350">
        <v>1783383.7244412098</v>
      </c>
      <c r="O723" s="348">
        <v>13651402.375485936</v>
      </c>
      <c r="P723" s="369"/>
      <c r="Q723" s="350">
        <f t="shared" si="309"/>
        <v>1681933.4628196154</v>
      </c>
      <c r="R723" s="350">
        <f t="shared" si="310"/>
        <v>1702711.9773104165</v>
      </c>
      <c r="S723" s="350">
        <f t="shared" si="311"/>
        <v>1722164.7678392665</v>
      </c>
      <c r="T723" s="350">
        <f t="shared" si="312"/>
        <v>1740244.2702286351</v>
      </c>
      <c r="U723" s="350">
        <f t="shared" si="313"/>
        <v>1756903.0361981024</v>
      </c>
      <c r="V723" s="350">
        <f t="shared" si="314"/>
        <v>8603957.5143960342</v>
      </c>
      <c r="W723" s="365"/>
      <c r="X723" s="377">
        <f t="shared" si="292"/>
        <v>0</v>
      </c>
      <c r="Y723" s="377">
        <f t="shared" si="293"/>
        <v>0</v>
      </c>
      <c r="Z723" s="377">
        <f t="shared" si="294"/>
        <v>0</v>
      </c>
      <c r="AA723" s="377">
        <f t="shared" si="295"/>
        <v>0</v>
      </c>
      <c r="AB723" s="377">
        <f t="shared" si="296"/>
        <v>0</v>
      </c>
      <c r="AC723" s="377">
        <f t="shared" si="297"/>
        <v>0</v>
      </c>
      <c r="AD723" s="376"/>
      <c r="AE723" s="332">
        <v>708</v>
      </c>
      <c r="AF723" s="350">
        <v>5522778.0345422374</v>
      </c>
      <c r="AG723" s="350">
        <v>34114.049680608332</v>
      </c>
      <c r="AH723" s="350">
        <v>32663.005522447478</v>
      </c>
      <c r="AI723" s="350">
        <v>31172.916063039895</v>
      </c>
      <c r="AJ723" s="350">
        <v>29643.857414088703</v>
      </c>
      <c r="AK723" s="348">
        <v>5650371.8632224221</v>
      </c>
      <c r="AL723" s="369"/>
      <c r="AM723" s="350">
        <v>6953142.8607320059</v>
      </c>
      <c r="AN723" s="350">
        <v>1482149.5251113346</v>
      </c>
      <c r="AO723" s="350">
        <v>1497241.6962222611</v>
      </c>
      <c r="AP723" s="350">
        <v>1511126.9381088456</v>
      </c>
      <c r="AQ723" s="350">
        <v>1523764.9754938295</v>
      </c>
      <c r="AR723" s="348">
        <v>12967425.995668277</v>
      </c>
      <c r="AS723" s="369"/>
      <c r="AT723" s="350">
        <f t="shared" si="315"/>
        <v>1430364.8261897685</v>
      </c>
      <c r="AU723" s="350">
        <f t="shared" si="298"/>
        <v>1448035.4754307263</v>
      </c>
      <c r="AV723" s="350">
        <f t="shared" si="299"/>
        <v>1464578.6906998137</v>
      </c>
      <c r="AW723" s="350">
        <f t="shared" si="300"/>
        <v>1479954.0220458058</v>
      </c>
      <c r="AX723" s="350">
        <f t="shared" si="301"/>
        <v>1494121.1180797408</v>
      </c>
      <c r="AY723" s="350">
        <f t="shared" si="302"/>
        <v>7317054.1324458551</v>
      </c>
      <c r="AZ723" s="365"/>
      <c r="BA723" s="377">
        <f t="shared" si="303"/>
        <v>0</v>
      </c>
      <c r="BB723" s="377">
        <f t="shared" si="304"/>
        <v>0</v>
      </c>
      <c r="BC723" s="377">
        <f t="shared" si="305"/>
        <v>0</v>
      </c>
      <c r="BD723" s="377">
        <f t="shared" si="306"/>
        <v>0</v>
      </c>
      <c r="BE723" s="377">
        <f t="shared" si="307"/>
        <v>0</v>
      </c>
      <c r="BF723" s="377">
        <f t="shared" si="308"/>
        <v>0</v>
      </c>
      <c r="BG723" s="328"/>
    </row>
    <row r="724" spans="2:59">
      <c r="B724" s="332">
        <v>709</v>
      </c>
      <c r="C724" s="350">
        <v>6927260.2608809974</v>
      </c>
      <c r="D724" s="350">
        <v>42789.498185905562</v>
      </c>
      <c r="E724" s="350">
        <v>40969.443048662193</v>
      </c>
      <c r="F724" s="350">
        <v>39100.413108884866</v>
      </c>
      <c r="G724" s="350">
        <v>37182.503834025607</v>
      </c>
      <c r="H724" s="348">
        <v>7087302.1190584768</v>
      </c>
      <c r="I724" s="369"/>
      <c r="J724" s="350">
        <v>8963384.3096732069</v>
      </c>
      <c r="K724" s="350">
        <v>2104067.7126975926</v>
      </c>
      <c r="L724" s="350">
        <v>2125796.9212425803</v>
      </c>
      <c r="M724" s="350">
        <v>2145814.672450183</v>
      </c>
      <c r="N724" s="350">
        <v>2164063.6215935946</v>
      </c>
      <c r="O724" s="348">
        <v>17503127.23765716</v>
      </c>
      <c r="P724" s="369"/>
      <c r="Q724" s="350">
        <f t="shared" si="309"/>
        <v>2036124.0487922095</v>
      </c>
      <c r="R724" s="350">
        <f t="shared" si="310"/>
        <v>2061278.2145116869</v>
      </c>
      <c r="S724" s="350">
        <f t="shared" si="311"/>
        <v>2084827.478193918</v>
      </c>
      <c r="T724" s="350">
        <f t="shared" si="312"/>
        <v>2106714.2593412981</v>
      </c>
      <c r="U724" s="350">
        <f t="shared" si="313"/>
        <v>2126881.1177595691</v>
      </c>
      <c r="V724" s="350">
        <f t="shared" si="314"/>
        <v>10415825.118598683</v>
      </c>
      <c r="W724" s="365"/>
      <c r="X724" s="377">
        <f t="shared" si="292"/>
        <v>0</v>
      </c>
      <c r="Y724" s="377">
        <f t="shared" si="293"/>
        <v>0</v>
      </c>
      <c r="Z724" s="377">
        <f t="shared" si="294"/>
        <v>0</v>
      </c>
      <c r="AA724" s="377">
        <f t="shared" si="295"/>
        <v>0</v>
      </c>
      <c r="AB724" s="377">
        <f t="shared" si="296"/>
        <v>0</v>
      </c>
      <c r="AC724" s="377">
        <f t="shared" si="297"/>
        <v>0</v>
      </c>
      <c r="AD724" s="376"/>
      <c r="AE724" s="332">
        <v>709</v>
      </c>
      <c r="AF724" s="350">
        <v>4988288.4871364664</v>
      </c>
      <c r="AG724" s="350">
        <v>30812.522286256797</v>
      </c>
      <c r="AH724" s="350">
        <v>29501.908891473842</v>
      </c>
      <c r="AI724" s="350">
        <v>28156.028964982823</v>
      </c>
      <c r="AJ724" s="350">
        <v>26774.951252456565</v>
      </c>
      <c r="AK724" s="348">
        <v>5103533.8985316362</v>
      </c>
      <c r="AL724" s="369"/>
      <c r="AM724" s="350">
        <v>6601012.9403788988</v>
      </c>
      <c r="AN724" s="350">
        <v>1663460.4856806241</v>
      </c>
      <c r="AO724" s="350">
        <v>1680802.2100050095</v>
      </c>
      <c r="AP724" s="350">
        <v>1696791.88838111</v>
      </c>
      <c r="AQ724" s="350">
        <v>1711384.0936989132</v>
      </c>
      <c r="AR724" s="348">
        <v>13353451.618144557</v>
      </c>
      <c r="AS724" s="369"/>
      <c r="AT724" s="350">
        <f t="shared" si="315"/>
        <v>1612724.4532424323</v>
      </c>
      <c r="AU724" s="350">
        <f t="shared" si="298"/>
        <v>1632647.9633943674</v>
      </c>
      <c r="AV724" s="350">
        <f t="shared" si="299"/>
        <v>1651300.3011135357</v>
      </c>
      <c r="AW724" s="350">
        <f t="shared" si="300"/>
        <v>1668635.8594161272</v>
      </c>
      <c r="AX724" s="350">
        <f t="shared" si="301"/>
        <v>1684609.1424464567</v>
      </c>
      <c r="AY724" s="350">
        <f t="shared" si="302"/>
        <v>8249917.7196129207</v>
      </c>
      <c r="AZ724" s="365"/>
      <c r="BA724" s="377">
        <f t="shared" si="303"/>
        <v>0</v>
      </c>
      <c r="BB724" s="377">
        <f t="shared" si="304"/>
        <v>0</v>
      </c>
      <c r="BC724" s="377">
        <f t="shared" si="305"/>
        <v>0</v>
      </c>
      <c r="BD724" s="377">
        <f t="shared" si="306"/>
        <v>0</v>
      </c>
      <c r="BE724" s="377">
        <f t="shared" si="307"/>
        <v>0</v>
      </c>
      <c r="BF724" s="377">
        <f t="shared" si="308"/>
        <v>0</v>
      </c>
      <c r="BG724" s="328"/>
    </row>
    <row r="725" spans="2:59">
      <c r="B725" s="332">
        <v>710</v>
      </c>
      <c r="C725" s="350">
        <v>5164638.6116790613</v>
      </c>
      <c r="D725" s="350">
        <v>31901.832208219625</v>
      </c>
      <c r="E725" s="350">
        <v>30544.884918356125</v>
      </c>
      <c r="F725" s="350">
        <v>29151.424325014719</v>
      </c>
      <c r="G725" s="350">
        <v>27721.521604225185</v>
      </c>
      <c r="H725" s="348">
        <v>5283958.274734877</v>
      </c>
      <c r="I725" s="369"/>
      <c r="J725" s="350">
        <v>6901407.0114692859</v>
      </c>
      <c r="K725" s="350">
        <v>1790126.1743171769</v>
      </c>
      <c r="L725" s="350">
        <v>1808856.2237041085</v>
      </c>
      <c r="M725" s="350">
        <v>1826131.6992654381</v>
      </c>
      <c r="N725" s="350">
        <v>1841903.6769726463</v>
      </c>
      <c r="O725" s="348">
        <v>14168424.785728656</v>
      </c>
      <c r="P725" s="369"/>
      <c r="Q725" s="350">
        <f t="shared" si="309"/>
        <v>1736768.3997902246</v>
      </c>
      <c r="R725" s="350">
        <f t="shared" si="310"/>
        <v>1758224.3421089572</v>
      </c>
      <c r="S725" s="350">
        <f t="shared" si="311"/>
        <v>1778311.3387857524</v>
      </c>
      <c r="T725" s="350">
        <f t="shared" si="312"/>
        <v>1796980.2749404234</v>
      </c>
      <c r="U725" s="350">
        <f t="shared" si="313"/>
        <v>1814182.155368421</v>
      </c>
      <c r="V725" s="350">
        <f t="shared" si="314"/>
        <v>8884466.5109937787</v>
      </c>
      <c r="W725" s="365"/>
      <c r="X725" s="377">
        <f t="shared" si="292"/>
        <v>0</v>
      </c>
      <c r="Y725" s="377">
        <f t="shared" si="293"/>
        <v>0</v>
      </c>
      <c r="Z725" s="377">
        <f t="shared" si="294"/>
        <v>0</v>
      </c>
      <c r="AA725" s="377">
        <f t="shared" si="295"/>
        <v>0</v>
      </c>
      <c r="AB725" s="377">
        <f t="shared" si="296"/>
        <v>0</v>
      </c>
      <c r="AC725" s="377">
        <f t="shared" si="297"/>
        <v>0</v>
      </c>
      <c r="AD725" s="376"/>
      <c r="AE725" s="332">
        <v>710</v>
      </c>
      <c r="AF725" s="350">
        <v>6512193.9466162734</v>
      </c>
      <c r="AG725" s="350">
        <v>40225.644853939091</v>
      </c>
      <c r="AH725" s="350">
        <v>38514.643447769879</v>
      </c>
      <c r="AI725" s="350">
        <v>36757.601702336069</v>
      </c>
      <c r="AJ725" s="350">
        <v>34954.609364882672</v>
      </c>
      <c r="AK725" s="348">
        <v>6662646.4459852017</v>
      </c>
      <c r="AL725" s="369"/>
      <c r="AM725" s="350">
        <v>8199656.461387597</v>
      </c>
      <c r="AN725" s="350">
        <v>1748534.9797230545</v>
      </c>
      <c r="AO725" s="350">
        <v>1766340.716375062</v>
      </c>
      <c r="AP725" s="350">
        <v>1782722.6101120329</v>
      </c>
      <c r="AQ725" s="350">
        <v>1797633.1464231464</v>
      </c>
      <c r="AR725" s="348">
        <v>15294887.914020892</v>
      </c>
      <c r="AS725" s="369"/>
      <c r="AT725" s="350">
        <f t="shared" si="315"/>
        <v>1687462.5147713237</v>
      </c>
      <c r="AU725" s="350">
        <f t="shared" si="298"/>
        <v>1708309.3348691154</v>
      </c>
      <c r="AV725" s="350">
        <f t="shared" si="299"/>
        <v>1727826.0729272922</v>
      </c>
      <c r="AW725" s="350">
        <f t="shared" si="300"/>
        <v>1745965.0084096969</v>
      </c>
      <c r="AX725" s="350">
        <f t="shared" si="301"/>
        <v>1762678.5370582638</v>
      </c>
      <c r="AY725" s="350">
        <f t="shared" si="302"/>
        <v>8632241.4680356905</v>
      </c>
      <c r="AZ725" s="365"/>
      <c r="BA725" s="377">
        <f t="shared" si="303"/>
        <v>0</v>
      </c>
      <c r="BB725" s="377">
        <f t="shared" si="304"/>
        <v>0</v>
      </c>
      <c r="BC725" s="377">
        <f t="shared" si="305"/>
        <v>0</v>
      </c>
      <c r="BD725" s="377">
        <f t="shared" si="306"/>
        <v>0</v>
      </c>
      <c r="BE725" s="377">
        <f t="shared" si="307"/>
        <v>0</v>
      </c>
      <c r="BF725" s="377">
        <f t="shared" si="308"/>
        <v>0</v>
      </c>
      <c r="BG725" s="328"/>
    </row>
    <row r="726" spans="2:59">
      <c r="B726" s="332">
        <v>711</v>
      </c>
      <c r="C726" s="350">
        <v>5144554.5388346221</v>
      </c>
      <c r="D726" s="350">
        <v>31777.773436615924</v>
      </c>
      <c r="E726" s="350">
        <v>30426.102997712234</v>
      </c>
      <c r="F726" s="350">
        <v>29038.061247036596</v>
      </c>
      <c r="G726" s="350">
        <v>27613.719083833261</v>
      </c>
      <c r="H726" s="348">
        <v>5263410.1955998205</v>
      </c>
      <c r="I726" s="369"/>
      <c r="J726" s="350">
        <v>6680738.7675294764</v>
      </c>
      <c r="K726" s="350">
        <v>1586939.938513665</v>
      </c>
      <c r="L726" s="350">
        <v>1603355.3621216498</v>
      </c>
      <c r="M726" s="350">
        <v>1618480.1296153059</v>
      </c>
      <c r="N726" s="350">
        <v>1632270.9752805871</v>
      </c>
      <c r="O726" s="348">
        <v>13121785.173060682</v>
      </c>
      <c r="P726" s="369"/>
      <c r="Q726" s="350">
        <f t="shared" si="309"/>
        <v>1536184.2286948543</v>
      </c>
      <c r="R726" s="350">
        <f t="shared" si="310"/>
        <v>1555162.1650770491</v>
      </c>
      <c r="S726" s="350">
        <f t="shared" si="311"/>
        <v>1572929.2591239375</v>
      </c>
      <c r="T726" s="350">
        <f t="shared" si="312"/>
        <v>1589442.0683682694</v>
      </c>
      <c r="U726" s="350">
        <f t="shared" si="313"/>
        <v>1604657.2561967538</v>
      </c>
      <c r="V726" s="350">
        <f t="shared" si="314"/>
        <v>7858374.9774608612</v>
      </c>
      <c r="W726" s="365"/>
      <c r="X726" s="377">
        <f t="shared" si="292"/>
        <v>0</v>
      </c>
      <c r="Y726" s="377">
        <f t="shared" si="293"/>
        <v>0</v>
      </c>
      <c r="Z726" s="377">
        <f t="shared" si="294"/>
        <v>0</v>
      </c>
      <c r="AA726" s="377">
        <f t="shared" si="295"/>
        <v>0</v>
      </c>
      <c r="AB726" s="377">
        <f t="shared" si="296"/>
        <v>0</v>
      </c>
      <c r="AC726" s="377">
        <f t="shared" si="297"/>
        <v>0</v>
      </c>
      <c r="AD726" s="376"/>
      <c r="AE726" s="332">
        <v>711</v>
      </c>
      <c r="AF726" s="350">
        <v>6689331.6288436437</v>
      </c>
      <c r="AG726" s="350">
        <v>41319.819498295408</v>
      </c>
      <c r="AH726" s="350">
        <v>39562.277275645021</v>
      </c>
      <c r="AI726" s="350">
        <v>37757.442374029764</v>
      </c>
      <c r="AJ726" s="350">
        <v>35905.40698190988</v>
      </c>
      <c r="AK726" s="348">
        <v>6843876.5749735236</v>
      </c>
      <c r="AL726" s="369"/>
      <c r="AM726" s="350">
        <v>9318860.728942845</v>
      </c>
      <c r="AN726" s="350">
        <v>2703333.9790354567</v>
      </c>
      <c r="AO726" s="350">
        <v>2731988.8638823046</v>
      </c>
      <c r="AP726" s="350">
        <v>2758449.4620070681</v>
      </c>
      <c r="AQ726" s="350">
        <v>2782641.6851167209</v>
      </c>
      <c r="AR726" s="348">
        <v>20295274.718984392</v>
      </c>
      <c r="AS726" s="369"/>
      <c r="AT726" s="350">
        <f t="shared" si="315"/>
        <v>2629529.1000992013</v>
      </c>
      <c r="AU726" s="350">
        <f t="shared" si="298"/>
        <v>2662014.1595371612</v>
      </c>
      <c r="AV726" s="350">
        <f t="shared" si="299"/>
        <v>2692426.5866066595</v>
      </c>
      <c r="AW726" s="350">
        <f t="shared" si="300"/>
        <v>2720692.0196330384</v>
      </c>
      <c r="AX726" s="350">
        <f t="shared" si="301"/>
        <v>2746736.2781348107</v>
      </c>
      <c r="AY726" s="350">
        <f t="shared" si="302"/>
        <v>13451398.144010868</v>
      </c>
      <c r="AZ726" s="365"/>
      <c r="BA726" s="377">
        <f t="shared" si="303"/>
        <v>0</v>
      </c>
      <c r="BB726" s="377">
        <f t="shared" si="304"/>
        <v>0</v>
      </c>
      <c r="BC726" s="377">
        <f t="shared" si="305"/>
        <v>0</v>
      </c>
      <c r="BD726" s="377">
        <f t="shared" si="306"/>
        <v>0</v>
      </c>
      <c r="BE726" s="377">
        <f t="shared" si="307"/>
        <v>0</v>
      </c>
      <c r="BF726" s="377">
        <f t="shared" si="308"/>
        <v>0</v>
      </c>
      <c r="BG726" s="328"/>
    </row>
    <row r="727" spans="2:59">
      <c r="B727" s="332">
        <v>712</v>
      </c>
      <c r="C727" s="350">
        <v>4270527.6568604298</v>
      </c>
      <c r="D727" s="350">
        <v>26378.933163230828</v>
      </c>
      <c r="E727" s="350">
        <v>25256.902878835044</v>
      </c>
      <c r="F727" s="350">
        <v>24104.680535696345</v>
      </c>
      <c r="G727" s="350">
        <v>22922.324987732962</v>
      </c>
      <c r="H727" s="348">
        <v>4369190.4984259252</v>
      </c>
      <c r="I727" s="369"/>
      <c r="J727" s="350">
        <v>5805660.0953925475</v>
      </c>
      <c r="K727" s="350">
        <v>1580476.3143190977</v>
      </c>
      <c r="L727" s="350">
        <v>1597109.2133591636</v>
      </c>
      <c r="M727" s="350">
        <v>1612458.4943180098</v>
      </c>
      <c r="N727" s="350">
        <v>1626480.9091078523</v>
      </c>
      <c r="O727" s="348">
        <v>12222185.026496671</v>
      </c>
      <c r="P727" s="369"/>
      <c r="Q727" s="350">
        <f t="shared" si="309"/>
        <v>1535132.4385321178</v>
      </c>
      <c r="R727" s="350">
        <f t="shared" si="310"/>
        <v>1554097.3811558669</v>
      </c>
      <c r="S727" s="350">
        <f t="shared" si="311"/>
        <v>1571852.3104803285</v>
      </c>
      <c r="T727" s="350">
        <f t="shared" si="312"/>
        <v>1588353.8137823134</v>
      </c>
      <c r="U727" s="350">
        <f t="shared" si="313"/>
        <v>1603558.5841201192</v>
      </c>
      <c r="V727" s="350">
        <f t="shared" si="314"/>
        <v>7852994.528070746</v>
      </c>
      <c r="W727" s="365"/>
      <c r="X727" s="377">
        <f t="shared" si="292"/>
        <v>0</v>
      </c>
      <c r="Y727" s="377">
        <f t="shared" si="293"/>
        <v>0</v>
      </c>
      <c r="Z727" s="377">
        <f t="shared" si="294"/>
        <v>0</v>
      </c>
      <c r="AA727" s="377">
        <f t="shared" si="295"/>
        <v>0</v>
      </c>
      <c r="AB727" s="377">
        <f t="shared" si="296"/>
        <v>0</v>
      </c>
      <c r="AC727" s="377">
        <f t="shared" si="297"/>
        <v>0</v>
      </c>
      <c r="AD727" s="376"/>
      <c r="AE727" s="332">
        <v>712</v>
      </c>
      <c r="AF727" s="350">
        <v>5740567.2848702464</v>
      </c>
      <c r="AG727" s="350">
        <v>35459.327955259891</v>
      </c>
      <c r="AH727" s="350">
        <v>33951.062265213506</v>
      </c>
      <c r="AI727" s="350">
        <v>32402.211533082427</v>
      </c>
      <c r="AJ727" s="350">
        <v>30812.854872009055</v>
      </c>
      <c r="AK727" s="348">
        <v>5873192.7414958114</v>
      </c>
      <c r="AL727" s="369"/>
      <c r="AM727" s="350">
        <v>7827276.7519325968</v>
      </c>
      <c r="AN727" s="350">
        <v>2147947.8902421966</v>
      </c>
      <c r="AO727" s="350">
        <v>2170573.9455907987</v>
      </c>
      <c r="AP727" s="350">
        <v>2191455.6306852316</v>
      </c>
      <c r="AQ727" s="350">
        <v>2210534.1574015324</v>
      </c>
      <c r="AR727" s="348">
        <v>16547788.375852358</v>
      </c>
      <c r="AS727" s="369"/>
      <c r="AT727" s="350">
        <f t="shared" si="315"/>
        <v>2086709.4670623504</v>
      </c>
      <c r="AU727" s="350">
        <f t="shared" si="298"/>
        <v>2112488.5622869367</v>
      </c>
      <c r="AV727" s="350">
        <f t="shared" si="299"/>
        <v>2136622.8833255852</v>
      </c>
      <c r="AW727" s="350">
        <f t="shared" si="300"/>
        <v>2159053.419152149</v>
      </c>
      <c r="AX727" s="350">
        <f t="shared" si="301"/>
        <v>2179721.3025295231</v>
      </c>
      <c r="AY727" s="350">
        <f t="shared" si="302"/>
        <v>10674595.634356547</v>
      </c>
      <c r="AZ727" s="365"/>
      <c r="BA727" s="377">
        <f t="shared" si="303"/>
        <v>0</v>
      </c>
      <c r="BB727" s="377">
        <f t="shared" si="304"/>
        <v>0</v>
      </c>
      <c r="BC727" s="377">
        <f t="shared" si="305"/>
        <v>0</v>
      </c>
      <c r="BD727" s="377">
        <f t="shared" si="306"/>
        <v>0</v>
      </c>
      <c r="BE727" s="377">
        <f t="shared" si="307"/>
        <v>0</v>
      </c>
      <c r="BF727" s="377">
        <f t="shared" si="308"/>
        <v>0</v>
      </c>
      <c r="BG727" s="328"/>
    </row>
    <row r="728" spans="2:59">
      <c r="B728" s="332">
        <v>713</v>
      </c>
      <c r="C728" s="350">
        <v>5637592.5727413408</v>
      </c>
      <c r="D728" s="350">
        <v>34823.255959710128</v>
      </c>
      <c r="E728" s="350">
        <v>33342.045648956206</v>
      </c>
      <c r="F728" s="350">
        <v>31820.978313544518</v>
      </c>
      <c r="G728" s="350">
        <v>30260.131647479157</v>
      </c>
      <c r="H728" s="348">
        <v>5767838.9843110312</v>
      </c>
      <c r="I728" s="369"/>
      <c r="J728" s="350">
        <v>7906202.9273210522</v>
      </c>
      <c r="K728" s="350">
        <v>2331459.8994317269</v>
      </c>
      <c r="L728" s="350">
        <v>2356216.8269514893</v>
      </c>
      <c r="M728" s="350">
        <v>2379081.5912989881</v>
      </c>
      <c r="N728" s="350">
        <v>2399990.2714056908</v>
      </c>
      <c r="O728" s="348">
        <v>17372951.516408946</v>
      </c>
      <c r="P728" s="369"/>
      <c r="Q728" s="350">
        <f t="shared" si="309"/>
        <v>2268610.3545797113</v>
      </c>
      <c r="R728" s="350">
        <f t="shared" si="310"/>
        <v>2296636.6434720168</v>
      </c>
      <c r="S728" s="350">
        <f t="shared" si="311"/>
        <v>2322874.7813025331</v>
      </c>
      <c r="T728" s="350">
        <f t="shared" si="312"/>
        <v>2347260.6129854438</v>
      </c>
      <c r="U728" s="350">
        <f t="shared" si="313"/>
        <v>2369730.1397582116</v>
      </c>
      <c r="V728" s="350">
        <f t="shared" si="314"/>
        <v>11605112.532097915</v>
      </c>
      <c r="W728" s="365"/>
      <c r="X728" s="377">
        <f t="shared" si="292"/>
        <v>0</v>
      </c>
      <c r="Y728" s="377">
        <f t="shared" si="293"/>
        <v>0</v>
      </c>
      <c r="Z728" s="377">
        <f t="shared" si="294"/>
        <v>0</v>
      </c>
      <c r="AA728" s="377">
        <f t="shared" si="295"/>
        <v>0</v>
      </c>
      <c r="AB728" s="377">
        <f t="shared" si="296"/>
        <v>0</v>
      </c>
      <c r="AC728" s="377">
        <f t="shared" si="297"/>
        <v>0</v>
      </c>
      <c r="AD728" s="376"/>
      <c r="AE728" s="332">
        <v>713</v>
      </c>
      <c r="AF728" s="350">
        <v>5627069.5302613983</v>
      </c>
      <c r="AG728" s="350">
        <v>34758.2554125756</v>
      </c>
      <c r="AH728" s="350">
        <v>33279.809905913709</v>
      </c>
      <c r="AI728" s="350">
        <v>31761.58177109648</v>
      </c>
      <c r="AJ728" s="350">
        <v>30203.648557106815</v>
      </c>
      <c r="AK728" s="348">
        <v>5757072.8259080909</v>
      </c>
      <c r="AL728" s="369"/>
      <c r="AM728" s="350">
        <v>7075721.5636211224</v>
      </c>
      <c r="AN728" s="350">
        <v>1501306.8571756841</v>
      </c>
      <c r="AO728" s="350">
        <v>1516583.1318628269</v>
      </c>
      <c r="AP728" s="350">
        <v>1530636.8086085883</v>
      </c>
      <c r="AQ728" s="350">
        <v>1543427.0976806779</v>
      </c>
      <c r="AR728" s="348">
        <v>13167675.458948899</v>
      </c>
      <c r="AS728" s="369"/>
      <c r="AT728" s="350">
        <f t="shared" si="315"/>
        <v>1448652.0333597241</v>
      </c>
      <c r="AU728" s="350">
        <f t="shared" si="298"/>
        <v>1466548.6017631085</v>
      </c>
      <c r="AV728" s="350">
        <f t="shared" si="299"/>
        <v>1483303.3219569132</v>
      </c>
      <c r="AW728" s="350">
        <f t="shared" si="300"/>
        <v>1498875.2268374918</v>
      </c>
      <c r="AX728" s="350">
        <f t="shared" si="301"/>
        <v>1513223.4491235712</v>
      </c>
      <c r="AY728" s="350">
        <f t="shared" si="302"/>
        <v>7410602.6330408081</v>
      </c>
      <c r="AZ728" s="365"/>
      <c r="BA728" s="377">
        <f t="shared" si="303"/>
        <v>0</v>
      </c>
      <c r="BB728" s="377">
        <f t="shared" si="304"/>
        <v>0</v>
      </c>
      <c r="BC728" s="377">
        <f t="shared" si="305"/>
        <v>0</v>
      </c>
      <c r="BD728" s="377">
        <f t="shared" si="306"/>
        <v>0</v>
      </c>
      <c r="BE728" s="377">
        <f t="shared" si="307"/>
        <v>0</v>
      </c>
      <c r="BF728" s="377">
        <f t="shared" si="308"/>
        <v>0</v>
      </c>
      <c r="BG728" s="328"/>
    </row>
    <row r="729" spans="2:59">
      <c r="B729" s="332">
        <v>714</v>
      </c>
      <c r="C729" s="350">
        <v>6367541.9075241564</v>
      </c>
      <c r="D729" s="350">
        <v>39332.133143504798</v>
      </c>
      <c r="E729" s="350">
        <v>37659.137337956206</v>
      </c>
      <c r="F729" s="350">
        <v>35941.123863688728</v>
      </c>
      <c r="G729" s="350">
        <v>34178.180474443136</v>
      </c>
      <c r="H729" s="348">
        <v>6514652.4823437501</v>
      </c>
      <c r="I729" s="369"/>
      <c r="J729" s="350">
        <v>8145397.6431613741</v>
      </c>
      <c r="K729" s="350">
        <v>1839151.4018110728</v>
      </c>
      <c r="L729" s="350">
        <v>1858040.6077693738</v>
      </c>
      <c r="M729" s="350">
        <v>1875433.1879844188</v>
      </c>
      <c r="N729" s="350">
        <v>1891279.0759087515</v>
      </c>
      <c r="O729" s="348">
        <v>15609301.916634992</v>
      </c>
      <c r="P729" s="369"/>
      <c r="Q729" s="350">
        <f t="shared" si="309"/>
        <v>1777855.7356372178</v>
      </c>
      <c r="R729" s="350">
        <f t="shared" si="310"/>
        <v>1799819.268667568</v>
      </c>
      <c r="S729" s="350">
        <f t="shared" si="311"/>
        <v>1820381.4704314177</v>
      </c>
      <c r="T729" s="350">
        <f t="shared" si="312"/>
        <v>1839492.0641207302</v>
      </c>
      <c r="U729" s="350">
        <f t="shared" si="313"/>
        <v>1857100.8954343083</v>
      </c>
      <c r="V729" s="350">
        <f t="shared" si="314"/>
        <v>9094649.4342912417</v>
      </c>
      <c r="W729" s="365"/>
      <c r="X729" s="377">
        <f t="shared" si="292"/>
        <v>0</v>
      </c>
      <c r="Y729" s="377">
        <f t="shared" si="293"/>
        <v>0</v>
      </c>
      <c r="Z729" s="377">
        <f t="shared" si="294"/>
        <v>0</v>
      </c>
      <c r="AA729" s="377">
        <f t="shared" si="295"/>
        <v>0</v>
      </c>
      <c r="AB729" s="377">
        <f t="shared" si="296"/>
        <v>0</v>
      </c>
      <c r="AC729" s="377">
        <f t="shared" si="297"/>
        <v>0</v>
      </c>
      <c r="AD729" s="376"/>
      <c r="AE729" s="332">
        <v>714</v>
      </c>
      <c r="AF729" s="350">
        <v>5262420.3667716561</v>
      </c>
      <c r="AG729" s="350">
        <v>32505.827449422595</v>
      </c>
      <c r="AH729" s="350">
        <v>31123.189167886267</v>
      </c>
      <c r="AI729" s="350">
        <v>29703.346278953046</v>
      </c>
      <c r="AJ729" s="350">
        <v>28246.371306230318</v>
      </c>
      <c r="AK729" s="348">
        <v>5383999.1009741481</v>
      </c>
      <c r="AL729" s="369"/>
      <c r="AM729" s="350">
        <v>6633942.8289535707</v>
      </c>
      <c r="AN729" s="350">
        <v>1420972.0035087748</v>
      </c>
      <c r="AO729" s="350">
        <v>1435452.0255239867</v>
      </c>
      <c r="AP729" s="350">
        <v>1448775.0034304236</v>
      </c>
      <c r="AQ729" s="350">
        <v>1460902.3183386193</v>
      </c>
      <c r="AR729" s="348">
        <v>12400044.179755375</v>
      </c>
      <c r="AS729" s="369"/>
      <c r="AT729" s="350">
        <f t="shared" si="315"/>
        <v>1371522.4621819146</v>
      </c>
      <c r="AU729" s="350">
        <f t="shared" si="298"/>
        <v>1388466.1760593522</v>
      </c>
      <c r="AV729" s="350">
        <f t="shared" si="299"/>
        <v>1404328.8363561004</v>
      </c>
      <c r="AW729" s="350">
        <f t="shared" si="300"/>
        <v>1419071.6571514704</v>
      </c>
      <c r="AX729" s="350">
        <f t="shared" si="301"/>
        <v>1432655.947032389</v>
      </c>
      <c r="AY729" s="350">
        <f t="shared" si="302"/>
        <v>7016045.0787812266</v>
      </c>
      <c r="AZ729" s="365"/>
      <c r="BA729" s="377">
        <f t="shared" si="303"/>
        <v>0</v>
      </c>
      <c r="BB729" s="377">
        <f t="shared" si="304"/>
        <v>0</v>
      </c>
      <c r="BC729" s="377">
        <f t="shared" si="305"/>
        <v>0</v>
      </c>
      <c r="BD729" s="377">
        <f t="shared" si="306"/>
        <v>0</v>
      </c>
      <c r="BE729" s="377">
        <f t="shared" si="307"/>
        <v>0</v>
      </c>
      <c r="BF729" s="377">
        <f t="shared" si="308"/>
        <v>0</v>
      </c>
      <c r="BG729" s="328"/>
    </row>
    <row r="730" spans="2:59">
      <c r="B730" s="332">
        <v>715</v>
      </c>
      <c r="C730" s="350">
        <v>5951167.5948310765</v>
      </c>
      <c r="D730" s="350">
        <v>36760.200340828262</v>
      </c>
      <c r="E730" s="350">
        <v>35196.601927364805</v>
      </c>
      <c r="F730" s="350">
        <v>33590.92955582287</v>
      </c>
      <c r="G730" s="350">
        <v>31943.265241716334</v>
      </c>
      <c r="H730" s="348">
        <v>6088658.5918968087</v>
      </c>
      <c r="I730" s="369"/>
      <c r="J730" s="350">
        <v>8628242.7971361503</v>
      </c>
      <c r="K730" s="350">
        <v>2746907.8440436791</v>
      </c>
      <c r="L730" s="350">
        <v>2776306.578143131</v>
      </c>
      <c r="M730" s="350">
        <v>2803477.4231466902</v>
      </c>
      <c r="N730" s="350">
        <v>2828344.9392863289</v>
      </c>
      <c r="O730" s="348">
        <v>19783279.581755981</v>
      </c>
      <c r="P730" s="369"/>
      <c r="Q730" s="350">
        <f t="shared" si="309"/>
        <v>2677075.2023050738</v>
      </c>
      <c r="R730" s="350">
        <f t="shared" si="310"/>
        <v>2710147.6437028507</v>
      </c>
      <c r="S730" s="350">
        <f t="shared" si="311"/>
        <v>2741109.9762157663</v>
      </c>
      <c r="T730" s="350">
        <f t="shared" si="312"/>
        <v>2769886.4935908671</v>
      </c>
      <c r="U730" s="350">
        <f t="shared" si="313"/>
        <v>2796401.6740446123</v>
      </c>
      <c r="V730" s="350">
        <f t="shared" si="314"/>
        <v>13694620.989859171</v>
      </c>
      <c r="W730" s="365"/>
      <c r="X730" s="377">
        <f t="shared" si="292"/>
        <v>0</v>
      </c>
      <c r="Y730" s="377">
        <f t="shared" si="293"/>
        <v>0</v>
      </c>
      <c r="Z730" s="377">
        <f t="shared" si="294"/>
        <v>0</v>
      </c>
      <c r="AA730" s="377">
        <f t="shared" si="295"/>
        <v>0</v>
      </c>
      <c r="AB730" s="377">
        <f t="shared" si="296"/>
        <v>0</v>
      </c>
      <c r="AC730" s="377">
        <f t="shared" si="297"/>
        <v>0</v>
      </c>
      <c r="AD730" s="376"/>
      <c r="AE730" s="332">
        <v>715</v>
      </c>
      <c r="AF730" s="350">
        <v>6019189.4341853894</v>
      </c>
      <c r="AG730" s="350">
        <v>37180.369392089262</v>
      </c>
      <c r="AH730" s="350">
        <v>35598.899050403503</v>
      </c>
      <c r="AI730" s="350">
        <v>33974.873845342758</v>
      </c>
      <c r="AJ730" s="350">
        <v>32308.376729857642</v>
      </c>
      <c r="AK730" s="348">
        <v>6158251.9532030821</v>
      </c>
      <c r="AL730" s="369"/>
      <c r="AM730" s="350">
        <v>8421457.487301372</v>
      </c>
      <c r="AN730" s="350">
        <v>2469125.9113361849</v>
      </c>
      <c r="AO730" s="350">
        <v>2495328.4278551172</v>
      </c>
      <c r="AP730" s="350">
        <v>2519526.9526892258</v>
      </c>
      <c r="AQ730" s="350">
        <v>2541653.7994707683</v>
      </c>
      <c r="AR730" s="348">
        <v>18447092.578652669</v>
      </c>
      <c r="AS730" s="369"/>
      <c r="AT730" s="350">
        <f t="shared" si="315"/>
        <v>2402268.0531159826</v>
      </c>
      <c r="AU730" s="350">
        <f t="shared" si="298"/>
        <v>2431945.5419440959</v>
      </c>
      <c r="AV730" s="350">
        <f t="shared" si="299"/>
        <v>2459729.5288047139</v>
      </c>
      <c r="AW730" s="350">
        <f t="shared" si="300"/>
        <v>2485552.0788438832</v>
      </c>
      <c r="AX730" s="350">
        <f t="shared" si="301"/>
        <v>2509345.4227409107</v>
      </c>
      <c r="AY730" s="350">
        <f t="shared" si="302"/>
        <v>12288840.625449587</v>
      </c>
      <c r="AZ730" s="365"/>
      <c r="BA730" s="377">
        <f t="shared" si="303"/>
        <v>0</v>
      </c>
      <c r="BB730" s="377">
        <f t="shared" si="304"/>
        <v>0</v>
      </c>
      <c r="BC730" s="377">
        <f t="shared" si="305"/>
        <v>0</v>
      </c>
      <c r="BD730" s="377">
        <f t="shared" si="306"/>
        <v>0</v>
      </c>
      <c r="BE730" s="377">
        <f t="shared" si="307"/>
        <v>0</v>
      </c>
      <c r="BF730" s="377">
        <f t="shared" si="308"/>
        <v>0</v>
      </c>
      <c r="BG730" s="328"/>
    </row>
    <row r="731" spans="2:59">
      <c r="B731" s="332">
        <v>716</v>
      </c>
      <c r="C731" s="350">
        <v>4482851.0428719148</v>
      </c>
      <c r="D731" s="350">
        <v>27690.44894268992</v>
      </c>
      <c r="E731" s="350">
        <v>26512.633217165014</v>
      </c>
      <c r="F731" s="350">
        <v>25303.124334987566</v>
      </c>
      <c r="G731" s="350">
        <v>24061.984076190194</v>
      </c>
      <c r="H731" s="348">
        <v>4586419.2334429473</v>
      </c>
      <c r="I731" s="369"/>
      <c r="J731" s="350">
        <v>5706551.1670932351</v>
      </c>
      <c r="K731" s="350">
        <v>1266508.0979208467</v>
      </c>
      <c r="L731" s="350">
        <v>1279483.2690481436</v>
      </c>
      <c r="M731" s="350">
        <v>1291427.6035306379</v>
      </c>
      <c r="N731" s="350">
        <v>1302306.6418858231</v>
      </c>
      <c r="O731" s="348">
        <v>10846276.779478686</v>
      </c>
      <c r="P731" s="369"/>
      <c r="Q731" s="350">
        <f t="shared" si="309"/>
        <v>1223700.1242213203</v>
      </c>
      <c r="R731" s="350">
        <f t="shared" si="310"/>
        <v>1238817.6489781567</v>
      </c>
      <c r="S731" s="350">
        <f t="shared" si="311"/>
        <v>1252970.6358309786</v>
      </c>
      <c r="T731" s="350">
        <f t="shared" si="312"/>
        <v>1266124.4791956504</v>
      </c>
      <c r="U731" s="350">
        <f t="shared" si="313"/>
        <v>1278244.6578096328</v>
      </c>
      <c r="V731" s="350">
        <f t="shared" si="314"/>
        <v>6259857.5460357387</v>
      </c>
      <c r="W731" s="365"/>
      <c r="X731" s="377">
        <f t="shared" si="292"/>
        <v>0</v>
      </c>
      <c r="Y731" s="377">
        <f t="shared" si="293"/>
        <v>0</v>
      </c>
      <c r="Z731" s="377">
        <f t="shared" si="294"/>
        <v>0</v>
      </c>
      <c r="AA731" s="377">
        <f t="shared" si="295"/>
        <v>0</v>
      </c>
      <c r="AB731" s="377">
        <f t="shared" si="296"/>
        <v>0</v>
      </c>
      <c r="AC731" s="377">
        <f t="shared" si="297"/>
        <v>0</v>
      </c>
      <c r="AD731" s="376"/>
      <c r="AE731" s="332">
        <v>716</v>
      </c>
      <c r="AF731" s="350">
        <v>5030998.6478125416</v>
      </c>
      <c r="AG731" s="350">
        <v>31076.341786887944</v>
      </c>
      <c r="AH731" s="350">
        <v>29754.506806020283</v>
      </c>
      <c r="AI731" s="350">
        <v>28397.103338326222</v>
      </c>
      <c r="AJ731" s="350">
        <v>27004.200718087337</v>
      </c>
      <c r="AK731" s="348">
        <v>5147230.8004618632</v>
      </c>
      <c r="AL731" s="369"/>
      <c r="AM731" s="350">
        <v>7380347.161471012</v>
      </c>
      <c r="AN731" s="350">
        <v>2409448.5791622046</v>
      </c>
      <c r="AO731" s="350">
        <v>2435298.6778670191</v>
      </c>
      <c r="AP731" s="350">
        <v>2459194.9797361246</v>
      </c>
      <c r="AQ731" s="350">
        <v>2481071.2776728058</v>
      </c>
      <c r="AR731" s="348">
        <v>17165360.675909165</v>
      </c>
      <c r="AS731" s="369"/>
      <c r="AT731" s="350">
        <f t="shared" si="315"/>
        <v>2349348.5136584705</v>
      </c>
      <c r="AU731" s="350">
        <f t="shared" si="298"/>
        <v>2378372.2373753167</v>
      </c>
      <c r="AV731" s="350">
        <f t="shared" si="299"/>
        <v>2405544.1710609989</v>
      </c>
      <c r="AW731" s="350">
        <f t="shared" si="300"/>
        <v>2430797.8763977983</v>
      </c>
      <c r="AX731" s="350">
        <f t="shared" si="301"/>
        <v>2454067.0769547187</v>
      </c>
      <c r="AY731" s="350">
        <f t="shared" si="302"/>
        <v>12018129.875447303</v>
      </c>
      <c r="AZ731" s="365"/>
      <c r="BA731" s="377">
        <f t="shared" si="303"/>
        <v>0</v>
      </c>
      <c r="BB731" s="377">
        <f t="shared" si="304"/>
        <v>0</v>
      </c>
      <c r="BC731" s="377">
        <f t="shared" si="305"/>
        <v>0</v>
      </c>
      <c r="BD731" s="377">
        <f t="shared" si="306"/>
        <v>0</v>
      </c>
      <c r="BE731" s="377">
        <f t="shared" si="307"/>
        <v>0</v>
      </c>
      <c r="BF731" s="377">
        <f t="shared" si="308"/>
        <v>0</v>
      </c>
      <c r="BG731" s="328"/>
    </row>
    <row r="732" spans="2:59">
      <c r="B732" s="332">
        <v>717</v>
      </c>
      <c r="C732" s="350">
        <v>5448595.568744489</v>
      </c>
      <c r="D732" s="350">
        <v>33655.82660739631</v>
      </c>
      <c r="E732" s="350">
        <v>32224.273008689957</v>
      </c>
      <c r="F732" s="350">
        <v>30754.198568836953</v>
      </c>
      <c r="G732" s="350">
        <v>29245.678377201704</v>
      </c>
      <c r="H732" s="348">
        <v>5574475.5453066137</v>
      </c>
      <c r="I732" s="369"/>
      <c r="J732" s="350">
        <v>7363673.5484581525</v>
      </c>
      <c r="K732" s="350">
        <v>1972392.5754888868</v>
      </c>
      <c r="L732" s="350">
        <v>1993110.2992601267</v>
      </c>
      <c r="M732" s="350">
        <v>2012225.8530127301</v>
      </c>
      <c r="N732" s="350">
        <v>2029685.2864188852</v>
      </c>
      <c r="O732" s="348">
        <v>15371087.56263878</v>
      </c>
      <c r="P732" s="369"/>
      <c r="Q732" s="350">
        <f t="shared" si="309"/>
        <v>1915077.9797136635</v>
      </c>
      <c r="R732" s="350">
        <f t="shared" si="310"/>
        <v>1938736.7488814904</v>
      </c>
      <c r="S732" s="350">
        <f t="shared" si="311"/>
        <v>1960886.0262514367</v>
      </c>
      <c r="T732" s="350">
        <f t="shared" si="312"/>
        <v>1981471.6544438931</v>
      </c>
      <c r="U732" s="350">
        <f t="shared" si="313"/>
        <v>2000439.6080416834</v>
      </c>
      <c r="V732" s="350">
        <f t="shared" si="314"/>
        <v>9796612.0173321664</v>
      </c>
      <c r="W732" s="365"/>
      <c r="X732" s="377">
        <f t="shared" si="292"/>
        <v>0</v>
      </c>
      <c r="Y732" s="377">
        <f t="shared" si="293"/>
        <v>0</v>
      </c>
      <c r="Z732" s="377">
        <f t="shared" si="294"/>
        <v>0</v>
      </c>
      <c r="AA732" s="377">
        <f t="shared" si="295"/>
        <v>0</v>
      </c>
      <c r="AB732" s="377">
        <f t="shared" si="296"/>
        <v>0</v>
      </c>
      <c r="AC732" s="377">
        <f t="shared" si="297"/>
        <v>0</v>
      </c>
      <c r="AD732" s="376"/>
      <c r="AE732" s="332">
        <v>717</v>
      </c>
      <c r="AF732" s="350">
        <v>3857467.7684532194</v>
      </c>
      <c r="AG732" s="350">
        <v>23827.473469204222</v>
      </c>
      <c r="AH732" s="350">
        <v>22813.969751382869</v>
      </c>
      <c r="AI732" s="350">
        <v>21773.194252925277</v>
      </c>
      <c r="AJ732" s="350">
        <v>20705.200135197294</v>
      </c>
      <c r="AK732" s="348">
        <v>3946587.6060619294</v>
      </c>
      <c r="AL732" s="369"/>
      <c r="AM732" s="350">
        <v>5081088.212564514</v>
      </c>
      <c r="AN732" s="350">
        <v>1262564.4579735913</v>
      </c>
      <c r="AO732" s="350">
        <v>1275703.0195498471</v>
      </c>
      <c r="AP732" s="350">
        <v>1287815.2309156279</v>
      </c>
      <c r="AQ732" s="350">
        <v>1298866.6262175811</v>
      </c>
      <c r="AR732" s="348">
        <v>10206037.547221161</v>
      </c>
      <c r="AS732" s="369"/>
      <c r="AT732" s="350">
        <f t="shared" si="315"/>
        <v>1223620.4441112946</v>
      </c>
      <c r="AU732" s="350">
        <f t="shared" si="298"/>
        <v>1238736.984504387</v>
      </c>
      <c r="AV732" s="350">
        <f t="shared" si="299"/>
        <v>1252889.0497984642</v>
      </c>
      <c r="AW732" s="350">
        <f t="shared" si="300"/>
        <v>1266042.0366627027</v>
      </c>
      <c r="AX732" s="350">
        <f t="shared" si="301"/>
        <v>1278161.4260823838</v>
      </c>
      <c r="AY732" s="350">
        <f t="shared" si="302"/>
        <v>6259449.9411592316</v>
      </c>
      <c r="AZ732" s="365"/>
      <c r="BA732" s="377">
        <f t="shared" si="303"/>
        <v>0</v>
      </c>
      <c r="BB732" s="377">
        <f t="shared" si="304"/>
        <v>0</v>
      </c>
      <c r="BC732" s="377">
        <f t="shared" si="305"/>
        <v>0</v>
      </c>
      <c r="BD732" s="377">
        <f t="shared" si="306"/>
        <v>0</v>
      </c>
      <c r="BE732" s="377">
        <f t="shared" si="307"/>
        <v>0</v>
      </c>
      <c r="BF732" s="377">
        <f t="shared" si="308"/>
        <v>0</v>
      </c>
      <c r="BG732" s="328"/>
    </row>
    <row r="733" spans="2:59">
      <c r="B733" s="332">
        <v>718</v>
      </c>
      <c r="C733" s="350">
        <v>5655864.6644631885</v>
      </c>
      <c r="D733" s="350">
        <v>34936.122173211203</v>
      </c>
      <c r="E733" s="350">
        <v>33450.111087959551</v>
      </c>
      <c r="F733" s="350">
        <v>31924.11379680501</v>
      </c>
      <c r="G733" s="350">
        <v>30358.208245576137</v>
      </c>
      <c r="H733" s="348">
        <v>5786533.2197667407</v>
      </c>
      <c r="I733" s="369"/>
      <c r="J733" s="350">
        <v>7258969.1476213168</v>
      </c>
      <c r="K733" s="350">
        <v>1657845.2708962453</v>
      </c>
      <c r="L733" s="350">
        <v>1674900.3355408632</v>
      </c>
      <c r="M733" s="350">
        <v>1690606.4892083267</v>
      </c>
      <c r="N733" s="350">
        <v>1704918.5853735076</v>
      </c>
      <c r="O733" s="348">
        <v>13987239.828640258</v>
      </c>
      <c r="P733" s="369"/>
      <c r="Q733" s="350">
        <f t="shared" si="309"/>
        <v>1603104.4831581283</v>
      </c>
      <c r="R733" s="350">
        <f t="shared" si="310"/>
        <v>1622909.148723034</v>
      </c>
      <c r="S733" s="350">
        <f t="shared" si="311"/>
        <v>1641450.2244529037</v>
      </c>
      <c r="T733" s="350">
        <f t="shared" si="312"/>
        <v>1658682.3754115216</v>
      </c>
      <c r="U733" s="350">
        <f t="shared" si="313"/>
        <v>1674560.3771279315</v>
      </c>
      <c r="V733" s="350">
        <f t="shared" si="314"/>
        <v>8200706.6088735173</v>
      </c>
      <c r="W733" s="365"/>
      <c r="X733" s="377">
        <f t="shared" si="292"/>
        <v>0</v>
      </c>
      <c r="Y733" s="377">
        <f t="shared" si="293"/>
        <v>0</v>
      </c>
      <c r="Z733" s="377">
        <f t="shared" si="294"/>
        <v>0</v>
      </c>
      <c r="AA733" s="377">
        <f t="shared" si="295"/>
        <v>0</v>
      </c>
      <c r="AB733" s="377">
        <f t="shared" si="296"/>
        <v>0</v>
      </c>
      <c r="AC733" s="377">
        <f t="shared" si="297"/>
        <v>0</v>
      </c>
      <c r="AD733" s="376"/>
      <c r="AE733" s="332">
        <v>718</v>
      </c>
      <c r="AF733" s="350">
        <v>6623667.6539905667</v>
      </c>
      <c r="AG733" s="350">
        <v>40914.214911917814</v>
      </c>
      <c r="AH733" s="350">
        <v>39173.925116669554</v>
      </c>
      <c r="AI733" s="350">
        <v>37386.806877971372</v>
      </c>
      <c r="AJ733" s="350">
        <v>35552.951479331605</v>
      </c>
      <c r="AK733" s="348">
        <v>6776695.5523764575</v>
      </c>
      <c r="AL733" s="369"/>
      <c r="AM733" s="350">
        <v>8624078.719074253</v>
      </c>
      <c r="AN733" s="350">
        <v>2066038.2494573793</v>
      </c>
      <c r="AO733" s="350">
        <v>2087434.1765701605</v>
      </c>
      <c r="AP733" s="350">
        <v>2107149.952132192</v>
      </c>
      <c r="AQ733" s="350">
        <v>2125129.2347158892</v>
      </c>
      <c r="AR733" s="348">
        <v>17009830.331949875</v>
      </c>
      <c r="AS733" s="369"/>
      <c r="AT733" s="350">
        <f t="shared" si="315"/>
        <v>2000411.0650836863</v>
      </c>
      <c r="AU733" s="350">
        <f t="shared" si="298"/>
        <v>2025124.0345454614</v>
      </c>
      <c r="AV733" s="350">
        <f t="shared" si="299"/>
        <v>2048260.2514534909</v>
      </c>
      <c r="AW733" s="350">
        <f t="shared" si="300"/>
        <v>2069763.1452542206</v>
      </c>
      <c r="AX733" s="350">
        <f t="shared" si="301"/>
        <v>2089576.2832365576</v>
      </c>
      <c r="AY733" s="350">
        <f t="shared" si="302"/>
        <v>10233134.779573418</v>
      </c>
      <c r="AZ733" s="365"/>
      <c r="BA733" s="377">
        <f t="shared" si="303"/>
        <v>0</v>
      </c>
      <c r="BB733" s="377">
        <f t="shared" si="304"/>
        <v>0</v>
      </c>
      <c r="BC733" s="377">
        <f t="shared" si="305"/>
        <v>0</v>
      </c>
      <c r="BD733" s="377">
        <f t="shared" si="306"/>
        <v>0</v>
      </c>
      <c r="BE733" s="377">
        <f t="shared" si="307"/>
        <v>0</v>
      </c>
      <c r="BF733" s="377">
        <f t="shared" si="308"/>
        <v>0</v>
      </c>
      <c r="BG733" s="328"/>
    </row>
    <row r="734" spans="2:59">
      <c r="B734" s="332">
        <v>719</v>
      </c>
      <c r="C734" s="350">
        <v>6270606.4790574294</v>
      </c>
      <c r="D734" s="350">
        <v>38733.365638846219</v>
      </c>
      <c r="E734" s="350">
        <v>37085.838462730135</v>
      </c>
      <c r="F734" s="350">
        <v>35393.978938394495</v>
      </c>
      <c r="G734" s="350">
        <v>33657.873483672396</v>
      </c>
      <c r="H734" s="348">
        <v>6415477.5355810728</v>
      </c>
      <c r="I734" s="369"/>
      <c r="J734" s="350">
        <v>8727499.175663434</v>
      </c>
      <c r="K734" s="350">
        <v>2525978.3809466818</v>
      </c>
      <c r="L734" s="350">
        <v>2552746.614581232</v>
      </c>
      <c r="M734" s="350">
        <v>2577464.4783667852</v>
      </c>
      <c r="N734" s="350">
        <v>2600062.74840884</v>
      </c>
      <c r="O734" s="348">
        <v>18983751.39796697</v>
      </c>
      <c r="P734" s="369"/>
      <c r="Q734" s="350">
        <f t="shared" si="309"/>
        <v>2456892.6966060046</v>
      </c>
      <c r="R734" s="350">
        <f t="shared" si="310"/>
        <v>2487245.0153078358</v>
      </c>
      <c r="S734" s="350">
        <f t="shared" si="311"/>
        <v>2515660.776118502</v>
      </c>
      <c r="T734" s="350">
        <f t="shared" si="312"/>
        <v>2542070.4994283905</v>
      </c>
      <c r="U734" s="350">
        <f t="shared" si="313"/>
        <v>2566404.8749251678</v>
      </c>
      <c r="V734" s="350">
        <f t="shared" si="314"/>
        <v>12568273.862385897</v>
      </c>
      <c r="W734" s="365"/>
      <c r="X734" s="377">
        <f t="shared" si="292"/>
        <v>0</v>
      </c>
      <c r="Y734" s="377">
        <f t="shared" si="293"/>
        <v>0</v>
      </c>
      <c r="Z734" s="377">
        <f t="shared" si="294"/>
        <v>0</v>
      </c>
      <c r="AA734" s="377">
        <f t="shared" si="295"/>
        <v>0</v>
      </c>
      <c r="AB734" s="377">
        <f t="shared" si="296"/>
        <v>0</v>
      </c>
      <c r="AC734" s="377">
        <f t="shared" si="297"/>
        <v>0</v>
      </c>
      <c r="AD734" s="376"/>
      <c r="AE734" s="332">
        <v>719</v>
      </c>
      <c r="AF734" s="350">
        <v>6190805.6773150945</v>
      </c>
      <c r="AG734" s="350">
        <v>38240.438257342561</v>
      </c>
      <c r="AH734" s="350">
        <v>36613.87779154296</v>
      </c>
      <c r="AI734" s="350">
        <v>34943.549158504466</v>
      </c>
      <c r="AJ734" s="350">
        <v>33229.537676297259</v>
      </c>
      <c r="AK734" s="348">
        <v>6333833.0801987806</v>
      </c>
      <c r="AL734" s="369"/>
      <c r="AM734" s="350">
        <v>8190913.5310989572</v>
      </c>
      <c r="AN734" s="350">
        <v>2063057.5156470793</v>
      </c>
      <c r="AO734" s="350">
        <v>2084563.6652288849</v>
      </c>
      <c r="AP734" s="350">
        <v>2104392.9711062703</v>
      </c>
      <c r="AQ734" s="350">
        <v>2122489.0944399899</v>
      </c>
      <c r="AR734" s="348">
        <v>16565416.777521182</v>
      </c>
      <c r="AS734" s="369"/>
      <c r="AT734" s="350">
        <f t="shared" si="315"/>
        <v>2000107.8537838627</v>
      </c>
      <c r="AU734" s="350">
        <f t="shared" si="298"/>
        <v>2024817.0773897367</v>
      </c>
      <c r="AV734" s="350">
        <f t="shared" si="299"/>
        <v>2047949.7874373419</v>
      </c>
      <c r="AW734" s="350">
        <f t="shared" si="300"/>
        <v>2069449.4219477659</v>
      </c>
      <c r="AX734" s="350">
        <f t="shared" si="301"/>
        <v>2089259.5567636925</v>
      </c>
      <c r="AY734" s="350">
        <f t="shared" si="302"/>
        <v>10231583.697322402</v>
      </c>
      <c r="AZ734" s="365"/>
      <c r="BA734" s="377">
        <f t="shared" si="303"/>
        <v>0</v>
      </c>
      <c r="BB734" s="377">
        <f t="shared" si="304"/>
        <v>0</v>
      </c>
      <c r="BC734" s="377">
        <f t="shared" si="305"/>
        <v>0</v>
      </c>
      <c r="BD734" s="377">
        <f t="shared" si="306"/>
        <v>0</v>
      </c>
      <c r="BE734" s="377">
        <f t="shared" si="307"/>
        <v>0</v>
      </c>
      <c r="BF734" s="377">
        <f t="shared" si="308"/>
        <v>0</v>
      </c>
      <c r="BG734" s="328"/>
    </row>
    <row r="735" spans="2:59">
      <c r="B735" s="332">
        <v>720</v>
      </c>
      <c r="C735" s="350">
        <v>5770492.5296303388</v>
      </c>
      <c r="D735" s="350">
        <v>35644.17537807281</v>
      </c>
      <c r="E735" s="350">
        <v>34128.047186342366</v>
      </c>
      <c r="F735" s="350">
        <v>32571.12238505634</v>
      </c>
      <c r="G735" s="350">
        <v>30973.480499764122</v>
      </c>
      <c r="H735" s="348">
        <v>5903809.3550795745</v>
      </c>
      <c r="I735" s="369"/>
      <c r="J735" s="350">
        <v>7355194.2799495971</v>
      </c>
      <c r="K735" s="350">
        <v>1639923.2449019826</v>
      </c>
      <c r="L735" s="350">
        <v>1656735.3513765542</v>
      </c>
      <c r="M735" s="350">
        <v>1672212.7621864437</v>
      </c>
      <c r="N735" s="350">
        <v>1686310.8515375771</v>
      </c>
      <c r="O735" s="348">
        <v>14010376.489952154</v>
      </c>
      <c r="P735" s="369"/>
      <c r="Q735" s="350">
        <f t="shared" si="309"/>
        <v>1584701.7503192583</v>
      </c>
      <c r="R735" s="350">
        <f t="shared" si="310"/>
        <v>1604279.0695239098</v>
      </c>
      <c r="S735" s="350">
        <f t="shared" si="311"/>
        <v>1622607.3041902119</v>
      </c>
      <c r="T735" s="350">
        <f t="shared" si="312"/>
        <v>1639641.6398013872</v>
      </c>
      <c r="U735" s="350">
        <f t="shared" si="313"/>
        <v>1655337.3710378129</v>
      </c>
      <c r="V735" s="350">
        <f t="shared" si="314"/>
        <v>8106567.1348725799</v>
      </c>
      <c r="W735" s="365"/>
      <c r="X735" s="377">
        <f t="shared" si="292"/>
        <v>0</v>
      </c>
      <c r="Y735" s="377">
        <f t="shared" si="293"/>
        <v>0</v>
      </c>
      <c r="Z735" s="377">
        <f t="shared" si="294"/>
        <v>0</v>
      </c>
      <c r="AA735" s="377">
        <f t="shared" si="295"/>
        <v>0</v>
      </c>
      <c r="AB735" s="377">
        <f t="shared" si="296"/>
        <v>0</v>
      </c>
      <c r="AC735" s="377">
        <f t="shared" si="297"/>
        <v>0</v>
      </c>
      <c r="AD735" s="376"/>
      <c r="AE735" s="332">
        <v>720</v>
      </c>
      <c r="AF735" s="350">
        <v>6658798.1565568214</v>
      </c>
      <c r="AG735" s="350">
        <v>41131.215070597493</v>
      </c>
      <c r="AH735" s="350">
        <v>39381.695154166628</v>
      </c>
      <c r="AI735" s="350">
        <v>37585.098426336779</v>
      </c>
      <c r="AJ735" s="350">
        <v>35741.516654765066</v>
      </c>
      <c r="AK735" s="348">
        <v>6812637.6818626877</v>
      </c>
      <c r="AL735" s="369"/>
      <c r="AM735" s="350">
        <v>8931706.9000048228</v>
      </c>
      <c r="AN735" s="350">
        <v>2342119.3494731188</v>
      </c>
      <c r="AO735" s="350">
        <v>2366657.6813979615</v>
      </c>
      <c r="AP735" s="350">
        <v>2389293.1207562098</v>
      </c>
      <c r="AQ735" s="350">
        <v>2409961.6392930364</v>
      </c>
      <c r="AR735" s="348">
        <v>18439738.690925151</v>
      </c>
      <c r="AS735" s="369"/>
      <c r="AT735" s="350">
        <f t="shared" si="315"/>
        <v>2272908.7434480013</v>
      </c>
      <c r="AU735" s="350">
        <f t="shared" si="298"/>
        <v>2300988.1344025214</v>
      </c>
      <c r="AV735" s="350">
        <f t="shared" si="299"/>
        <v>2327275.9862437947</v>
      </c>
      <c r="AW735" s="350">
        <f t="shared" si="300"/>
        <v>2351708.0223298729</v>
      </c>
      <c r="AX735" s="350">
        <f t="shared" si="301"/>
        <v>2374220.1226382712</v>
      </c>
      <c r="AY735" s="350">
        <f t="shared" si="302"/>
        <v>11627101.009062463</v>
      </c>
      <c r="AZ735" s="365"/>
      <c r="BA735" s="377">
        <f t="shared" si="303"/>
        <v>0</v>
      </c>
      <c r="BB735" s="377">
        <f t="shared" si="304"/>
        <v>0</v>
      </c>
      <c r="BC735" s="377">
        <f t="shared" si="305"/>
        <v>0</v>
      </c>
      <c r="BD735" s="377">
        <f t="shared" si="306"/>
        <v>0</v>
      </c>
      <c r="BE735" s="377">
        <f t="shared" si="307"/>
        <v>0</v>
      </c>
      <c r="BF735" s="377">
        <f t="shared" si="308"/>
        <v>0</v>
      </c>
      <c r="BG735" s="328"/>
    </row>
    <row r="736" spans="2:59">
      <c r="B736" s="332">
        <v>721</v>
      </c>
      <c r="C736" s="350">
        <v>7850704.6195125245</v>
      </c>
      <c r="D736" s="350">
        <v>48493.588868275074</v>
      </c>
      <c r="E736" s="350">
        <v>46430.9097230435</v>
      </c>
      <c r="F736" s="350">
        <v>44312.727147303071</v>
      </c>
      <c r="G736" s="350">
        <v>42139.149334876391</v>
      </c>
      <c r="H736" s="348">
        <v>8032080.9945860235</v>
      </c>
      <c r="I736" s="369"/>
      <c r="J736" s="350">
        <v>9845278.2270318251</v>
      </c>
      <c r="K736" s="350">
        <v>2067708.0502161968</v>
      </c>
      <c r="L736" s="350">
        <v>2088714.0735132159</v>
      </c>
      <c r="M736" s="350">
        <v>2108036.0365199642</v>
      </c>
      <c r="N736" s="350">
        <v>2125617.7793971207</v>
      </c>
      <c r="O736" s="348">
        <v>18235354.166678324</v>
      </c>
      <c r="P736" s="369"/>
      <c r="Q736" s="350">
        <f t="shared" si="309"/>
        <v>1994573.6075193007</v>
      </c>
      <c r="R736" s="350">
        <f t="shared" si="310"/>
        <v>2019214.4613479218</v>
      </c>
      <c r="S736" s="350">
        <f t="shared" si="311"/>
        <v>2042283.1637901724</v>
      </c>
      <c r="T736" s="350">
        <f t="shared" si="312"/>
        <v>2063723.3093726612</v>
      </c>
      <c r="U736" s="350">
        <f t="shared" si="313"/>
        <v>2083478.6300622444</v>
      </c>
      <c r="V736" s="350">
        <f t="shared" si="314"/>
        <v>10203273.1720923</v>
      </c>
      <c r="W736" s="365"/>
      <c r="X736" s="377">
        <f t="shared" si="292"/>
        <v>0</v>
      </c>
      <c r="Y736" s="377">
        <f t="shared" si="293"/>
        <v>0</v>
      </c>
      <c r="Z736" s="377">
        <f t="shared" si="294"/>
        <v>0</v>
      </c>
      <c r="AA736" s="377">
        <f t="shared" si="295"/>
        <v>0</v>
      </c>
      <c r="AB736" s="377">
        <f t="shared" si="296"/>
        <v>0</v>
      </c>
      <c r="AC736" s="377">
        <f t="shared" si="297"/>
        <v>0</v>
      </c>
      <c r="AD736" s="376"/>
      <c r="AE736" s="332">
        <v>721</v>
      </c>
      <c r="AF736" s="350">
        <v>6274088.3196112467</v>
      </c>
      <c r="AG736" s="350">
        <v>38754.872873228232</v>
      </c>
      <c r="AH736" s="350">
        <v>37106.430884972862</v>
      </c>
      <c r="AI736" s="350">
        <v>35413.631932349555</v>
      </c>
      <c r="AJ736" s="350">
        <v>33676.562481179688</v>
      </c>
      <c r="AK736" s="348">
        <v>6419039.8177829776</v>
      </c>
      <c r="AL736" s="369"/>
      <c r="AM736" s="350">
        <v>7973257.3072173577</v>
      </c>
      <c r="AN736" s="350">
        <v>1758915.3017056175</v>
      </c>
      <c r="AO736" s="350">
        <v>1776918.9916950525</v>
      </c>
      <c r="AP736" s="350">
        <v>1793490.9638825797</v>
      </c>
      <c r="AQ736" s="350">
        <v>1808583.3702298487</v>
      </c>
      <c r="AR736" s="348">
        <v>15111165.934730455</v>
      </c>
      <c r="AS736" s="369"/>
      <c r="AT736" s="350">
        <f t="shared" si="315"/>
        <v>1699168.987606111</v>
      </c>
      <c r="AU736" s="350">
        <f t="shared" si="298"/>
        <v>1720160.4288323892</v>
      </c>
      <c r="AV736" s="350">
        <f t="shared" si="299"/>
        <v>1739812.5608100796</v>
      </c>
      <c r="AW736" s="350">
        <f t="shared" si="300"/>
        <v>1758077.3319502301</v>
      </c>
      <c r="AX736" s="350">
        <f t="shared" si="301"/>
        <v>1774906.8077486691</v>
      </c>
      <c r="AY736" s="350">
        <f t="shared" si="302"/>
        <v>8692126.1169474777</v>
      </c>
      <c r="AZ736" s="365"/>
      <c r="BA736" s="377">
        <f t="shared" si="303"/>
        <v>0</v>
      </c>
      <c r="BB736" s="377">
        <f t="shared" si="304"/>
        <v>0</v>
      </c>
      <c r="BC736" s="377">
        <f t="shared" si="305"/>
        <v>0</v>
      </c>
      <c r="BD736" s="377">
        <f t="shared" si="306"/>
        <v>0</v>
      </c>
      <c r="BE736" s="377">
        <f t="shared" si="307"/>
        <v>0</v>
      </c>
      <c r="BF736" s="377">
        <f t="shared" si="308"/>
        <v>0</v>
      </c>
      <c r="BG736" s="328"/>
    </row>
    <row r="737" spans="2:59">
      <c r="B737" s="332">
        <v>722</v>
      </c>
      <c r="C737" s="350">
        <v>6355157.1565716313</v>
      </c>
      <c r="D737" s="350">
        <v>39255.632873779869</v>
      </c>
      <c r="E737" s="350">
        <v>37585.891014054359</v>
      </c>
      <c r="F737" s="350">
        <v>35871.219044141872</v>
      </c>
      <c r="G737" s="350">
        <v>34111.704547101755</v>
      </c>
      <c r="H737" s="348">
        <v>6501981.6040507089</v>
      </c>
      <c r="I737" s="369"/>
      <c r="J737" s="350">
        <v>7939761.0718618315</v>
      </c>
      <c r="K737" s="350">
        <v>1643435.6587200051</v>
      </c>
      <c r="L737" s="350">
        <v>1660093.0199929231</v>
      </c>
      <c r="M737" s="350">
        <v>1675411.6319822122</v>
      </c>
      <c r="N737" s="350">
        <v>1689346.8797112978</v>
      </c>
      <c r="O737" s="348">
        <v>14608048.262268271</v>
      </c>
      <c r="P737" s="369"/>
      <c r="Q737" s="350">
        <f t="shared" si="309"/>
        <v>1584603.9152902002</v>
      </c>
      <c r="R737" s="350">
        <f t="shared" si="310"/>
        <v>1604180.0258462252</v>
      </c>
      <c r="S737" s="350">
        <f t="shared" si="311"/>
        <v>1622507.1289788687</v>
      </c>
      <c r="T737" s="350">
        <f t="shared" si="312"/>
        <v>1639540.4129380703</v>
      </c>
      <c r="U737" s="350">
        <f t="shared" si="313"/>
        <v>1655235.1751641959</v>
      </c>
      <c r="V737" s="350">
        <f t="shared" si="314"/>
        <v>8106066.6582175624</v>
      </c>
      <c r="W737" s="365"/>
      <c r="X737" s="377">
        <f t="shared" si="292"/>
        <v>0</v>
      </c>
      <c r="Y737" s="377">
        <f t="shared" si="293"/>
        <v>0</v>
      </c>
      <c r="Z737" s="377">
        <f t="shared" si="294"/>
        <v>0</v>
      </c>
      <c r="AA737" s="377">
        <f t="shared" si="295"/>
        <v>0</v>
      </c>
      <c r="AB737" s="377">
        <f t="shared" si="296"/>
        <v>0</v>
      </c>
      <c r="AC737" s="377">
        <f t="shared" si="297"/>
        <v>0</v>
      </c>
      <c r="AD737" s="376"/>
      <c r="AE737" s="332">
        <v>722</v>
      </c>
      <c r="AF737" s="350">
        <v>6776553.6989184124</v>
      </c>
      <c r="AG737" s="350">
        <v>41858.58785240398</v>
      </c>
      <c r="AH737" s="350">
        <v>40078.129069564573</v>
      </c>
      <c r="AI737" s="350">
        <v>38249.760959400977</v>
      </c>
      <c r="AJ737" s="350">
        <v>36373.576912419769</v>
      </c>
      <c r="AK737" s="348">
        <v>6933113.7537122015</v>
      </c>
      <c r="AL737" s="369"/>
      <c r="AM737" s="350">
        <v>8947327.7394612394</v>
      </c>
      <c r="AN737" s="350">
        <v>2239450.2527868962</v>
      </c>
      <c r="AO737" s="350">
        <v>2262776.3833131008</v>
      </c>
      <c r="AP737" s="350">
        <v>2284282.1811020896</v>
      </c>
      <c r="AQ737" s="350">
        <v>2303906.5007988033</v>
      </c>
      <c r="AR737" s="348">
        <v>18037743.05746213</v>
      </c>
      <c r="AS737" s="369"/>
      <c r="AT737" s="350">
        <f t="shared" si="315"/>
        <v>2170774.040542827</v>
      </c>
      <c r="AU737" s="350">
        <f t="shared" si="298"/>
        <v>2197591.6649344922</v>
      </c>
      <c r="AV737" s="350">
        <f t="shared" si="299"/>
        <v>2222698.2542435364</v>
      </c>
      <c r="AW737" s="350">
        <f t="shared" si="300"/>
        <v>2246032.4201426888</v>
      </c>
      <c r="AX737" s="350">
        <f t="shared" si="301"/>
        <v>2267532.9238863834</v>
      </c>
      <c r="AY737" s="350">
        <f t="shared" si="302"/>
        <v>11104629.303749928</v>
      </c>
      <c r="AZ737" s="365"/>
      <c r="BA737" s="377">
        <f t="shared" si="303"/>
        <v>0</v>
      </c>
      <c r="BB737" s="377">
        <f t="shared" si="304"/>
        <v>0</v>
      </c>
      <c r="BC737" s="377">
        <f t="shared" si="305"/>
        <v>0</v>
      </c>
      <c r="BD737" s="377">
        <f t="shared" si="306"/>
        <v>0</v>
      </c>
      <c r="BE737" s="377">
        <f t="shared" si="307"/>
        <v>0</v>
      </c>
      <c r="BF737" s="377">
        <f t="shared" si="308"/>
        <v>0</v>
      </c>
      <c r="BG737" s="328"/>
    </row>
    <row r="738" spans="2:59">
      <c r="B738" s="332">
        <v>723</v>
      </c>
      <c r="C738" s="350">
        <v>6370931.9299360234</v>
      </c>
      <c r="D738" s="350">
        <v>39353.073219722093</v>
      </c>
      <c r="E738" s="350">
        <v>37679.186726157925</v>
      </c>
      <c r="F738" s="350">
        <v>35960.258596868109</v>
      </c>
      <c r="G738" s="350">
        <v>34196.376632313986</v>
      </c>
      <c r="H738" s="348">
        <v>6518120.8251110855</v>
      </c>
      <c r="I738" s="369"/>
      <c r="J738" s="350">
        <v>7819802.3655693587</v>
      </c>
      <c r="K738" s="350">
        <v>1506122.7753862473</v>
      </c>
      <c r="L738" s="350">
        <v>1521206.1350685053</v>
      </c>
      <c r="M738" s="350">
        <v>1535061.4594777217</v>
      </c>
      <c r="N738" s="350">
        <v>1547647.9629718352</v>
      </c>
      <c r="O738" s="348">
        <v>13929840.698473668</v>
      </c>
      <c r="P738" s="369"/>
      <c r="Q738" s="350">
        <f t="shared" si="309"/>
        <v>1448870.4356333353</v>
      </c>
      <c r="R738" s="350">
        <f t="shared" si="310"/>
        <v>1466769.7021665252</v>
      </c>
      <c r="S738" s="350">
        <f t="shared" si="311"/>
        <v>1483526.9483423473</v>
      </c>
      <c r="T738" s="350">
        <f t="shared" si="312"/>
        <v>1499101.2008808537</v>
      </c>
      <c r="U738" s="350">
        <f t="shared" si="313"/>
        <v>1513451.5863395212</v>
      </c>
      <c r="V738" s="350">
        <f t="shared" si="314"/>
        <v>7411719.8733625822</v>
      </c>
      <c r="W738" s="365"/>
      <c r="X738" s="377">
        <f t="shared" si="292"/>
        <v>0</v>
      </c>
      <c r="Y738" s="377">
        <f t="shared" si="293"/>
        <v>0</v>
      </c>
      <c r="Z738" s="377">
        <f t="shared" si="294"/>
        <v>0</v>
      </c>
      <c r="AA738" s="377">
        <f t="shared" si="295"/>
        <v>0</v>
      </c>
      <c r="AB738" s="377">
        <f t="shared" si="296"/>
        <v>0</v>
      </c>
      <c r="AC738" s="377">
        <f t="shared" si="297"/>
        <v>0</v>
      </c>
      <c r="AD738" s="376"/>
      <c r="AE738" s="332">
        <v>723</v>
      </c>
      <c r="AF738" s="350">
        <v>6670172.9666040251</v>
      </c>
      <c r="AG738" s="350">
        <v>41201.476962824672</v>
      </c>
      <c r="AH738" s="350">
        <v>39448.968450516957</v>
      </c>
      <c r="AI738" s="350">
        <v>37649.302708422714</v>
      </c>
      <c r="AJ738" s="350">
        <v>35802.571660967093</v>
      </c>
      <c r="AK738" s="348">
        <v>6824275.2863867572</v>
      </c>
      <c r="AL738" s="369"/>
      <c r="AM738" s="350">
        <v>8905247.5522229038</v>
      </c>
      <c r="AN738" s="350">
        <v>2303888.0524088442</v>
      </c>
      <c r="AO738" s="350">
        <v>2327985.8160336483</v>
      </c>
      <c r="AP738" s="350">
        <v>2350211.498026398</v>
      </c>
      <c r="AQ738" s="350">
        <v>2370502.1376117319</v>
      </c>
      <c r="AR738" s="348">
        <v>18257835.056303527</v>
      </c>
      <c r="AS738" s="369"/>
      <c r="AT738" s="350">
        <f t="shared" si="315"/>
        <v>2235074.5856188787</v>
      </c>
      <c r="AU738" s="350">
        <f t="shared" si="298"/>
        <v>2262686.5754460194</v>
      </c>
      <c r="AV738" s="350">
        <f t="shared" si="299"/>
        <v>2288536.8475831314</v>
      </c>
      <c r="AW738" s="350">
        <f t="shared" si="300"/>
        <v>2312562.1953179752</v>
      </c>
      <c r="AX738" s="350">
        <f t="shared" si="301"/>
        <v>2334699.5659507648</v>
      </c>
      <c r="AY738" s="350">
        <f t="shared" si="302"/>
        <v>11433559.769916769</v>
      </c>
      <c r="AZ738" s="365"/>
      <c r="BA738" s="377">
        <f t="shared" si="303"/>
        <v>0</v>
      </c>
      <c r="BB738" s="377">
        <f t="shared" si="304"/>
        <v>0</v>
      </c>
      <c r="BC738" s="377">
        <f t="shared" si="305"/>
        <v>0</v>
      </c>
      <c r="BD738" s="377">
        <f t="shared" si="306"/>
        <v>0</v>
      </c>
      <c r="BE738" s="377">
        <f t="shared" si="307"/>
        <v>0</v>
      </c>
      <c r="BF738" s="377">
        <f t="shared" si="308"/>
        <v>0</v>
      </c>
      <c r="BG738" s="328"/>
    </row>
    <row r="739" spans="2:59">
      <c r="B739" s="332">
        <v>724</v>
      </c>
      <c r="C739" s="350">
        <v>5114196.9423109964</v>
      </c>
      <c r="D739" s="350">
        <v>31590.255388722831</v>
      </c>
      <c r="E739" s="350">
        <v>30246.561046779265</v>
      </c>
      <c r="F739" s="350">
        <v>28866.71001720435</v>
      </c>
      <c r="G739" s="350">
        <v>27450.772780875468</v>
      </c>
      <c r="H739" s="348">
        <v>5232351.2415445782</v>
      </c>
      <c r="I739" s="369"/>
      <c r="J739" s="350">
        <v>7458483.7694182051</v>
      </c>
      <c r="K739" s="350">
        <v>2404838.2744125142</v>
      </c>
      <c r="L739" s="350">
        <v>2430607.9716495788</v>
      </c>
      <c r="M739" s="350">
        <v>2454427.4166854918</v>
      </c>
      <c r="N739" s="350">
        <v>2476230.5463631488</v>
      </c>
      <c r="O739" s="348">
        <v>17224587.978528939</v>
      </c>
      <c r="P739" s="369"/>
      <c r="Q739" s="350">
        <f t="shared" si="309"/>
        <v>2344286.8271072088</v>
      </c>
      <c r="R739" s="350">
        <f t="shared" si="310"/>
        <v>2373248.0190237914</v>
      </c>
      <c r="S739" s="350">
        <f t="shared" si="311"/>
        <v>2400361.4106027996</v>
      </c>
      <c r="T739" s="350">
        <f t="shared" si="312"/>
        <v>2425560.7066682875</v>
      </c>
      <c r="U739" s="350">
        <f t="shared" si="313"/>
        <v>2448779.7735822732</v>
      </c>
      <c r="V739" s="350">
        <f t="shared" si="314"/>
        <v>11992236.736984361</v>
      </c>
      <c r="W739" s="365"/>
      <c r="X739" s="377">
        <f t="shared" si="292"/>
        <v>0</v>
      </c>
      <c r="Y739" s="377">
        <f t="shared" si="293"/>
        <v>0</v>
      </c>
      <c r="Z739" s="377">
        <f t="shared" si="294"/>
        <v>0</v>
      </c>
      <c r="AA739" s="377">
        <f t="shared" si="295"/>
        <v>0</v>
      </c>
      <c r="AB739" s="377">
        <f t="shared" si="296"/>
        <v>0</v>
      </c>
      <c r="AC739" s="377">
        <f t="shared" si="297"/>
        <v>0</v>
      </c>
      <c r="AD739" s="376"/>
      <c r="AE739" s="332">
        <v>724</v>
      </c>
      <c r="AF739" s="350">
        <v>5949246.3618987137</v>
      </c>
      <c r="AG739" s="350">
        <v>36748.332937269617</v>
      </c>
      <c r="AH739" s="350">
        <v>35185.239304877876</v>
      </c>
      <c r="AI739" s="350">
        <v>33580.08529727006</v>
      </c>
      <c r="AJ739" s="350">
        <v>31932.952903478905</v>
      </c>
      <c r="AK739" s="348">
        <v>6086692.9723416101</v>
      </c>
      <c r="AL739" s="369"/>
      <c r="AM739" s="350">
        <v>8939854.0487352982</v>
      </c>
      <c r="AN739" s="350">
        <v>3064301.8244271865</v>
      </c>
      <c r="AO739" s="350">
        <v>3097327.2957838494</v>
      </c>
      <c r="AP739" s="350">
        <v>3127868.8943173205</v>
      </c>
      <c r="AQ739" s="350">
        <v>3155842.3353069606</v>
      </c>
      <c r="AR739" s="348">
        <v>21385194.398570616</v>
      </c>
      <c r="AS739" s="369"/>
      <c r="AT739" s="350">
        <f t="shared" si="315"/>
        <v>2990607.6868365845</v>
      </c>
      <c r="AU739" s="350">
        <f t="shared" si="298"/>
        <v>3027553.491489917</v>
      </c>
      <c r="AV739" s="350">
        <f t="shared" si="299"/>
        <v>3062142.0564789716</v>
      </c>
      <c r="AW739" s="350">
        <f t="shared" si="300"/>
        <v>3094288.8090200503</v>
      </c>
      <c r="AX739" s="350">
        <f t="shared" si="301"/>
        <v>3123909.3824034818</v>
      </c>
      <c r="AY739" s="350">
        <f t="shared" si="302"/>
        <v>15298501.426229006</v>
      </c>
      <c r="AZ739" s="365"/>
      <c r="BA739" s="377">
        <f t="shared" si="303"/>
        <v>0</v>
      </c>
      <c r="BB739" s="377">
        <f t="shared" si="304"/>
        <v>0</v>
      </c>
      <c r="BC739" s="377">
        <f t="shared" si="305"/>
        <v>0</v>
      </c>
      <c r="BD739" s="377">
        <f t="shared" si="306"/>
        <v>0</v>
      </c>
      <c r="BE739" s="377">
        <f t="shared" si="307"/>
        <v>0</v>
      </c>
      <c r="BF739" s="377">
        <f t="shared" si="308"/>
        <v>0</v>
      </c>
      <c r="BG739" s="328"/>
    </row>
    <row r="740" spans="2:59">
      <c r="B740" s="332">
        <v>725</v>
      </c>
      <c r="C740" s="350">
        <v>5762396.3837432256</v>
      </c>
      <c r="D740" s="350">
        <v>35594.165705171115</v>
      </c>
      <c r="E740" s="350">
        <v>34080.164679356567</v>
      </c>
      <c r="F740" s="350">
        <v>32525.424282651446</v>
      </c>
      <c r="G740" s="350">
        <v>30930.023929035309</v>
      </c>
      <c r="H740" s="348">
        <v>5895526.1623394405</v>
      </c>
      <c r="I740" s="369"/>
      <c r="J740" s="350">
        <v>7737905.8197691096</v>
      </c>
      <c r="K740" s="350">
        <v>2035508.9378222723</v>
      </c>
      <c r="L740" s="350">
        <v>2056843.1481533782</v>
      </c>
      <c r="M740" s="350">
        <v>2076523.6280304713</v>
      </c>
      <c r="N740" s="350">
        <v>2094494.7266452864</v>
      </c>
      <c r="O740" s="348">
        <v>16001276.260420518</v>
      </c>
      <c r="P740" s="369"/>
      <c r="Q740" s="350">
        <f t="shared" si="309"/>
        <v>1975509.436025884</v>
      </c>
      <c r="R740" s="350">
        <f t="shared" si="310"/>
        <v>1999914.7721171011</v>
      </c>
      <c r="S740" s="350">
        <f t="shared" si="311"/>
        <v>2022762.9834740215</v>
      </c>
      <c r="T740" s="350">
        <f t="shared" si="312"/>
        <v>2043998.2037478199</v>
      </c>
      <c r="U740" s="350">
        <f t="shared" si="313"/>
        <v>2063564.7027162511</v>
      </c>
      <c r="V740" s="350">
        <f t="shared" si="314"/>
        <v>10105750.098081078</v>
      </c>
      <c r="W740" s="365"/>
      <c r="X740" s="377">
        <f t="shared" si="292"/>
        <v>0</v>
      </c>
      <c r="Y740" s="377">
        <f t="shared" si="293"/>
        <v>0</v>
      </c>
      <c r="Z740" s="377">
        <f t="shared" si="294"/>
        <v>0</v>
      </c>
      <c r="AA740" s="377">
        <f t="shared" si="295"/>
        <v>0</v>
      </c>
      <c r="AB740" s="377">
        <f t="shared" si="296"/>
        <v>0</v>
      </c>
      <c r="AC740" s="377">
        <f t="shared" si="297"/>
        <v>0</v>
      </c>
      <c r="AD740" s="376"/>
      <c r="AE740" s="332">
        <v>725</v>
      </c>
      <c r="AF740" s="350">
        <v>5715091.7206110349</v>
      </c>
      <c r="AG740" s="350">
        <v>35301.966087854817</v>
      </c>
      <c r="AH740" s="350">
        <v>33800.39379893052</v>
      </c>
      <c r="AI740" s="350">
        <v>32258.4165767499</v>
      </c>
      <c r="AJ740" s="350">
        <v>30676.113183366087</v>
      </c>
      <c r="AK740" s="348">
        <v>5847128.6102579357</v>
      </c>
      <c r="AL740" s="369"/>
      <c r="AM740" s="350">
        <v>8071632.6827413673</v>
      </c>
      <c r="AN740" s="350">
        <v>2420955.5070521347</v>
      </c>
      <c r="AO740" s="350">
        <v>2446709.054375452</v>
      </c>
      <c r="AP740" s="350">
        <v>2470498.0958274901</v>
      </c>
      <c r="AQ740" s="350">
        <v>2492256.2308363346</v>
      </c>
      <c r="AR740" s="348">
        <v>17902051.570832778</v>
      </c>
      <c r="AS740" s="369"/>
      <c r="AT740" s="350">
        <f t="shared" si="315"/>
        <v>2356540.9621303324</v>
      </c>
      <c r="AU740" s="350">
        <f t="shared" si="298"/>
        <v>2385653.5409642798</v>
      </c>
      <c r="AV740" s="350">
        <f t="shared" si="299"/>
        <v>2412908.6605765214</v>
      </c>
      <c r="AW740" s="350">
        <f t="shared" si="300"/>
        <v>2438239.67925074</v>
      </c>
      <c r="AX740" s="350">
        <f t="shared" si="301"/>
        <v>2461580.1176529685</v>
      </c>
      <c r="AY740" s="350">
        <f t="shared" si="302"/>
        <v>12054922.960574843</v>
      </c>
      <c r="AZ740" s="365"/>
      <c r="BA740" s="377">
        <f t="shared" si="303"/>
        <v>0</v>
      </c>
      <c r="BB740" s="377">
        <f t="shared" si="304"/>
        <v>0</v>
      </c>
      <c r="BC740" s="377">
        <f t="shared" si="305"/>
        <v>0</v>
      </c>
      <c r="BD740" s="377">
        <f t="shared" si="306"/>
        <v>0</v>
      </c>
      <c r="BE740" s="377">
        <f t="shared" si="307"/>
        <v>0</v>
      </c>
      <c r="BF740" s="377">
        <f t="shared" si="308"/>
        <v>0</v>
      </c>
      <c r="BG740" s="328"/>
    </row>
    <row r="741" spans="2:59">
      <c r="B741" s="332">
        <v>726</v>
      </c>
      <c r="C741" s="350">
        <v>4010324.876458948</v>
      </c>
      <c r="D741" s="350">
        <v>24771.66766711124</v>
      </c>
      <c r="E741" s="350">
        <v>23718.002564526694</v>
      </c>
      <c r="F741" s="350">
        <v>22635.985002019548</v>
      </c>
      <c r="G741" s="350">
        <v>21525.670247540766</v>
      </c>
      <c r="H741" s="348">
        <v>4102976.2019401463</v>
      </c>
      <c r="I741" s="369"/>
      <c r="J741" s="350">
        <v>5319981.9179722816</v>
      </c>
      <c r="K741" s="350">
        <v>1350608.1410168521</v>
      </c>
      <c r="L741" s="350">
        <v>1364701.6173775718</v>
      </c>
      <c r="M741" s="350">
        <v>1377697.4145055455</v>
      </c>
      <c r="N741" s="350">
        <v>1389558.6415136387</v>
      </c>
      <c r="O741" s="348">
        <v>10802547.732385889</v>
      </c>
      <c r="P741" s="369"/>
      <c r="Q741" s="350">
        <f t="shared" si="309"/>
        <v>1309657.0415133336</v>
      </c>
      <c r="R741" s="350">
        <f t="shared" si="310"/>
        <v>1325836.473349741</v>
      </c>
      <c r="S741" s="350">
        <f t="shared" si="311"/>
        <v>1340983.6148130451</v>
      </c>
      <c r="T741" s="350">
        <f t="shared" si="312"/>
        <v>1355061.4295035261</v>
      </c>
      <c r="U741" s="350">
        <f t="shared" si="313"/>
        <v>1368032.9712660979</v>
      </c>
      <c r="V741" s="350">
        <f t="shared" si="314"/>
        <v>6699571.5304457424</v>
      </c>
      <c r="W741" s="365"/>
      <c r="X741" s="377">
        <f t="shared" si="292"/>
        <v>0</v>
      </c>
      <c r="Y741" s="377">
        <f t="shared" si="293"/>
        <v>0</v>
      </c>
      <c r="Z741" s="377">
        <f t="shared" si="294"/>
        <v>0</v>
      </c>
      <c r="AA741" s="377">
        <f t="shared" si="295"/>
        <v>0</v>
      </c>
      <c r="AB741" s="377">
        <f t="shared" si="296"/>
        <v>0</v>
      </c>
      <c r="AC741" s="377">
        <f t="shared" si="297"/>
        <v>0</v>
      </c>
      <c r="AD741" s="376"/>
      <c r="AE741" s="332">
        <v>726</v>
      </c>
      <c r="AF741" s="350">
        <v>7268862.0348710157</v>
      </c>
      <c r="AG741" s="350">
        <v>44899.563051085213</v>
      </c>
      <c r="AH741" s="350">
        <v>42989.756115840915</v>
      </c>
      <c r="AI741" s="350">
        <v>41028.559299259694</v>
      </c>
      <c r="AJ741" s="350">
        <v>39016.072776543326</v>
      </c>
      <c r="AK741" s="348">
        <v>7436795.9861137439</v>
      </c>
      <c r="AL741" s="369"/>
      <c r="AM741" s="350">
        <v>9487433.1158813909</v>
      </c>
      <c r="AN741" s="350">
        <v>2290878.7504905732</v>
      </c>
      <c r="AO741" s="350">
        <v>2314628.3405923033</v>
      </c>
      <c r="AP741" s="350">
        <v>2336515.0914185885</v>
      </c>
      <c r="AQ741" s="350">
        <v>2356476.516017911</v>
      </c>
      <c r="AR741" s="348">
        <v>18785931.814400766</v>
      </c>
      <c r="AS741" s="369"/>
      <c r="AT741" s="350">
        <f t="shared" si="315"/>
        <v>2218571.0810103752</v>
      </c>
      <c r="AU741" s="350">
        <f t="shared" si="298"/>
        <v>2245979.1874394882</v>
      </c>
      <c r="AV741" s="350">
        <f t="shared" si="299"/>
        <v>2271638.5844764626</v>
      </c>
      <c r="AW741" s="350">
        <f t="shared" si="300"/>
        <v>2295486.5321193286</v>
      </c>
      <c r="AX741" s="350">
        <f t="shared" si="301"/>
        <v>2317460.4432413676</v>
      </c>
      <c r="AY741" s="350">
        <f t="shared" si="302"/>
        <v>11349135.828287022</v>
      </c>
      <c r="AZ741" s="365"/>
      <c r="BA741" s="377">
        <f t="shared" si="303"/>
        <v>0</v>
      </c>
      <c r="BB741" s="377">
        <f t="shared" si="304"/>
        <v>0</v>
      </c>
      <c r="BC741" s="377">
        <f t="shared" si="305"/>
        <v>0</v>
      </c>
      <c r="BD741" s="377">
        <f t="shared" si="306"/>
        <v>0</v>
      </c>
      <c r="BE741" s="377">
        <f t="shared" si="307"/>
        <v>0</v>
      </c>
      <c r="BF741" s="377">
        <f t="shared" si="308"/>
        <v>0</v>
      </c>
      <c r="BG741" s="328"/>
    </row>
    <row r="742" spans="2:59">
      <c r="B742" s="332">
        <v>727</v>
      </c>
      <c r="C742" s="350">
        <v>5371009.8594530541</v>
      </c>
      <c r="D742" s="350">
        <v>33176.581791704077</v>
      </c>
      <c r="E742" s="350">
        <v>31765.412914151089</v>
      </c>
      <c r="F742" s="350">
        <v>30316.271716027448</v>
      </c>
      <c r="G742" s="350">
        <v>28829.232217455938</v>
      </c>
      <c r="H742" s="348">
        <v>5495097.3580923937</v>
      </c>
      <c r="I742" s="369"/>
      <c r="J742" s="350">
        <v>7618362.4412662117</v>
      </c>
      <c r="K742" s="350">
        <v>2308292.835128977</v>
      </c>
      <c r="L742" s="350">
        <v>2332873.9423936671</v>
      </c>
      <c r="M742" s="350">
        <v>2355582.1280285129</v>
      </c>
      <c r="N742" s="350">
        <v>2376354.0669847345</v>
      </c>
      <c r="O742" s="348">
        <v>16991465.413802102</v>
      </c>
      <c r="P742" s="369"/>
      <c r="Q742" s="350">
        <f t="shared" si="309"/>
        <v>2247352.5818131575</v>
      </c>
      <c r="R742" s="350">
        <f t="shared" si="310"/>
        <v>2275116.2533372729</v>
      </c>
      <c r="S742" s="350">
        <f t="shared" si="311"/>
        <v>2301108.5294795162</v>
      </c>
      <c r="T742" s="350">
        <f t="shared" si="312"/>
        <v>2325265.8563124854</v>
      </c>
      <c r="U742" s="350">
        <f t="shared" si="313"/>
        <v>2347524.8347672787</v>
      </c>
      <c r="V742" s="350">
        <f t="shared" si="314"/>
        <v>11496368.055709708</v>
      </c>
      <c r="W742" s="365"/>
      <c r="X742" s="377">
        <f t="shared" si="292"/>
        <v>0</v>
      </c>
      <c r="Y742" s="377">
        <f t="shared" si="293"/>
        <v>0</v>
      </c>
      <c r="Z742" s="377">
        <f t="shared" si="294"/>
        <v>0</v>
      </c>
      <c r="AA742" s="377">
        <f t="shared" si="295"/>
        <v>0</v>
      </c>
      <c r="AB742" s="377">
        <f t="shared" si="296"/>
        <v>0</v>
      </c>
      <c r="AC742" s="377">
        <f t="shared" si="297"/>
        <v>0</v>
      </c>
      <c r="AD742" s="376"/>
      <c r="AE742" s="332">
        <v>727</v>
      </c>
      <c r="AF742" s="350">
        <v>7363091.105226798</v>
      </c>
      <c r="AG742" s="350">
        <v>45481.613455314735</v>
      </c>
      <c r="AH742" s="350">
        <v>43547.048954003396</v>
      </c>
      <c r="AI742" s="350">
        <v>41560.428384441773</v>
      </c>
      <c r="AJ742" s="350">
        <v>39521.853220444245</v>
      </c>
      <c r="AK742" s="348">
        <v>7533202.0492410026</v>
      </c>
      <c r="AL742" s="369"/>
      <c r="AM742" s="350">
        <v>9409954.9877696037</v>
      </c>
      <c r="AN742" s="350">
        <v>2117632.3410394266</v>
      </c>
      <c r="AO742" s="350">
        <v>2139371.2542519295</v>
      </c>
      <c r="AP742" s="350">
        <v>2159386.8598543284</v>
      </c>
      <c r="AQ742" s="350">
        <v>2177621.5161494766</v>
      </c>
      <c r="AR742" s="348">
        <v>18003966.959064763</v>
      </c>
      <c r="AS742" s="369"/>
      <c r="AT742" s="350">
        <f t="shared" si="315"/>
        <v>2046863.8825428057</v>
      </c>
      <c r="AU742" s="350">
        <f t="shared" si="298"/>
        <v>2072150.727584112</v>
      </c>
      <c r="AV742" s="350">
        <f t="shared" si="299"/>
        <v>2095824.205297926</v>
      </c>
      <c r="AW742" s="350">
        <f t="shared" si="300"/>
        <v>2117826.4314698866</v>
      </c>
      <c r="AX742" s="350">
        <f t="shared" si="301"/>
        <v>2138099.6629290325</v>
      </c>
      <c r="AY742" s="350">
        <f t="shared" si="302"/>
        <v>10470764.90982376</v>
      </c>
      <c r="AZ742" s="365"/>
      <c r="BA742" s="377">
        <f t="shared" si="303"/>
        <v>0</v>
      </c>
      <c r="BB742" s="377">
        <f t="shared" si="304"/>
        <v>0</v>
      </c>
      <c r="BC742" s="377">
        <f t="shared" si="305"/>
        <v>0</v>
      </c>
      <c r="BD742" s="377">
        <f t="shared" si="306"/>
        <v>0</v>
      </c>
      <c r="BE742" s="377">
        <f t="shared" si="307"/>
        <v>0</v>
      </c>
      <c r="BF742" s="377">
        <f t="shared" si="308"/>
        <v>0</v>
      </c>
      <c r="BG742" s="328"/>
    </row>
    <row r="743" spans="2:59">
      <c r="B743" s="332">
        <v>728</v>
      </c>
      <c r="C743" s="350">
        <v>5696282.7444221107</v>
      </c>
      <c r="D743" s="350">
        <v>35185.783553604233</v>
      </c>
      <c r="E743" s="350">
        <v>33689.153099179144</v>
      </c>
      <c r="F743" s="350">
        <v>32152.250688441967</v>
      </c>
      <c r="G743" s="350">
        <v>30575.154824227153</v>
      </c>
      <c r="H743" s="348">
        <v>5827885.0865875632</v>
      </c>
      <c r="I743" s="369"/>
      <c r="J743" s="350">
        <v>8171919.6740980614</v>
      </c>
      <c r="K743" s="350">
        <v>2541406.5971669098</v>
      </c>
      <c r="L743" s="350">
        <v>2568542.518286637</v>
      </c>
      <c r="M743" s="350">
        <v>2593616.8254003553</v>
      </c>
      <c r="N743" s="350">
        <v>2616559.7579133017</v>
      </c>
      <c r="O743" s="348">
        <v>18492045.372865267</v>
      </c>
      <c r="P743" s="369"/>
      <c r="Q743" s="350">
        <f t="shared" si="309"/>
        <v>2475636.9296759507</v>
      </c>
      <c r="R743" s="350">
        <f t="shared" si="310"/>
        <v>2506220.8136133058</v>
      </c>
      <c r="S743" s="350">
        <f t="shared" si="311"/>
        <v>2534853.3651874578</v>
      </c>
      <c r="T743" s="350">
        <f t="shared" si="312"/>
        <v>2561464.5747119132</v>
      </c>
      <c r="U743" s="350">
        <f t="shared" si="313"/>
        <v>2585984.6030890746</v>
      </c>
      <c r="V743" s="350">
        <f t="shared" si="314"/>
        <v>12664160.286277704</v>
      </c>
      <c r="W743" s="365"/>
      <c r="X743" s="377">
        <f t="shared" si="292"/>
        <v>0</v>
      </c>
      <c r="Y743" s="377">
        <f t="shared" si="293"/>
        <v>0</v>
      </c>
      <c r="Z743" s="377">
        <f t="shared" si="294"/>
        <v>0</v>
      </c>
      <c r="AA743" s="377">
        <f t="shared" si="295"/>
        <v>0</v>
      </c>
      <c r="AB743" s="377">
        <f t="shared" si="296"/>
        <v>0</v>
      </c>
      <c r="AC743" s="377">
        <f t="shared" si="297"/>
        <v>0</v>
      </c>
      <c r="AD743" s="376"/>
      <c r="AE743" s="332">
        <v>728</v>
      </c>
      <c r="AF743" s="350">
        <v>5875233.3903723722</v>
      </c>
      <c r="AG743" s="350">
        <v>36291.156825559905</v>
      </c>
      <c r="AH743" s="350">
        <v>34747.509220023974</v>
      </c>
      <c r="AI743" s="350">
        <v>33162.324501066898</v>
      </c>
      <c r="AJ743" s="350">
        <v>31535.683637721981</v>
      </c>
      <c r="AK743" s="348">
        <v>6010970.0645567449</v>
      </c>
      <c r="AL743" s="369"/>
      <c r="AM743" s="350">
        <v>7782803.2740207333</v>
      </c>
      <c r="AN743" s="350">
        <v>1967427.0550314474</v>
      </c>
      <c r="AO743" s="350">
        <v>1987945.8481740437</v>
      </c>
      <c r="AP743" s="350">
        <v>2006865.5853391492</v>
      </c>
      <c r="AQ743" s="350">
        <v>2024132.5338861877</v>
      </c>
      <c r="AR743" s="348">
        <v>15769174.296451561</v>
      </c>
      <c r="AS743" s="369"/>
      <c r="AT743" s="350">
        <f t="shared" si="315"/>
        <v>1907569.8836483611</v>
      </c>
      <c r="AU743" s="350">
        <f t="shared" si="298"/>
        <v>1931135.8982058875</v>
      </c>
      <c r="AV743" s="350">
        <f t="shared" si="299"/>
        <v>1953198.3389540198</v>
      </c>
      <c r="AW743" s="350">
        <f t="shared" si="300"/>
        <v>1973703.2608380823</v>
      </c>
      <c r="AX743" s="350">
        <f t="shared" si="301"/>
        <v>1992596.8502484658</v>
      </c>
      <c r="AY743" s="350">
        <f t="shared" si="302"/>
        <v>9758204.2318948172</v>
      </c>
      <c r="AZ743" s="365"/>
      <c r="BA743" s="377">
        <f t="shared" si="303"/>
        <v>0</v>
      </c>
      <c r="BB743" s="377">
        <f t="shared" si="304"/>
        <v>0</v>
      </c>
      <c r="BC743" s="377">
        <f t="shared" si="305"/>
        <v>0</v>
      </c>
      <c r="BD743" s="377">
        <f t="shared" si="306"/>
        <v>0</v>
      </c>
      <c r="BE743" s="377">
        <f t="shared" si="307"/>
        <v>0</v>
      </c>
      <c r="BF743" s="377">
        <f t="shared" si="308"/>
        <v>0</v>
      </c>
      <c r="BG743" s="328"/>
    </row>
    <row r="744" spans="2:59">
      <c r="B744" s="332">
        <v>729</v>
      </c>
      <c r="C744" s="350">
        <v>4407369.3183531519</v>
      </c>
      <c r="D744" s="350">
        <v>27224.200383703272</v>
      </c>
      <c r="E744" s="350">
        <v>26066.216582388177</v>
      </c>
      <c r="F744" s="350">
        <v>24877.073270106725</v>
      </c>
      <c r="G744" s="350">
        <v>23656.831186646894</v>
      </c>
      <c r="H744" s="348">
        <v>4509193.639775997</v>
      </c>
      <c r="I744" s="369"/>
      <c r="J744" s="350">
        <v>6400279.7740730541</v>
      </c>
      <c r="K744" s="350">
        <v>2044754.9634453866</v>
      </c>
      <c r="L744" s="350">
        <v>2066646.4465194643</v>
      </c>
      <c r="M744" s="350">
        <v>2086879.571175846</v>
      </c>
      <c r="N744" s="350">
        <v>2105398.1770396084</v>
      </c>
      <c r="O744" s="348">
        <v>14703958.932253359</v>
      </c>
      <c r="P744" s="369"/>
      <c r="Q744" s="350">
        <f t="shared" si="309"/>
        <v>1992910.4557199022</v>
      </c>
      <c r="R744" s="350">
        <f t="shared" si="310"/>
        <v>2017530.7630616834</v>
      </c>
      <c r="S744" s="350">
        <f t="shared" si="311"/>
        <v>2040580.2299370761</v>
      </c>
      <c r="T744" s="350">
        <f t="shared" si="312"/>
        <v>2062002.4979057394</v>
      </c>
      <c r="U744" s="350">
        <f t="shared" si="313"/>
        <v>2081741.3458529615</v>
      </c>
      <c r="V744" s="350">
        <f t="shared" si="314"/>
        <v>10194765.292477362</v>
      </c>
      <c r="W744" s="365"/>
      <c r="X744" s="377">
        <f t="shared" si="292"/>
        <v>0</v>
      </c>
      <c r="Y744" s="377">
        <f t="shared" si="293"/>
        <v>0</v>
      </c>
      <c r="Z744" s="377">
        <f t="shared" si="294"/>
        <v>0</v>
      </c>
      <c r="AA744" s="377">
        <f t="shared" si="295"/>
        <v>0</v>
      </c>
      <c r="AB744" s="377">
        <f t="shared" si="296"/>
        <v>0</v>
      </c>
      <c r="AC744" s="377">
        <f t="shared" si="297"/>
        <v>0</v>
      </c>
      <c r="AD744" s="376"/>
      <c r="AE744" s="332">
        <v>729</v>
      </c>
      <c r="AF744" s="350">
        <v>4108286.2588248244</v>
      </c>
      <c r="AG744" s="350">
        <v>25376.772461094886</v>
      </c>
      <c r="AH744" s="350">
        <v>24297.369171910421</v>
      </c>
      <c r="AI744" s="350">
        <v>23188.920848944781</v>
      </c>
      <c r="AJ744" s="350">
        <v>22051.484110197576</v>
      </c>
      <c r="AK744" s="348">
        <v>4203200.8054169724</v>
      </c>
      <c r="AL744" s="369"/>
      <c r="AM744" s="350">
        <v>5707218.1669794377</v>
      </c>
      <c r="AN744" s="350">
        <v>1644061.7984160383</v>
      </c>
      <c r="AO744" s="350">
        <v>1661475.2119753184</v>
      </c>
      <c r="AP744" s="350">
        <v>1677554.0626109331</v>
      </c>
      <c r="AQ744" s="350">
        <v>1692253.3001805742</v>
      </c>
      <c r="AR744" s="348">
        <v>12382562.540162303</v>
      </c>
      <c r="AS744" s="369"/>
      <c r="AT744" s="350">
        <f t="shared" si="315"/>
        <v>1598931.9081546133</v>
      </c>
      <c r="AU744" s="350">
        <f t="shared" si="298"/>
        <v>1618685.0259549434</v>
      </c>
      <c r="AV744" s="350">
        <f t="shared" si="299"/>
        <v>1637177.8428034079</v>
      </c>
      <c r="AW744" s="350">
        <f t="shared" si="300"/>
        <v>1654365.1417619884</v>
      </c>
      <c r="AX744" s="350">
        <f t="shared" si="301"/>
        <v>1670201.8160703767</v>
      </c>
      <c r="AY744" s="350">
        <f t="shared" si="302"/>
        <v>8179361.7347453302</v>
      </c>
      <c r="AZ744" s="365"/>
      <c r="BA744" s="377">
        <f t="shared" si="303"/>
        <v>0</v>
      </c>
      <c r="BB744" s="377">
        <f t="shared" si="304"/>
        <v>0</v>
      </c>
      <c r="BC744" s="377">
        <f t="shared" si="305"/>
        <v>0</v>
      </c>
      <c r="BD744" s="377">
        <f t="shared" si="306"/>
        <v>0</v>
      </c>
      <c r="BE744" s="377">
        <f t="shared" si="307"/>
        <v>0</v>
      </c>
      <c r="BF744" s="377">
        <f t="shared" si="308"/>
        <v>0</v>
      </c>
      <c r="BG744" s="328"/>
    </row>
    <row r="745" spans="2:59">
      <c r="B745" s="332">
        <v>730</v>
      </c>
      <c r="C745" s="350">
        <v>5866253.1569517711</v>
      </c>
      <c r="D745" s="350">
        <v>36235.6861680152</v>
      </c>
      <c r="E745" s="350">
        <v>34694.39801186393</v>
      </c>
      <c r="F745" s="350">
        <v>33111.636231341639</v>
      </c>
      <c r="G745" s="350">
        <v>31487.481671718466</v>
      </c>
      <c r="H745" s="348">
        <v>6001782.3590347106</v>
      </c>
      <c r="I745" s="369"/>
      <c r="J745" s="350">
        <v>8285814.3056682656</v>
      </c>
      <c r="K745" s="350">
        <v>2485687.9616748076</v>
      </c>
      <c r="L745" s="350">
        <v>2512130.6676766779</v>
      </c>
      <c r="M745" s="350">
        <v>2536556.3435284668</v>
      </c>
      <c r="N745" s="350">
        <v>2558896.8129068874</v>
      </c>
      <c r="O745" s="348">
        <v>18379086.091455106</v>
      </c>
      <c r="P745" s="369"/>
      <c r="Q745" s="350">
        <f t="shared" si="309"/>
        <v>2419561.1487164944</v>
      </c>
      <c r="R745" s="350">
        <f t="shared" si="310"/>
        <v>2449452.2755067926</v>
      </c>
      <c r="S745" s="350">
        <f t="shared" si="311"/>
        <v>2477436.2696648138</v>
      </c>
      <c r="T745" s="350">
        <f t="shared" si="312"/>
        <v>2503444.7072971249</v>
      </c>
      <c r="U745" s="350">
        <f t="shared" si="313"/>
        <v>2527409.331235169</v>
      </c>
      <c r="V745" s="350">
        <f t="shared" si="314"/>
        <v>12377303.732420396</v>
      </c>
      <c r="W745" s="365"/>
      <c r="X745" s="377">
        <f t="shared" si="292"/>
        <v>0</v>
      </c>
      <c r="Y745" s="377">
        <f t="shared" si="293"/>
        <v>0</v>
      </c>
      <c r="Z745" s="377">
        <f t="shared" si="294"/>
        <v>0</v>
      </c>
      <c r="AA745" s="377">
        <f t="shared" si="295"/>
        <v>0</v>
      </c>
      <c r="AB745" s="377">
        <f t="shared" si="296"/>
        <v>0</v>
      </c>
      <c r="AC745" s="377">
        <f t="shared" si="297"/>
        <v>0</v>
      </c>
      <c r="AD745" s="376"/>
      <c r="AE745" s="332">
        <v>730</v>
      </c>
      <c r="AF745" s="350">
        <v>4412305.5890353667</v>
      </c>
      <c r="AG745" s="350">
        <v>27254.691593423096</v>
      </c>
      <c r="AH745" s="350">
        <v>26095.410845772003</v>
      </c>
      <c r="AI745" s="350">
        <v>24904.935688382764</v>
      </c>
      <c r="AJ745" s="350">
        <v>23683.326929069281</v>
      </c>
      <c r="AK745" s="348">
        <v>4514243.9540920146</v>
      </c>
      <c r="AL745" s="369"/>
      <c r="AM745" s="350">
        <v>6006865.7184940325</v>
      </c>
      <c r="AN745" s="350">
        <v>1641513.930136265</v>
      </c>
      <c r="AO745" s="350">
        <v>1658796.9034192904</v>
      </c>
      <c r="AP745" s="350">
        <v>1674746.7339326208</v>
      </c>
      <c r="AQ745" s="350">
        <v>1689318.4990540796</v>
      </c>
      <c r="AR745" s="348">
        <v>12671241.78503629</v>
      </c>
      <c r="AS745" s="369"/>
      <c r="AT745" s="350">
        <f t="shared" si="315"/>
        <v>1594560.1294586658</v>
      </c>
      <c r="AU745" s="350">
        <f t="shared" si="298"/>
        <v>1614259.238542842</v>
      </c>
      <c r="AV745" s="350">
        <f t="shared" si="299"/>
        <v>1632701.4925735185</v>
      </c>
      <c r="AW745" s="350">
        <f t="shared" si="300"/>
        <v>1649841.7982442381</v>
      </c>
      <c r="AX745" s="350">
        <f t="shared" si="301"/>
        <v>1665635.1721250103</v>
      </c>
      <c r="AY745" s="350">
        <f t="shared" si="302"/>
        <v>8156997.8309442755</v>
      </c>
      <c r="AZ745" s="365"/>
      <c r="BA745" s="377">
        <f t="shared" si="303"/>
        <v>0</v>
      </c>
      <c r="BB745" s="377">
        <f t="shared" si="304"/>
        <v>0</v>
      </c>
      <c r="BC745" s="377">
        <f t="shared" si="305"/>
        <v>0</v>
      </c>
      <c r="BD745" s="377">
        <f t="shared" si="306"/>
        <v>0</v>
      </c>
      <c r="BE745" s="377">
        <f t="shared" si="307"/>
        <v>0</v>
      </c>
      <c r="BF745" s="377">
        <f t="shared" si="308"/>
        <v>0</v>
      </c>
      <c r="BG745" s="328"/>
    </row>
    <row r="746" spans="2:59">
      <c r="B746" s="332">
        <v>731</v>
      </c>
      <c r="C746" s="350">
        <v>4822043.2311739391</v>
      </c>
      <c r="D746" s="350">
        <v>29785.629862624348</v>
      </c>
      <c r="E746" s="350">
        <v>28518.695429042345</v>
      </c>
      <c r="F746" s="350">
        <v>27217.669795451591</v>
      </c>
      <c r="G746" s="350">
        <v>25882.619416431437</v>
      </c>
      <c r="H746" s="348">
        <v>4933447.8456774885</v>
      </c>
      <c r="I746" s="369"/>
      <c r="J746" s="350">
        <v>6331717.8820051281</v>
      </c>
      <c r="K746" s="350">
        <v>1558110.7191933847</v>
      </c>
      <c r="L746" s="350">
        <v>1574304.2761517186</v>
      </c>
      <c r="M746" s="350">
        <v>1589231.1020117986</v>
      </c>
      <c r="N746" s="350">
        <v>1602848.6744648777</v>
      </c>
      <c r="O746" s="348">
        <v>12656212.653826907</v>
      </c>
      <c r="P746" s="369"/>
      <c r="Q746" s="350">
        <f t="shared" si="309"/>
        <v>1509674.650831189</v>
      </c>
      <c r="R746" s="350">
        <f t="shared" si="310"/>
        <v>1528325.0893307603</v>
      </c>
      <c r="S746" s="350">
        <f t="shared" si="311"/>
        <v>1545785.5807226761</v>
      </c>
      <c r="T746" s="350">
        <f t="shared" si="312"/>
        <v>1562013.432216347</v>
      </c>
      <c r="U746" s="350">
        <f t="shared" si="313"/>
        <v>1576966.0550484462</v>
      </c>
      <c r="V746" s="350">
        <f t="shared" si="314"/>
        <v>7722764.8081494188</v>
      </c>
      <c r="W746" s="365"/>
      <c r="X746" s="377">
        <f t="shared" si="292"/>
        <v>0</v>
      </c>
      <c r="Y746" s="377">
        <f t="shared" si="293"/>
        <v>0</v>
      </c>
      <c r="Z746" s="377">
        <f t="shared" si="294"/>
        <v>0</v>
      </c>
      <c r="AA746" s="377">
        <f t="shared" si="295"/>
        <v>0</v>
      </c>
      <c r="AB746" s="377">
        <f t="shared" si="296"/>
        <v>0</v>
      </c>
      <c r="AC746" s="377">
        <f t="shared" si="297"/>
        <v>0</v>
      </c>
      <c r="AD746" s="376"/>
      <c r="AE746" s="332">
        <v>731</v>
      </c>
      <c r="AF746" s="350">
        <v>9017375.2933623474</v>
      </c>
      <c r="AG746" s="350">
        <v>55700.081883149782</v>
      </c>
      <c r="AH746" s="350">
        <v>53330.873912169533</v>
      </c>
      <c r="AI746" s="350">
        <v>50897.914305228136</v>
      </c>
      <c r="AJ746" s="350">
        <v>48401.327334513982</v>
      </c>
      <c r="AK746" s="348">
        <v>9225705.4907974079</v>
      </c>
      <c r="AL746" s="369"/>
      <c r="AM746" s="350">
        <v>11428076.912994199</v>
      </c>
      <c r="AN746" s="350">
        <v>2496183.3781650076</v>
      </c>
      <c r="AO746" s="350">
        <v>2521695.6974190371</v>
      </c>
      <c r="AP746" s="350">
        <v>2545175.942261409</v>
      </c>
      <c r="AQ746" s="350">
        <v>2566556.2297280086</v>
      </c>
      <c r="AR746" s="348">
        <v>21557688.16056766</v>
      </c>
      <c r="AS746" s="369"/>
      <c r="AT746" s="350">
        <f t="shared" si="315"/>
        <v>2410701.6196318511</v>
      </c>
      <c r="AU746" s="350">
        <f t="shared" si="298"/>
        <v>2440483.2962818579</v>
      </c>
      <c r="AV746" s="350">
        <f t="shared" si="299"/>
        <v>2468364.8235068675</v>
      </c>
      <c r="AW746" s="350">
        <f t="shared" si="300"/>
        <v>2494278.0279561807</v>
      </c>
      <c r="AX746" s="350">
        <f t="shared" si="301"/>
        <v>2518154.9023934947</v>
      </c>
      <c r="AY746" s="350">
        <f t="shared" si="302"/>
        <v>12331982.669770252</v>
      </c>
      <c r="AZ746" s="365"/>
      <c r="BA746" s="377">
        <f t="shared" si="303"/>
        <v>0</v>
      </c>
      <c r="BB746" s="377">
        <f t="shared" si="304"/>
        <v>0</v>
      </c>
      <c r="BC746" s="377">
        <f t="shared" si="305"/>
        <v>0</v>
      </c>
      <c r="BD746" s="377">
        <f t="shared" si="306"/>
        <v>0</v>
      </c>
      <c r="BE746" s="377">
        <f t="shared" si="307"/>
        <v>0</v>
      </c>
      <c r="BF746" s="377">
        <f t="shared" si="308"/>
        <v>0</v>
      </c>
      <c r="BG746" s="328"/>
    </row>
    <row r="747" spans="2:59">
      <c r="B747" s="332">
        <v>732</v>
      </c>
      <c r="C747" s="350">
        <v>4355643.177562614</v>
      </c>
      <c r="D747" s="350">
        <v>26904.689419169728</v>
      </c>
      <c r="E747" s="350">
        <v>25760.296045345309</v>
      </c>
      <c r="F747" s="350">
        <v>24585.108857441617</v>
      </c>
      <c r="G747" s="350">
        <v>23379.187882392773</v>
      </c>
      <c r="H747" s="348">
        <v>4456272.4597669635</v>
      </c>
      <c r="I747" s="369"/>
      <c r="J747" s="350">
        <v>6067260.3473032815</v>
      </c>
      <c r="K747" s="350">
        <v>1759667.0845509395</v>
      </c>
      <c r="L747" s="350">
        <v>1778318.7954847938</v>
      </c>
      <c r="M747" s="350">
        <v>1795542.1879042729</v>
      </c>
      <c r="N747" s="350">
        <v>1811289.0361619794</v>
      </c>
      <c r="O747" s="348">
        <v>13212077.451405266</v>
      </c>
      <c r="P747" s="369"/>
      <c r="Q747" s="350">
        <f t="shared" si="309"/>
        <v>1711617.1697406676</v>
      </c>
      <c r="R747" s="350">
        <f t="shared" si="310"/>
        <v>1732762.3951317698</v>
      </c>
      <c r="S747" s="350">
        <f t="shared" si="311"/>
        <v>1752558.4994394486</v>
      </c>
      <c r="T747" s="350">
        <f t="shared" si="312"/>
        <v>1770957.0790468312</v>
      </c>
      <c r="U747" s="350">
        <f t="shared" si="313"/>
        <v>1787909.8482795868</v>
      </c>
      <c r="V747" s="350">
        <f t="shared" si="314"/>
        <v>8755804.9916383028</v>
      </c>
      <c r="W747" s="365"/>
      <c r="X747" s="377">
        <f t="shared" si="292"/>
        <v>0</v>
      </c>
      <c r="Y747" s="377">
        <f t="shared" si="293"/>
        <v>0</v>
      </c>
      <c r="Z747" s="377">
        <f t="shared" si="294"/>
        <v>0</v>
      </c>
      <c r="AA747" s="377">
        <f t="shared" si="295"/>
        <v>0</v>
      </c>
      <c r="AB747" s="377">
        <f t="shared" si="296"/>
        <v>0</v>
      </c>
      <c r="AC747" s="377">
        <f t="shared" si="297"/>
        <v>0</v>
      </c>
      <c r="AD747" s="376"/>
      <c r="AE747" s="332">
        <v>732</v>
      </c>
      <c r="AF747" s="350">
        <v>8786925.5836330839</v>
      </c>
      <c r="AG747" s="350">
        <v>54276.600295185017</v>
      </c>
      <c r="AH747" s="350">
        <v>51967.940241024582</v>
      </c>
      <c r="AI747" s="350">
        <v>49597.157799497516</v>
      </c>
      <c r="AJ747" s="350">
        <v>47164.374066865013</v>
      </c>
      <c r="AK747" s="348">
        <v>8989931.6560356542</v>
      </c>
      <c r="AL747" s="369"/>
      <c r="AM747" s="350">
        <v>10965198.138596063</v>
      </c>
      <c r="AN747" s="350">
        <v>2259459.4158890098</v>
      </c>
      <c r="AO747" s="350">
        <v>2282344.070946971</v>
      </c>
      <c r="AP747" s="350">
        <v>2303388.0577176185</v>
      </c>
      <c r="AQ747" s="350">
        <v>2322530.0470143566</v>
      </c>
      <c r="AR747" s="348">
        <v>20132919.730164018</v>
      </c>
      <c r="AS747" s="369"/>
      <c r="AT747" s="350">
        <f t="shared" si="315"/>
        <v>2178272.5549629796</v>
      </c>
      <c r="AU747" s="350">
        <f t="shared" si="298"/>
        <v>2205182.8155938247</v>
      </c>
      <c r="AV747" s="350">
        <f t="shared" si="299"/>
        <v>2230376.1307059466</v>
      </c>
      <c r="AW747" s="350">
        <f t="shared" si="300"/>
        <v>2253790.8999181208</v>
      </c>
      <c r="AX747" s="350">
        <f t="shared" si="301"/>
        <v>2275365.6729474915</v>
      </c>
      <c r="AY747" s="350">
        <f t="shared" si="302"/>
        <v>11142988.074128363</v>
      </c>
      <c r="AZ747" s="365"/>
      <c r="BA747" s="377">
        <f t="shared" si="303"/>
        <v>0</v>
      </c>
      <c r="BB747" s="377">
        <f t="shared" si="304"/>
        <v>0</v>
      </c>
      <c r="BC747" s="377">
        <f t="shared" si="305"/>
        <v>0</v>
      </c>
      <c r="BD747" s="377">
        <f t="shared" si="306"/>
        <v>0</v>
      </c>
      <c r="BE747" s="377">
        <f t="shared" si="307"/>
        <v>0</v>
      </c>
      <c r="BF747" s="377">
        <f t="shared" si="308"/>
        <v>0</v>
      </c>
      <c r="BG747" s="328"/>
    </row>
    <row r="748" spans="2:59">
      <c r="B748" s="332">
        <v>733</v>
      </c>
      <c r="C748" s="350">
        <v>6049340.0461658621</v>
      </c>
      <c r="D748" s="350">
        <v>37366.608902091284</v>
      </c>
      <c r="E748" s="350">
        <v>35777.216846169416</v>
      </c>
      <c r="F748" s="350">
        <v>34145.056766081449</v>
      </c>
      <c r="G748" s="350">
        <v>32470.212030300449</v>
      </c>
      <c r="H748" s="348">
        <v>6189099.1407105047</v>
      </c>
      <c r="I748" s="369"/>
      <c r="J748" s="350">
        <v>8116753.2101536598</v>
      </c>
      <c r="K748" s="350">
        <v>2130320.4826361462</v>
      </c>
      <c r="L748" s="350">
        <v>2152642.2357620467</v>
      </c>
      <c r="M748" s="350">
        <v>2173233.1909623109</v>
      </c>
      <c r="N748" s="350">
        <v>2192035.1087277858</v>
      </c>
      <c r="O748" s="348">
        <v>16764984.22824195</v>
      </c>
      <c r="P748" s="369"/>
      <c r="Q748" s="350">
        <f t="shared" si="309"/>
        <v>2067413.1639877977</v>
      </c>
      <c r="R748" s="350">
        <f t="shared" si="310"/>
        <v>2092953.8737340549</v>
      </c>
      <c r="S748" s="350">
        <f t="shared" si="311"/>
        <v>2116865.0189158772</v>
      </c>
      <c r="T748" s="350">
        <f t="shared" si="312"/>
        <v>2139088.1341962293</v>
      </c>
      <c r="U748" s="350">
        <f t="shared" si="313"/>
        <v>2159564.8966974854</v>
      </c>
      <c r="V748" s="350">
        <f t="shared" si="314"/>
        <v>10575885.087531446</v>
      </c>
      <c r="W748" s="365"/>
      <c r="X748" s="377">
        <f t="shared" si="292"/>
        <v>0</v>
      </c>
      <c r="Y748" s="377">
        <f t="shared" si="293"/>
        <v>0</v>
      </c>
      <c r="Z748" s="377">
        <f t="shared" si="294"/>
        <v>0</v>
      </c>
      <c r="AA748" s="377">
        <f t="shared" si="295"/>
        <v>0</v>
      </c>
      <c r="AB748" s="377">
        <f t="shared" si="296"/>
        <v>0</v>
      </c>
      <c r="AC748" s="377">
        <f t="shared" si="297"/>
        <v>0</v>
      </c>
      <c r="AD748" s="376"/>
      <c r="AE748" s="332">
        <v>733</v>
      </c>
      <c r="AF748" s="350">
        <v>5039460.3716082489</v>
      </c>
      <c r="AG748" s="350">
        <v>31128.609624586075</v>
      </c>
      <c r="AH748" s="350">
        <v>29804.551426560742</v>
      </c>
      <c r="AI748" s="350">
        <v>28444.864918454557</v>
      </c>
      <c r="AJ748" s="350">
        <v>27049.619551165266</v>
      </c>
      <c r="AK748" s="348">
        <v>5155888.0171290152</v>
      </c>
      <c r="AL748" s="369"/>
      <c r="AM748" s="350">
        <v>6934626.6606342932</v>
      </c>
      <c r="AN748" s="350">
        <v>1949707.6798750372</v>
      </c>
      <c r="AO748" s="350">
        <v>1970302.6057823403</v>
      </c>
      <c r="AP748" s="350">
        <v>1989314.5119728269</v>
      </c>
      <c r="AQ748" s="350">
        <v>2006690.0042001042</v>
      </c>
      <c r="AR748" s="348">
        <v>14850641.462464601</v>
      </c>
      <c r="AS748" s="369"/>
      <c r="AT748" s="350">
        <f t="shared" si="315"/>
        <v>1895166.2890260443</v>
      </c>
      <c r="AU748" s="350">
        <f t="shared" si="298"/>
        <v>1918579.0702504511</v>
      </c>
      <c r="AV748" s="350">
        <f t="shared" si="299"/>
        <v>1940498.0543557794</v>
      </c>
      <c r="AW748" s="350">
        <f t="shared" si="300"/>
        <v>1960869.6470543724</v>
      </c>
      <c r="AX748" s="350">
        <f t="shared" si="301"/>
        <v>1979640.3846489389</v>
      </c>
      <c r="AY748" s="350">
        <f t="shared" si="302"/>
        <v>9694753.4453355856</v>
      </c>
      <c r="AZ748" s="365"/>
      <c r="BA748" s="377">
        <f t="shared" si="303"/>
        <v>0</v>
      </c>
      <c r="BB748" s="377">
        <f t="shared" si="304"/>
        <v>0</v>
      </c>
      <c r="BC748" s="377">
        <f t="shared" si="305"/>
        <v>0</v>
      </c>
      <c r="BD748" s="377">
        <f t="shared" si="306"/>
        <v>0</v>
      </c>
      <c r="BE748" s="377">
        <f t="shared" si="307"/>
        <v>0</v>
      </c>
      <c r="BF748" s="377">
        <f t="shared" si="308"/>
        <v>0</v>
      </c>
      <c r="BG748" s="328"/>
    </row>
    <row r="749" spans="2:59">
      <c r="B749" s="332">
        <v>734</v>
      </c>
      <c r="C749" s="350">
        <v>5846345.5492714178</v>
      </c>
      <c r="D749" s="350">
        <v>36112.717416929823</v>
      </c>
      <c r="E749" s="350">
        <v>34576.659747618301</v>
      </c>
      <c r="F749" s="350">
        <v>32999.269198056652</v>
      </c>
      <c r="G749" s="350">
        <v>31380.626339159488</v>
      </c>
      <c r="H749" s="348">
        <v>5981414.8219731823</v>
      </c>
      <c r="I749" s="369"/>
      <c r="J749" s="350">
        <v>7653510.4895353038</v>
      </c>
      <c r="K749" s="350">
        <v>1865603.2750305012</v>
      </c>
      <c r="L749" s="350">
        <v>1884968.4015109497</v>
      </c>
      <c r="M749" s="350">
        <v>1902816.6562545802</v>
      </c>
      <c r="N749" s="350">
        <v>1919097.1387021085</v>
      </c>
      <c r="O749" s="348">
        <v>15225995.961033445</v>
      </c>
      <c r="P749" s="369"/>
      <c r="Q749" s="350">
        <f t="shared" si="309"/>
        <v>1807164.940263886</v>
      </c>
      <c r="R749" s="350">
        <f t="shared" si="310"/>
        <v>1829490.5576135714</v>
      </c>
      <c r="S749" s="350">
        <f t="shared" si="311"/>
        <v>1850391.7417633315</v>
      </c>
      <c r="T749" s="350">
        <f t="shared" si="312"/>
        <v>1869817.3870565237</v>
      </c>
      <c r="U749" s="350">
        <f t="shared" si="313"/>
        <v>1887716.5123629491</v>
      </c>
      <c r="V749" s="350">
        <f t="shared" si="314"/>
        <v>9244581.1390602626</v>
      </c>
      <c r="W749" s="365"/>
      <c r="X749" s="377">
        <f t="shared" si="292"/>
        <v>0</v>
      </c>
      <c r="Y749" s="377">
        <f t="shared" si="293"/>
        <v>0</v>
      </c>
      <c r="Z749" s="377">
        <f t="shared" si="294"/>
        <v>0</v>
      </c>
      <c r="AA749" s="377">
        <f t="shared" si="295"/>
        <v>0</v>
      </c>
      <c r="AB749" s="377">
        <f t="shared" si="296"/>
        <v>0</v>
      </c>
      <c r="AC749" s="377">
        <f t="shared" si="297"/>
        <v>0</v>
      </c>
      <c r="AD749" s="376"/>
      <c r="AE749" s="332">
        <v>734</v>
      </c>
      <c r="AF749" s="350">
        <v>5393014.3528649714</v>
      </c>
      <c r="AG749" s="350">
        <v>33312.502948911475</v>
      </c>
      <c r="AH749" s="350">
        <v>31895.552652761875</v>
      </c>
      <c r="AI749" s="350">
        <v>30440.474467225766</v>
      </c>
      <c r="AJ749" s="350">
        <v>28947.342715667037</v>
      </c>
      <c r="AK749" s="348">
        <v>5517610.2256495375</v>
      </c>
      <c r="AL749" s="369"/>
      <c r="AM749" s="350">
        <v>7259712.3260752345</v>
      </c>
      <c r="AN749" s="350">
        <v>1923071.5613588665</v>
      </c>
      <c r="AO749" s="350">
        <v>1943244.3382761905</v>
      </c>
      <c r="AP749" s="350">
        <v>1961854.8400989817</v>
      </c>
      <c r="AQ749" s="350">
        <v>1978850.480560353</v>
      </c>
      <c r="AR749" s="348">
        <v>15066733.546369625</v>
      </c>
      <c r="AS749" s="369"/>
      <c r="AT749" s="350">
        <f t="shared" si="315"/>
        <v>1866697.9732102631</v>
      </c>
      <c r="AU749" s="350">
        <f t="shared" si="298"/>
        <v>1889759.0584099551</v>
      </c>
      <c r="AV749" s="350">
        <f t="shared" si="299"/>
        <v>1911348.7856234286</v>
      </c>
      <c r="AW749" s="350">
        <f t="shared" si="300"/>
        <v>1931414.3656317559</v>
      </c>
      <c r="AX749" s="350">
        <f t="shared" si="301"/>
        <v>1949903.1378446859</v>
      </c>
      <c r="AY749" s="350">
        <f t="shared" si="302"/>
        <v>9549123.3207200877</v>
      </c>
      <c r="AZ749" s="365"/>
      <c r="BA749" s="377">
        <f t="shared" si="303"/>
        <v>0</v>
      </c>
      <c r="BB749" s="377">
        <f t="shared" si="304"/>
        <v>0</v>
      </c>
      <c r="BC749" s="377">
        <f t="shared" si="305"/>
        <v>0</v>
      </c>
      <c r="BD749" s="377">
        <f t="shared" si="306"/>
        <v>0</v>
      </c>
      <c r="BE749" s="377">
        <f t="shared" si="307"/>
        <v>0</v>
      </c>
      <c r="BF749" s="377">
        <f t="shared" si="308"/>
        <v>0</v>
      </c>
      <c r="BG749" s="328"/>
    </row>
    <row r="750" spans="2:59">
      <c r="B750" s="332">
        <v>735</v>
      </c>
      <c r="C750" s="350">
        <v>6710385.5556362541</v>
      </c>
      <c r="D750" s="350">
        <v>41449.869031353257</v>
      </c>
      <c r="E750" s="350">
        <v>39686.795140167698</v>
      </c>
      <c r="F750" s="350">
        <v>37876.279721574574</v>
      </c>
      <c r="G750" s="350">
        <v>36018.415254185871</v>
      </c>
      <c r="H750" s="348">
        <v>6865416.9147835355</v>
      </c>
      <c r="I750" s="369"/>
      <c r="J750" s="350">
        <v>10094926.398763902</v>
      </c>
      <c r="K750" s="350">
        <v>3467803.145592453</v>
      </c>
      <c r="L750" s="350">
        <v>3505184.7617339673</v>
      </c>
      <c r="M750" s="350">
        <v>3539755.47994495</v>
      </c>
      <c r="N750" s="350">
        <v>3571419.912920434</v>
      </c>
      <c r="O750" s="348">
        <v>24179089.698955704</v>
      </c>
      <c r="P750" s="369"/>
      <c r="Q750" s="350">
        <f t="shared" si="309"/>
        <v>3384540.8431276483</v>
      </c>
      <c r="R750" s="350">
        <f t="shared" si="310"/>
        <v>3426353.2765610996</v>
      </c>
      <c r="S750" s="350">
        <f t="shared" si="311"/>
        <v>3465497.9665937996</v>
      </c>
      <c r="T750" s="350">
        <f t="shared" si="312"/>
        <v>3501879.2002233756</v>
      </c>
      <c r="U750" s="350">
        <f t="shared" si="313"/>
        <v>3535401.4976662481</v>
      </c>
      <c r="V750" s="350">
        <f t="shared" si="314"/>
        <v>17313672.78417217</v>
      </c>
      <c r="W750" s="365"/>
      <c r="X750" s="377">
        <f t="shared" si="292"/>
        <v>0</v>
      </c>
      <c r="Y750" s="377">
        <f t="shared" si="293"/>
        <v>0</v>
      </c>
      <c r="Z750" s="377">
        <f t="shared" si="294"/>
        <v>0</v>
      </c>
      <c r="AA750" s="377">
        <f t="shared" si="295"/>
        <v>0</v>
      </c>
      <c r="AB750" s="377">
        <f t="shared" si="296"/>
        <v>0</v>
      </c>
      <c r="AC750" s="377">
        <f t="shared" si="297"/>
        <v>0</v>
      </c>
      <c r="AD750" s="376"/>
      <c r="AE750" s="332">
        <v>735</v>
      </c>
      <c r="AF750" s="350">
        <v>4309059.3992354497</v>
      </c>
      <c r="AG750" s="350">
        <v>26616.942687684776</v>
      </c>
      <c r="AH750" s="350">
        <v>25484.788646850891</v>
      </c>
      <c r="AI750" s="350">
        <v>24322.1701330164</v>
      </c>
      <c r="AJ750" s="350">
        <v>23129.146531118909</v>
      </c>
      <c r="AK750" s="348">
        <v>4408612.4472341202</v>
      </c>
      <c r="AL750" s="369"/>
      <c r="AM750" s="350">
        <v>6479653.8712868616</v>
      </c>
      <c r="AN750" s="350">
        <v>2224026.8207513923</v>
      </c>
      <c r="AO750" s="350">
        <v>2247999.1791786747</v>
      </c>
      <c r="AP750" s="350">
        <v>2270168.7963396171</v>
      </c>
      <c r="AQ750" s="350">
        <v>2290474.4979393142</v>
      </c>
      <c r="AR750" s="348">
        <v>15512323.165495858</v>
      </c>
      <c r="AS750" s="369"/>
      <c r="AT750" s="350">
        <f t="shared" si="315"/>
        <v>2170594.4720514119</v>
      </c>
      <c r="AU750" s="350">
        <f t="shared" si="298"/>
        <v>2197409.8780637076</v>
      </c>
      <c r="AV750" s="350">
        <f t="shared" si="299"/>
        <v>2222514.390531824</v>
      </c>
      <c r="AW750" s="350">
        <f t="shared" si="300"/>
        <v>2245846.6262066006</v>
      </c>
      <c r="AX750" s="350">
        <f t="shared" si="301"/>
        <v>2267345.3514081952</v>
      </c>
      <c r="AY750" s="350">
        <f t="shared" si="302"/>
        <v>11103710.718261737</v>
      </c>
      <c r="AZ750" s="365"/>
      <c r="BA750" s="377">
        <f t="shared" si="303"/>
        <v>0</v>
      </c>
      <c r="BB750" s="377">
        <f t="shared" si="304"/>
        <v>0</v>
      </c>
      <c r="BC750" s="377">
        <f t="shared" si="305"/>
        <v>0</v>
      </c>
      <c r="BD750" s="377">
        <f t="shared" si="306"/>
        <v>0</v>
      </c>
      <c r="BE750" s="377">
        <f t="shared" si="307"/>
        <v>0</v>
      </c>
      <c r="BF750" s="377">
        <f t="shared" si="308"/>
        <v>0</v>
      </c>
      <c r="BG750" s="328"/>
    </row>
    <row r="751" spans="2:59">
      <c r="B751" s="332">
        <v>736</v>
      </c>
      <c r="C751" s="350">
        <v>6527844.2610456031</v>
      </c>
      <c r="D751" s="350">
        <v>40322.316420424795</v>
      </c>
      <c r="E751" s="350">
        <v>38607.203080520194</v>
      </c>
      <c r="F751" s="350">
        <v>36845.938755719653</v>
      </c>
      <c r="G751" s="350">
        <v>35038.613408957142</v>
      </c>
      <c r="H751" s="348">
        <v>6678658.3327112254</v>
      </c>
      <c r="I751" s="369"/>
      <c r="J751" s="350">
        <v>8578583.5081926733</v>
      </c>
      <c r="K751" s="350">
        <v>2116396.2846522788</v>
      </c>
      <c r="L751" s="350">
        <v>2138399.4704519669</v>
      </c>
      <c r="M751" s="350">
        <v>2158682.0895139752</v>
      </c>
      <c r="N751" s="350">
        <v>2177186.3793040849</v>
      </c>
      <c r="O751" s="348">
        <v>17169247.732114978</v>
      </c>
      <c r="P751" s="369"/>
      <c r="Q751" s="350">
        <f t="shared" si="309"/>
        <v>2050739.2471470702</v>
      </c>
      <c r="R751" s="350">
        <f t="shared" si="310"/>
        <v>2076073.968231854</v>
      </c>
      <c r="S751" s="350">
        <f t="shared" si="311"/>
        <v>2099792.2673714468</v>
      </c>
      <c r="T751" s="350">
        <f t="shared" si="312"/>
        <v>2121836.1507582557</v>
      </c>
      <c r="U751" s="350">
        <f t="shared" si="313"/>
        <v>2142147.7658951278</v>
      </c>
      <c r="V751" s="350">
        <f t="shared" si="314"/>
        <v>10490589.399403753</v>
      </c>
      <c r="W751" s="365"/>
      <c r="X751" s="377">
        <f t="shared" si="292"/>
        <v>0</v>
      </c>
      <c r="Y751" s="377">
        <f t="shared" si="293"/>
        <v>0</v>
      </c>
      <c r="Z751" s="377">
        <f t="shared" si="294"/>
        <v>0</v>
      </c>
      <c r="AA751" s="377">
        <f t="shared" si="295"/>
        <v>0</v>
      </c>
      <c r="AB751" s="377">
        <f t="shared" si="296"/>
        <v>0</v>
      </c>
      <c r="AC751" s="377">
        <f t="shared" si="297"/>
        <v>0</v>
      </c>
      <c r="AD751" s="376"/>
      <c r="AE751" s="332">
        <v>736</v>
      </c>
      <c r="AF751" s="350">
        <v>4683168.3643288361</v>
      </c>
      <c r="AG751" s="350">
        <v>28927.803588001982</v>
      </c>
      <c r="AH751" s="350">
        <v>27697.356871829576</v>
      </c>
      <c r="AI751" s="350">
        <v>26433.800782365437</v>
      </c>
      <c r="AJ751" s="350">
        <v>25137.199860293109</v>
      </c>
      <c r="AK751" s="348">
        <v>4791364.5254313266</v>
      </c>
      <c r="AL751" s="369"/>
      <c r="AM751" s="350">
        <v>6667851.5224947548</v>
      </c>
      <c r="AN751" s="350">
        <v>2038129.6295093419</v>
      </c>
      <c r="AO751" s="350">
        <v>2059853.4949555642</v>
      </c>
      <c r="AP751" s="350">
        <v>2079923.7696586964</v>
      </c>
      <c r="AQ751" s="350">
        <v>2098284.5291413548</v>
      </c>
      <c r="AR751" s="348">
        <v>14944042.945759712</v>
      </c>
      <c r="AS751" s="369"/>
      <c r="AT751" s="350">
        <f t="shared" si="315"/>
        <v>1984683.1581659187</v>
      </c>
      <c r="AU751" s="350">
        <f t="shared" si="298"/>
        <v>2009201.8259213399</v>
      </c>
      <c r="AV751" s="350">
        <f t="shared" si="299"/>
        <v>2032156.1380837345</v>
      </c>
      <c r="AW751" s="350">
        <f t="shared" si="300"/>
        <v>2053489.9688763309</v>
      </c>
      <c r="AX751" s="350">
        <f t="shared" si="301"/>
        <v>2073147.3292810617</v>
      </c>
      <c r="AY751" s="350">
        <f t="shared" si="302"/>
        <v>10152678.420328386</v>
      </c>
      <c r="AZ751" s="365"/>
      <c r="BA751" s="377">
        <f t="shared" si="303"/>
        <v>0</v>
      </c>
      <c r="BB751" s="377">
        <f t="shared" si="304"/>
        <v>0</v>
      </c>
      <c r="BC751" s="377">
        <f t="shared" si="305"/>
        <v>0</v>
      </c>
      <c r="BD751" s="377">
        <f t="shared" si="306"/>
        <v>0</v>
      </c>
      <c r="BE751" s="377">
        <f t="shared" si="307"/>
        <v>0</v>
      </c>
      <c r="BF751" s="377">
        <f t="shared" si="308"/>
        <v>0</v>
      </c>
      <c r="BG751" s="328"/>
    </row>
    <row r="752" spans="2:59">
      <c r="B752" s="332">
        <v>737</v>
      </c>
      <c r="C752" s="350">
        <v>6902166.306759662</v>
      </c>
      <c r="D752" s="350">
        <v>42634.493513939517</v>
      </c>
      <c r="E752" s="350">
        <v>40821.031514302435</v>
      </c>
      <c r="F752" s="350">
        <v>38958.772123022798</v>
      </c>
      <c r="G752" s="350">
        <v>37047.810461725036</v>
      </c>
      <c r="H752" s="348">
        <v>7061628.4143726528</v>
      </c>
      <c r="I752" s="369"/>
      <c r="J752" s="350">
        <v>9006445.23354242</v>
      </c>
      <c r="K752" s="350">
        <v>2172909.5676707681</v>
      </c>
      <c r="L752" s="350">
        <v>2195433.6303603421</v>
      </c>
      <c r="M752" s="350">
        <v>2216190.765092351</v>
      </c>
      <c r="N752" s="350">
        <v>2235121.7041070675</v>
      </c>
      <c r="O752" s="348">
        <v>17826100.900772948</v>
      </c>
      <c r="P752" s="369"/>
      <c r="Q752" s="350">
        <f t="shared" si="309"/>
        <v>2104278.926782758</v>
      </c>
      <c r="R752" s="350">
        <f t="shared" si="310"/>
        <v>2130275.0741568287</v>
      </c>
      <c r="S752" s="350">
        <f t="shared" si="311"/>
        <v>2154612.5988460397</v>
      </c>
      <c r="T752" s="350">
        <f t="shared" si="312"/>
        <v>2177231.9929693281</v>
      </c>
      <c r="U752" s="350">
        <f t="shared" si="313"/>
        <v>2198073.8936453424</v>
      </c>
      <c r="V752" s="350">
        <f t="shared" si="314"/>
        <v>10764472.486400295</v>
      </c>
      <c r="W752" s="365"/>
      <c r="X752" s="377">
        <f t="shared" si="292"/>
        <v>0</v>
      </c>
      <c r="Y752" s="377">
        <f t="shared" si="293"/>
        <v>0</v>
      </c>
      <c r="Z752" s="377">
        <f t="shared" si="294"/>
        <v>0</v>
      </c>
      <c r="AA752" s="377">
        <f t="shared" si="295"/>
        <v>0</v>
      </c>
      <c r="AB752" s="377">
        <f t="shared" si="296"/>
        <v>0</v>
      </c>
      <c r="AC752" s="377">
        <f t="shared" si="297"/>
        <v>0</v>
      </c>
      <c r="AD752" s="376"/>
      <c r="AE752" s="332">
        <v>737</v>
      </c>
      <c r="AF752" s="350">
        <v>6126295.7158556441</v>
      </c>
      <c r="AG752" s="350">
        <v>37841.961980302869</v>
      </c>
      <c r="AH752" s="350">
        <v>36232.350738629735</v>
      </c>
      <c r="AI752" s="350">
        <v>34579.427406513176</v>
      </c>
      <c r="AJ752" s="350">
        <v>32883.276412975065</v>
      </c>
      <c r="AK752" s="348">
        <v>6267832.7323940648</v>
      </c>
      <c r="AL752" s="369"/>
      <c r="AM752" s="350">
        <v>8184302.8352842107</v>
      </c>
      <c r="AN752" s="350">
        <v>2121273.5893923948</v>
      </c>
      <c r="AO752" s="350">
        <v>2143466.3355483888</v>
      </c>
      <c r="AP752" s="350">
        <v>2163935.4196889531</v>
      </c>
      <c r="AQ752" s="350">
        <v>2182622.8687152257</v>
      </c>
      <c r="AR752" s="348">
        <v>16795601.048629172</v>
      </c>
      <c r="AS752" s="369"/>
      <c r="AT752" s="350">
        <f t="shared" si="315"/>
        <v>2058007.1194285667</v>
      </c>
      <c r="AU752" s="350">
        <f t="shared" si="298"/>
        <v>2083431.6274120919</v>
      </c>
      <c r="AV752" s="350">
        <f t="shared" si="299"/>
        <v>2107233.9848097591</v>
      </c>
      <c r="AW752" s="350">
        <f t="shared" si="300"/>
        <v>2129355.99228244</v>
      </c>
      <c r="AX752" s="350">
        <f t="shared" si="301"/>
        <v>2149739.5923022507</v>
      </c>
      <c r="AY752" s="350">
        <f t="shared" si="302"/>
        <v>10527768.316235106</v>
      </c>
      <c r="AZ752" s="365"/>
      <c r="BA752" s="377">
        <f t="shared" si="303"/>
        <v>0</v>
      </c>
      <c r="BB752" s="377">
        <f t="shared" si="304"/>
        <v>0</v>
      </c>
      <c r="BC752" s="377">
        <f t="shared" si="305"/>
        <v>0</v>
      </c>
      <c r="BD752" s="377">
        <f t="shared" si="306"/>
        <v>0</v>
      </c>
      <c r="BE752" s="377">
        <f t="shared" si="307"/>
        <v>0</v>
      </c>
      <c r="BF752" s="377">
        <f t="shared" si="308"/>
        <v>0</v>
      </c>
      <c r="BG752" s="328"/>
    </row>
    <row r="753" spans="2:59">
      <c r="B753" s="332">
        <v>738</v>
      </c>
      <c r="C753" s="350">
        <v>5885516.4257171154</v>
      </c>
      <c r="D753" s="350">
        <v>36354.674855151279</v>
      </c>
      <c r="E753" s="350">
        <v>34808.325504537635</v>
      </c>
      <c r="F753" s="350">
        <v>33220.366340819826</v>
      </c>
      <c r="G753" s="350">
        <v>31590.878474746347</v>
      </c>
      <c r="H753" s="348">
        <v>6021490.6708923699</v>
      </c>
      <c r="I753" s="369"/>
      <c r="J753" s="350">
        <v>7601313.43935881</v>
      </c>
      <c r="K753" s="350">
        <v>1773348.5514520896</v>
      </c>
      <c r="L753" s="350">
        <v>1791646.6493606733</v>
      </c>
      <c r="M753" s="350">
        <v>1808502.1999394861</v>
      </c>
      <c r="N753" s="350">
        <v>1823866.8807092195</v>
      </c>
      <c r="O753" s="348">
        <v>14798677.720820278</v>
      </c>
      <c r="P753" s="369"/>
      <c r="Q753" s="350">
        <f t="shared" si="309"/>
        <v>1715797.0136416946</v>
      </c>
      <c r="R753" s="350">
        <f t="shared" si="310"/>
        <v>1736993.8765969384</v>
      </c>
      <c r="S753" s="350">
        <f t="shared" si="311"/>
        <v>1756838.3238561356</v>
      </c>
      <c r="T753" s="350">
        <f t="shared" si="312"/>
        <v>1775281.8335986664</v>
      </c>
      <c r="U753" s="350">
        <f t="shared" si="313"/>
        <v>1792276.0022344731</v>
      </c>
      <c r="V753" s="350">
        <f t="shared" si="314"/>
        <v>8777187.0499279089</v>
      </c>
      <c r="W753" s="365"/>
      <c r="X753" s="377">
        <f t="shared" si="292"/>
        <v>0</v>
      </c>
      <c r="Y753" s="377">
        <f t="shared" si="293"/>
        <v>0</v>
      </c>
      <c r="Z753" s="377">
        <f t="shared" si="294"/>
        <v>0</v>
      </c>
      <c r="AA753" s="377">
        <f t="shared" si="295"/>
        <v>0</v>
      </c>
      <c r="AB753" s="377">
        <f t="shared" si="296"/>
        <v>0</v>
      </c>
      <c r="AC753" s="377">
        <f t="shared" si="297"/>
        <v>0</v>
      </c>
      <c r="AD753" s="376"/>
      <c r="AE753" s="332">
        <v>738</v>
      </c>
      <c r="AF753" s="350">
        <v>5558906.3016834855</v>
      </c>
      <c r="AG753" s="350">
        <v>34337.213003924815</v>
      </c>
      <c r="AH753" s="350">
        <v>32876.676573823584</v>
      </c>
      <c r="AI753" s="350">
        <v>31376.839420461376</v>
      </c>
      <c r="AJ753" s="350">
        <v>29837.778153442541</v>
      </c>
      <c r="AK753" s="348">
        <v>5687334.8088351376</v>
      </c>
      <c r="AL753" s="369"/>
      <c r="AM753" s="350">
        <v>7562546.2036108784</v>
      </c>
      <c r="AN753" s="350">
        <v>2062729.9732677869</v>
      </c>
      <c r="AO753" s="350">
        <v>2084442.997605127</v>
      </c>
      <c r="AP753" s="350">
        <v>2104480.7617868381</v>
      </c>
      <c r="AQ753" s="350">
        <v>2122786.8186241556</v>
      </c>
      <c r="AR753" s="348">
        <v>15936986.754894784</v>
      </c>
      <c r="AS753" s="369"/>
      <c r="AT753" s="350">
        <f t="shared" si="315"/>
        <v>2003639.9019273929</v>
      </c>
      <c r="AU753" s="350">
        <f t="shared" si="298"/>
        <v>2028392.7602638621</v>
      </c>
      <c r="AV753" s="350">
        <f t="shared" si="299"/>
        <v>2051566.3210313034</v>
      </c>
      <c r="AW753" s="350">
        <f t="shared" si="300"/>
        <v>2073103.9223663767</v>
      </c>
      <c r="AX753" s="350">
        <f t="shared" si="301"/>
        <v>2092949.0404707131</v>
      </c>
      <c r="AY753" s="350">
        <f t="shared" si="302"/>
        <v>10249651.946059646</v>
      </c>
      <c r="AZ753" s="365"/>
      <c r="BA753" s="377">
        <f t="shared" si="303"/>
        <v>0</v>
      </c>
      <c r="BB753" s="377">
        <f t="shared" si="304"/>
        <v>0</v>
      </c>
      <c r="BC753" s="377">
        <f t="shared" si="305"/>
        <v>0</v>
      </c>
      <c r="BD753" s="377">
        <f t="shared" si="306"/>
        <v>0</v>
      </c>
      <c r="BE753" s="377">
        <f t="shared" si="307"/>
        <v>0</v>
      </c>
      <c r="BF753" s="377">
        <f t="shared" si="308"/>
        <v>0</v>
      </c>
      <c r="BG753" s="328"/>
    </row>
    <row r="754" spans="2:59">
      <c r="B754" s="332">
        <v>739</v>
      </c>
      <c r="C754" s="350">
        <v>4940127.7947424389</v>
      </c>
      <c r="D754" s="350">
        <v>30515.034999476502</v>
      </c>
      <c r="E754" s="350">
        <v>29217.075253078212</v>
      </c>
      <c r="F754" s="350">
        <v>27884.189464617364</v>
      </c>
      <c r="G754" s="350">
        <v>26516.44571604651</v>
      </c>
      <c r="H754" s="348">
        <v>5054260.5401756577</v>
      </c>
      <c r="I754" s="369"/>
      <c r="J754" s="350">
        <v>6714064.0728104813</v>
      </c>
      <c r="K754" s="350">
        <v>1826366.4253323055</v>
      </c>
      <c r="L754" s="350">
        <v>1845585.335956593</v>
      </c>
      <c r="M754" s="350">
        <v>1863320.9126768387</v>
      </c>
      <c r="N754" s="350">
        <v>1879523.1798438844</v>
      </c>
      <c r="O754" s="348">
        <v>14128859.926620102</v>
      </c>
      <c r="P754" s="369"/>
      <c r="Q754" s="350">
        <f t="shared" si="309"/>
        <v>1773936.2780680424</v>
      </c>
      <c r="R754" s="350">
        <f t="shared" si="310"/>
        <v>1795851.390332829</v>
      </c>
      <c r="S754" s="350">
        <f t="shared" si="311"/>
        <v>1816368.2607035148</v>
      </c>
      <c r="T754" s="350">
        <f t="shared" si="312"/>
        <v>1835436.7232122214</v>
      </c>
      <c r="U754" s="350">
        <f t="shared" si="313"/>
        <v>1853006.7341278379</v>
      </c>
      <c r="V754" s="350">
        <f t="shared" si="314"/>
        <v>9074599.3864444438</v>
      </c>
      <c r="W754" s="365"/>
      <c r="X754" s="377">
        <f t="shared" si="292"/>
        <v>0</v>
      </c>
      <c r="Y754" s="377">
        <f t="shared" si="293"/>
        <v>0</v>
      </c>
      <c r="Z754" s="377">
        <f t="shared" si="294"/>
        <v>0</v>
      </c>
      <c r="AA754" s="377">
        <f t="shared" si="295"/>
        <v>0</v>
      </c>
      <c r="AB754" s="377">
        <f t="shared" si="296"/>
        <v>0</v>
      </c>
      <c r="AC754" s="377">
        <f t="shared" si="297"/>
        <v>0</v>
      </c>
      <c r="AD754" s="376"/>
      <c r="AE754" s="332">
        <v>739</v>
      </c>
      <c r="AF754" s="350">
        <v>4800921.7595597468</v>
      </c>
      <c r="AG754" s="350">
        <v>29655.163107041746</v>
      </c>
      <c r="AH754" s="350">
        <v>28393.778088590538</v>
      </c>
      <c r="AI754" s="350">
        <v>27098.451196108374</v>
      </c>
      <c r="AJ754" s="350">
        <v>25769.248593091485</v>
      </c>
      <c r="AK754" s="348">
        <v>4911838.4005445782</v>
      </c>
      <c r="AL754" s="369"/>
      <c r="AM754" s="350">
        <v>6557517.7138331737</v>
      </c>
      <c r="AN754" s="350">
        <v>1807952.008228532</v>
      </c>
      <c r="AO754" s="350">
        <v>1827006.9400547571</v>
      </c>
      <c r="AP754" s="350">
        <v>1844593.6804107614</v>
      </c>
      <c r="AQ754" s="350">
        <v>1860662.740909128</v>
      </c>
      <c r="AR754" s="348">
        <v>13897733.083436351</v>
      </c>
      <c r="AS754" s="369"/>
      <c r="AT754" s="350">
        <f t="shared" si="315"/>
        <v>1756595.9542734269</v>
      </c>
      <c r="AU754" s="350">
        <f t="shared" si="298"/>
        <v>1778296.8451214903</v>
      </c>
      <c r="AV754" s="350">
        <f t="shared" si="299"/>
        <v>1798613.1619661665</v>
      </c>
      <c r="AW754" s="350">
        <f t="shared" si="300"/>
        <v>1817495.2292146529</v>
      </c>
      <c r="AX754" s="350">
        <f t="shared" si="301"/>
        <v>1834893.4923160365</v>
      </c>
      <c r="AY754" s="350">
        <f t="shared" si="302"/>
        <v>8985894.6828917731</v>
      </c>
      <c r="AZ754" s="365"/>
      <c r="BA754" s="377">
        <f t="shared" si="303"/>
        <v>0</v>
      </c>
      <c r="BB754" s="377">
        <f t="shared" si="304"/>
        <v>0</v>
      </c>
      <c r="BC754" s="377">
        <f t="shared" si="305"/>
        <v>0</v>
      </c>
      <c r="BD754" s="377">
        <f t="shared" si="306"/>
        <v>0</v>
      </c>
      <c r="BE754" s="377">
        <f t="shared" si="307"/>
        <v>0</v>
      </c>
      <c r="BF754" s="377">
        <f t="shared" si="308"/>
        <v>0</v>
      </c>
      <c r="BG754" s="328"/>
    </row>
    <row r="755" spans="2:59">
      <c r="B755" s="332">
        <v>740</v>
      </c>
      <c r="C755" s="350">
        <v>6015633.3719450366</v>
      </c>
      <c r="D755" s="350">
        <v>37158.403692367741</v>
      </c>
      <c r="E755" s="350">
        <v>35577.867663686411</v>
      </c>
      <c r="F755" s="350">
        <v>33954.801912514675</v>
      </c>
      <c r="G755" s="350">
        <v>32289.289342794131</v>
      </c>
      <c r="H755" s="348">
        <v>6154613.7345563993</v>
      </c>
      <c r="I755" s="369"/>
      <c r="J755" s="350">
        <v>8397515.0979702435</v>
      </c>
      <c r="K755" s="350">
        <v>2448465.7669699639</v>
      </c>
      <c r="L755" s="350">
        <v>2474433.435020172</v>
      </c>
      <c r="M755" s="350">
        <v>2498413.7818348389</v>
      </c>
      <c r="N755" s="350">
        <v>2520339.6961068716</v>
      </c>
      <c r="O755" s="348">
        <v>18339167.777902089</v>
      </c>
      <c r="P755" s="369"/>
      <c r="Q755" s="350">
        <f t="shared" si="309"/>
        <v>2381881.726025207</v>
      </c>
      <c r="R755" s="350">
        <f t="shared" si="310"/>
        <v>2411307.363277596</v>
      </c>
      <c r="S755" s="350">
        <f t="shared" si="311"/>
        <v>2438855.5673564854</v>
      </c>
      <c r="T755" s="350">
        <f t="shared" si="312"/>
        <v>2464458.9799223244</v>
      </c>
      <c r="U755" s="350">
        <f t="shared" si="313"/>
        <v>2488050.4067640775</v>
      </c>
      <c r="V755" s="350">
        <f t="shared" si="314"/>
        <v>12184554.04334569</v>
      </c>
      <c r="W755" s="365"/>
      <c r="X755" s="377">
        <f t="shared" si="292"/>
        <v>0</v>
      </c>
      <c r="Y755" s="377">
        <f t="shared" si="293"/>
        <v>0</v>
      </c>
      <c r="Z755" s="377">
        <f t="shared" si="294"/>
        <v>0</v>
      </c>
      <c r="AA755" s="377">
        <f t="shared" si="295"/>
        <v>0</v>
      </c>
      <c r="AB755" s="377">
        <f t="shared" si="296"/>
        <v>0</v>
      </c>
      <c r="AC755" s="377">
        <f t="shared" si="297"/>
        <v>0</v>
      </c>
      <c r="AD755" s="376"/>
      <c r="AE755" s="332">
        <v>740</v>
      </c>
      <c r="AF755" s="350">
        <v>4448718.1168632889</v>
      </c>
      <c r="AG755" s="350">
        <v>27479.610787269405</v>
      </c>
      <c r="AH755" s="350">
        <v>26310.763081565499</v>
      </c>
      <c r="AI755" s="350">
        <v>25110.463534427156</v>
      </c>
      <c r="AJ755" s="350">
        <v>23878.77345548516</v>
      </c>
      <c r="AK755" s="348">
        <v>4551497.7277220357</v>
      </c>
      <c r="AL755" s="369"/>
      <c r="AM755" s="350">
        <v>6135392.1212591324</v>
      </c>
      <c r="AN755" s="350">
        <v>1734990.6940666279</v>
      </c>
      <c r="AO755" s="350">
        <v>1753329.4647199558</v>
      </c>
      <c r="AP755" s="350">
        <v>1770259.6247698576</v>
      </c>
      <c r="AQ755" s="350">
        <v>1785733.6535122227</v>
      </c>
      <c r="AR755" s="348">
        <v>13179705.558327796</v>
      </c>
      <c r="AS755" s="369"/>
      <c r="AT755" s="350">
        <f t="shared" si="315"/>
        <v>1686674.0043958435</v>
      </c>
      <c r="AU755" s="350">
        <f t="shared" si="298"/>
        <v>1707511.0832793585</v>
      </c>
      <c r="AV755" s="350">
        <f t="shared" si="299"/>
        <v>1727018.7016383903</v>
      </c>
      <c r="AW755" s="350">
        <f t="shared" si="300"/>
        <v>1745149.1612354305</v>
      </c>
      <c r="AX755" s="350">
        <f t="shared" si="301"/>
        <v>1761854.8800567375</v>
      </c>
      <c r="AY755" s="350">
        <f t="shared" si="302"/>
        <v>8628207.8306057602</v>
      </c>
      <c r="AZ755" s="365"/>
      <c r="BA755" s="377">
        <f t="shared" si="303"/>
        <v>0</v>
      </c>
      <c r="BB755" s="377">
        <f t="shared" si="304"/>
        <v>0</v>
      </c>
      <c r="BC755" s="377">
        <f t="shared" si="305"/>
        <v>0</v>
      </c>
      <c r="BD755" s="377">
        <f t="shared" si="306"/>
        <v>0</v>
      </c>
      <c r="BE755" s="377">
        <f t="shared" si="307"/>
        <v>0</v>
      </c>
      <c r="BF755" s="377">
        <f t="shared" si="308"/>
        <v>0</v>
      </c>
      <c r="BG755" s="328"/>
    </row>
    <row r="756" spans="2:59">
      <c r="B756" s="332">
        <v>741</v>
      </c>
      <c r="C756" s="350">
        <v>4691197.1336725838</v>
      </c>
      <c r="D756" s="350">
        <v>28977.397077827325</v>
      </c>
      <c r="E756" s="350">
        <v>27744.84089812576</v>
      </c>
      <c r="F756" s="350">
        <v>26479.118582805022</v>
      </c>
      <c r="G756" s="350">
        <v>25180.294783200854</v>
      </c>
      <c r="H756" s="348">
        <v>4799578.7850145428</v>
      </c>
      <c r="I756" s="369"/>
      <c r="J756" s="350">
        <v>6172387.0060888994</v>
      </c>
      <c r="K756" s="350">
        <v>1528465.8085909474</v>
      </c>
      <c r="L756" s="350">
        <v>1544364.2965093092</v>
      </c>
      <c r="M756" s="350">
        <v>1559020.2360369996</v>
      </c>
      <c r="N756" s="350">
        <v>1572391.9066335047</v>
      </c>
      <c r="O756" s="348">
        <v>12376629.253859662</v>
      </c>
      <c r="P756" s="369"/>
      <c r="Q756" s="350">
        <f t="shared" si="309"/>
        <v>1481189.8724163156</v>
      </c>
      <c r="R756" s="350">
        <f t="shared" si="310"/>
        <v>1499488.4115131202</v>
      </c>
      <c r="S756" s="350">
        <f t="shared" si="311"/>
        <v>1516619.4556111835</v>
      </c>
      <c r="T756" s="350">
        <f t="shared" si="312"/>
        <v>1532541.1174541947</v>
      </c>
      <c r="U756" s="350">
        <f t="shared" si="313"/>
        <v>1547211.6118503038</v>
      </c>
      <c r="V756" s="350">
        <f t="shared" si="314"/>
        <v>7577050.4688451188</v>
      </c>
      <c r="W756" s="365"/>
      <c r="X756" s="377">
        <f t="shared" si="292"/>
        <v>0</v>
      </c>
      <c r="Y756" s="377">
        <f t="shared" si="293"/>
        <v>0</v>
      </c>
      <c r="Z756" s="377">
        <f t="shared" si="294"/>
        <v>0</v>
      </c>
      <c r="AA756" s="377">
        <f t="shared" si="295"/>
        <v>0</v>
      </c>
      <c r="AB756" s="377">
        <f t="shared" si="296"/>
        <v>0</v>
      </c>
      <c r="AC756" s="377">
        <f t="shared" si="297"/>
        <v>0</v>
      </c>
      <c r="AD756" s="376"/>
      <c r="AE756" s="332">
        <v>741</v>
      </c>
      <c r="AF756" s="350">
        <v>7024129.2847199906</v>
      </c>
      <c r="AG756" s="350">
        <v>43387.8555109831</v>
      </c>
      <c r="AH756" s="350">
        <v>41542.34919133567</v>
      </c>
      <c r="AI756" s="350">
        <v>39647.183218124024</v>
      </c>
      <c r="AJ756" s="350">
        <v>37702.454393791093</v>
      </c>
      <c r="AK756" s="348">
        <v>7186409.1270342246</v>
      </c>
      <c r="AL756" s="369"/>
      <c r="AM756" s="350">
        <v>9735091.5871678479</v>
      </c>
      <c r="AN756" s="350">
        <v>2787841.2387480866</v>
      </c>
      <c r="AO756" s="350">
        <v>2817349.9940368179</v>
      </c>
      <c r="AP756" s="350">
        <v>2844595.6059291149</v>
      </c>
      <c r="AQ756" s="350">
        <v>2869501.6934699044</v>
      </c>
      <c r="AR756" s="348">
        <v>21054380.119351771</v>
      </c>
      <c r="AS756" s="369"/>
      <c r="AT756" s="350">
        <f t="shared" si="315"/>
        <v>2710962.3024478573</v>
      </c>
      <c r="AU756" s="350">
        <f t="shared" si="298"/>
        <v>2744453.3832371035</v>
      </c>
      <c r="AV756" s="350">
        <f t="shared" si="299"/>
        <v>2775807.6448454824</v>
      </c>
      <c r="AW756" s="350">
        <f t="shared" si="300"/>
        <v>2804948.422710991</v>
      </c>
      <c r="AX756" s="350">
        <f t="shared" si="301"/>
        <v>2831799.2390761133</v>
      </c>
      <c r="AY756" s="350">
        <f t="shared" si="302"/>
        <v>13867970.992317546</v>
      </c>
      <c r="AZ756" s="365"/>
      <c r="BA756" s="377">
        <f t="shared" si="303"/>
        <v>0</v>
      </c>
      <c r="BB756" s="377">
        <f t="shared" si="304"/>
        <v>0</v>
      </c>
      <c r="BC756" s="377">
        <f t="shared" si="305"/>
        <v>0</v>
      </c>
      <c r="BD756" s="377">
        <f t="shared" si="306"/>
        <v>0</v>
      </c>
      <c r="BE756" s="377">
        <f t="shared" si="307"/>
        <v>0</v>
      </c>
      <c r="BF756" s="377">
        <f t="shared" si="308"/>
        <v>0</v>
      </c>
      <c r="BG756" s="328"/>
    </row>
    <row r="757" spans="2:59">
      <c r="B757" s="332">
        <v>742</v>
      </c>
      <c r="C757" s="350">
        <v>5893047.5745942583</v>
      </c>
      <c r="D757" s="350">
        <v>36401.194556892005</v>
      </c>
      <c r="E757" s="350">
        <v>34852.866486597981</v>
      </c>
      <c r="F757" s="350">
        <v>33262.875358987061</v>
      </c>
      <c r="G757" s="350">
        <v>31631.302388597818</v>
      </c>
      <c r="H757" s="348">
        <v>6029195.8133853329</v>
      </c>
      <c r="I757" s="369"/>
      <c r="J757" s="350">
        <v>8156228.4555036128</v>
      </c>
      <c r="K757" s="350">
        <v>2327541.288936228</v>
      </c>
      <c r="L757" s="350">
        <v>2352168.3028627718</v>
      </c>
      <c r="M757" s="350">
        <v>2374905.7807156383</v>
      </c>
      <c r="N757" s="350">
        <v>2395689.9581153253</v>
      </c>
      <c r="O757" s="348">
        <v>17606533.786133576</v>
      </c>
      <c r="P757" s="369"/>
      <c r="Q757" s="350">
        <f t="shared" si="309"/>
        <v>2263180.8809093544</v>
      </c>
      <c r="R757" s="350">
        <f t="shared" si="310"/>
        <v>2291140.0943793361</v>
      </c>
      <c r="S757" s="350">
        <f t="shared" si="311"/>
        <v>2317315.436376174</v>
      </c>
      <c r="T757" s="350">
        <f t="shared" si="312"/>
        <v>2341642.9053566512</v>
      </c>
      <c r="U757" s="350">
        <f t="shared" si="313"/>
        <v>2364058.6557267276</v>
      </c>
      <c r="V757" s="350">
        <f t="shared" si="314"/>
        <v>11577337.972748242</v>
      </c>
      <c r="W757" s="365"/>
      <c r="X757" s="377">
        <f t="shared" si="292"/>
        <v>0</v>
      </c>
      <c r="Y757" s="377">
        <f t="shared" si="293"/>
        <v>0</v>
      </c>
      <c r="Z757" s="377">
        <f t="shared" si="294"/>
        <v>0</v>
      </c>
      <c r="AA757" s="377">
        <f t="shared" si="295"/>
        <v>0</v>
      </c>
      <c r="AB757" s="377">
        <f t="shared" si="296"/>
        <v>0</v>
      </c>
      <c r="AC757" s="377">
        <f t="shared" si="297"/>
        <v>0</v>
      </c>
      <c r="AD757" s="376"/>
      <c r="AE757" s="332">
        <v>742</v>
      </c>
      <c r="AF757" s="350">
        <v>4340522.3189905705</v>
      </c>
      <c r="AG757" s="350">
        <v>26811.288287111282</v>
      </c>
      <c r="AH757" s="350">
        <v>25670.867738801899</v>
      </c>
      <c r="AI757" s="350">
        <v>24499.760278861966</v>
      </c>
      <c r="AJ757" s="350">
        <v>23298.025725830867</v>
      </c>
      <c r="AK757" s="348">
        <v>4440802.2610211773</v>
      </c>
      <c r="AL757" s="369"/>
      <c r="AM757" s="350">
        <v>5757096.7161249723</v>
      </c>
      <c r="AN757" s="350">
        <v>1460885.9684522161</v>
      </c>
      <c r="AO757" s="350">
        <v>1476129.2667757538</v>
      </c>
      <c r="AP757" s="350">
        <v>1490185.2540635311</v>
      </c>
      <c r="AQ757" s="350">
        <v>1503014.0277808066</v>
      </c>
      <c r="AR757" s="348">
        <v>11687311.233197281</v>
      </c>
      <c r="AS757" s="369"/>
      <c r="AT757" s="350">
        <f t="shared" si="315"/>
        <v>1416574.3971344018</v>
      </c>
      <c r="AU757" s="350">
        <f t="shared" si="298"/>
        <v>1434074.6801651048</v>
      </c>
      <c r="AV757" s="350">
        <f t="shared" si="299"/>
        <v>1450458.3990369518</v>
      </c>
      <c r="AW757" s="350">
        <f t="shared" si="300"/>
        <v>1465685.4937846691</v>
      </c>
      <c r="AX757" s="350">
        <f t="shared" si="301"/>
        <v>1479716.0020549758</v>
      </c>
      <c r="AY757" s="350">
        <f t="shared" si="302"/>
        <v>7246508.9721761039</v>
      </c>
      <c r="AZ757" s="365"/>
      <c r="BA757" s="377">
        <f t="shared" si="303"/>
        <v>0</v>
      </c>
      <c r="BB757" s="377">
        <f t="shared" si="304"/>
        <v>0</v>
      </c>
      <c r="BC757" s="377">
        <f t="shared" si="305"/>
        <v>0</v>
      </c>
      <c r="BD757" s="377">
        <f t="shared" si="306"/>
        <v>0</v>
      </c>
      <c r="BE757" s="377">
        <f t="shared" si="307"/>
        <v>0</v>
      </c>
      <c r="BF757" s="377">
        <f t="shared" si="308"/>
        <v>0</v>
      </c>
      <c r="BG757" s="328"/>
    </row>
    <row r="758" spans="2:59">
      <c r="B758" s="332">
        <v>743</v>
      </c>
      <c r="C758" s="350">
        <v>7098500.1655834289</v>
      </c>
      <c r="D758" s="350">
        <v>43847.242418931892</v>
      </c>
      <c r="E758" s="350">
        <v>41982.196036014124</v>
      </c>
      <c r="F758" s="350">
        <v>40066.964207362587</v>
      </c>
      <c r="G758" s="350">
        <v>38101.644760356954</v>
      </c>
      <c r="H758" s="348">
        <v>7262498.2130060941</v>
      </c>
      <c r="I758" s="369"/>
      <c r="J758" s="350">
        <v>9271719.0630435068</v>
      </c>
      <c r="K758" s="350">
        <v>2243913.9679000173</v>
      </c>
      <c r="L758" s="350">
        <v>2267183.7873843615</v>
      </c>
      <c r="M758" s="350">
        <v>2288629.0018027225</v>
      </c>
      <c r="N758" s="350">
        <v>2308188.4012661269</v>
      </c>
      <c r="O758" s="348">
        <v>18379634.221396733</v>
      </c>
      <c r="P758" s="369"/>
      <c r="Q758" s="350">
        <f t="shared" si="309"/>
        <v>2173218.8974600779</v>
      </c>
      <c r="R758" s="350">
        <f t="shared" si="310"/>
        <v>2200066.7254810855</v>
      </c>
      <c r="S758" s="350">
        <f t="shared" si="311"/>
        <v>2225201.5913483473</v>
      </c>
      <c r="T758" s="350">
        <f t="shared" si="312"/>
        <v>2248562.0375953601</v>
      </c>
      <c r="U758" s="350">
        <f t="shared" si="313"/>
        <v>2270086.7565057701</v>
      </c>
      <c r="V758" s="350">
        <f t="shared" si="314"/>
        <v>11117136.008390639</v>
      </c>
      <c r="W758" s="365"/>
      <c r="X758" s="377">
        <f t="shared" si="292"/>
        <v>0</v>
      </c>
      <c r="Y758" s="377">
        <f t="shared" si="293"/>
        <v>0</v>
      </c>
      <c r="Z758" s="377">
        <f t="shared" si="294"/>
        <v>0</v>
      </c>
      <c r="AA758" s="377">
        <f t="shared" si="295"/>
        <v>0</v>
      </c>
      <c r="AB758" s="377">
        <f t="shared" si="296"/>
        <v>0</v>
      </c>
      <c r="AC758" s="377">
        <f t="shared" si="297"/>
        <v>0</v>
      </c>
      <c r="AD758" s="376"/>
      <c r="AE758" s="332">
        <v>743</v>
      </c>
      <c r="AF758" s="350">
        <v>6847117.2092087688</v>
      </c>
      <c r="AG758" s="350">
        <v>42294.45673589455</v>
      </c>
      <c r="AH758" s="350">
        <v>40495.458231062839</v>
      </c>
      <c r="AI758" s="350">
        <v>38648.051524337418</v>
      </c>
      <c r="AJ758" s="350">
        <v>36752.330978687096</v>
      </c>
      <c r="AK758" s="348">
        <v>7005307.5066787507</v>
      </c>
      <c r="AL758" s="369"/>
      <c r="AM758" s="350">
        <v>8641028.6794175357</v>
      </c>
      <c r="AN758" s="350">
        <v>1858367.8116463639</v>
      </c>
      <c r="AO758" s="350">
        <v>1877316.7112175801</v>
      </c>
      <c r="AP758" s="350">
        <v>1894752.4851056337</v>
      </c>
      <c r="AQ758" s="350">
        <v>1910624.6204310732</v>
      </c>
      <c r="AR758" s="348">
        <v>16182090.307818187</v>
      </c>
      <c r="AS758" s="369"/>
      <c r="AT758" s="350">
        <f t="shared" si="315"/>
        <v>1793911.4702087669</v>
      </c>
      <c r="AU758" s="350">
        <f t="shared" si="298"/>
        <v>1816073.3549104694</v>
      </c>
      <c r="AV758" s="350">
        <f t="shared" si="299"/>
        <v>1836821.2529865173</v>
      </c>
      <c r="AW758" s="350">
        <f t="shared" si="300"/>
        <v>1856104.4335812964</v>
      </c>
      <c r="AX758" s="350">
        <f t="shared" si="301"/>
        <v>1873872.2894523861</v>
      </c>
      <c r="AY758" s="350">
        <f t="shared" si="302"/>
        <v>9176782.8011394367</v>
      </c>
      <c r="AZ758" s="365"/>
      <c r="BA758" s="377">
        <f t="shared" si="303"/>
        <v>0</v>
      </c>
      <c r="BB758" s="377">
        <f t="shared" si="304"/>
        <v>0</v>
      </c>
      <c r="BC758" s="377">
        <f t="shared" si="305"/>
        <v>0</v>
      </c>
      <c r="BD758" s="377">
        <f t="shared" si="306"/>
        <v>0</v>
      </c>
      <c r="BE758" s="377">
        <f t="shared" si="307"/>
        <v>0</v>
      </c>
      <c r="BF758" s="377">
        <f t="shared" si="308"/>
        <v>0</v>
      </c>
      <c r="BG758" s="328"/>
    </row>
    <row r="759" spans="2:59">
      <c r="B759" s="332">
        <v>744</v>
      </c>
      <c r="C759" s="350">
        <v>6093599.2657961538</v>
      </c>
      <c r="D759" s="350">
        <v>37639.996897742312</v>
      </c>
      <c r="E759" s="350">
        <v>36038.976258943454</v>
      </c>
      <c r="F759" s="350">
        <v>34394.874689222182</v>
      </c>
      <c r="G759" s="350">
        <v>32707.776167003496</v>
      </c>
      <c r="H759" s="348">
        <v>6234380.8898090655</v>
      </c>
      <c r="I759" s="369"/>
      <c r="J759" s="350">
        <v>7831415.8606215362</v>
      </c>
      <c r="K759" s="350">
        <v>1796925.4833862924</v>
      </c>
      <c r="L759" s="350">
        <v>1815423.5825664364</v>
      </c>
      <c r="M759" s="350">
        <v>1832459.6844488522</v>
      </c>
      <c r="N759" s="350">
        <v>1847984.8482372472</v>
      </c>
      <c r="O759" s="348">
        <v>15124209.459260363</v>
      </c>
      <c r="P759" s="369"/>
      <c r="Q759" s="350">
        <f t="shared" si="309"/>
        <v>1737816.5948253823</v>
      </c>
      <c r="R759" s="350">
        <f t="shared" si="310"/>
        <v>1759285.48648855</v>
      </c>
      <c r="S759" s="350">
        <f t="shared" si="311"/>
        <v>1779384.6063074928</v>
      </c>
      <c r="T759" s="350">
        <f t="shared" si="312"/>
        <v>1798064.8097596301</v>
      </c>
      <c r="U759" s="350">
        <f t="shared" si="313"/>
        <v>1815277.0720702438</v>
      </c>
      <c r="V759" s="350">
        <f t="shared" si="314"/>
        <v>8889828.5694512986</v>
      </c>
      <c r="W759" s="365"/>
      <c r="X759" s="377">
        <f t="shared" si="292"/>
        <v>0</v>
      </c>
      <c r="Y759" s="377">
        <f t="shared" si="293"/>
        <v>0</v>
      </c>
      <c r="Z759" s="377">
        <f t="shared" si="294"/>
        <v>0</v>
      </c>
      <c r="AA759" s="377">
        <f t="shared" si="295"/>
        <v>0</v>
      </c>
      <c r="AB759" s="377">
        <f t="shared" si="296"/>
        <v>0</v>
      </c>
      <c r="AC759" s="377">
        <f t="shared" si="297"/>
        <v>0</v>
      </c>
      <c r="AD759" s="376"/>
      <c r="AE759" s="332">
        <v>744</v>
      </c>
      <c r="AF759" s="350">
        <v>6550017.0577887958</v>
      </c>
      <c r="AG759" s="350">
        <v>40459.277182730366</v>
      </c>
      <c r="AH759" s="350">
        <v>38738.338204535379</v>
      </c>
      <c r="AI759" s="350">
        <v>36971.091482741002</v>
      </c>
      <c r="AJ759" s="350">
        <v>35157.627285854105</v>
      </c>
      <c r="AK759" s="348">
        <v>6701343.3919446561</v>
      </c>
      <c r="AL759" s="369"/>
      <c r="AM759" s="350">
        <v>8534140.1246855892</v>
      </c>
      <c r="AN759" s="350">
        <v>2049094.0924978764</v>
      </c>
      <c r="AO759" s="350">
        <v>2070320.9878169438</v>
      </c>
      <c r="AP759" s="350">
        <v>2089881.5513336253</v>
      </c>
      <c r="AQ759" s="350">
        <v>2107719.900098857</v>
      </c>
      <c r="AR759" s="348">
        <v>16851156.656432889</v>
      </c>
      <c r="AS759" s="369"/>
      <c r="AT759" s="350">
        <f t="shared" si="315"/>
        <v>1984123.0668967934</v>
      </c>
      <c r="AU759" s="350">
        <f t="shared" si="298"/>
        <v>2008634.815315146</v>
      </c>
      <c r="AV759" s="350">
        <f t="shared" si="299"/>
        <v>2031582.6496124084</v>
      </c>
      <c r="AW759" s="350">
        <f t="shared" si="300"/>
        <v>2052910.4598508843</v>
      </c>
      <c r="AX759" s="350">
        <f t="shared" si="301"/>
        <v>2072562.2728130028</v>
      </c>
      <c r="AY759" s="350">
        <f t="shared" si="302"/>
        <v>10149813.264488233</v>
      </c>
      <c r="AZ759" s="365"/>
      <c r="BA759" s="377">
        <f t="shared" si="303"/>
        <v>0</v>
      </c>
      <c r="BB759" s="377">
        <f t="shared" si="304"/>
        <v>0</v>
      </c>
      <c r="BC759" s="377">
        <f t="shared" si="305"/>
        <v>0</v>
      </c>
      <c r="BD759" s="377">
        <f t="shared" si="306"/>
        <v>0</v>
      </c>
      <c r="BE759" s="377">
        <f t="shared" si="307"/>
        <v>0</v>
      </c>
      <c r="BF759" s="377">
        <f t="shared" si="308"/>
        <v>0</v>
      </c>
      <c r="BG759" s="328"/>
    </row>
    <row r="760" spans="2:59">
      <c r="B760" s="332">
        <v>745</v>
      </c>
      <c r="C760" s="350">
        <v>7166661.7969157277</v>
      </c>
      <c r="D760" s="350">
        <v>44268.27496143755</v>
      </c>
      <c r="E760" s="350">
        <v>42385.319921620379</v>
      </c>
      <c r="F760" s="350">
        <v>40451.697542462811</v>
      </c>
      <c r="G760" s="350">
        <v>38467.506590705183</v>
      </c>
      <c r="H760" s="348">
        <v>7332234.5959319528</v>
      </c>
      <c r="I760" s="369"/>
      <c r="J760" s="350">
        <v>9468807.324037876</v>
      </c>
      <c r="K760" s="350">
        <v>2374854.3826729315</v>
      </c>
      <c r="L760" s="350">
        <v>2399597.4242590237</v>
      </c>
      <c r="M760" s="350">
        <v>2422410.1110997931</v>
      </c>
      <c r="N760" s="350">
        <v>2443227.5971535509</v>
      </c>
      <c r="O760" s="348">
        <v>19108896.839223176</v>
      </c>
      <c r="P760" s="369"/>
      <c r="Q760" s="350">
        <f t="shared" si="309"/>
        <v>2302145.5271221483</v>
      </c>
      <c r="R760" s="350">
        <f t="shared" si="310"/>
        <v>2330586.107711494</v>
      </c>
      <c r="S760" s="350">
        <f t="shared" si="311"/>
        <v>2357212.1043374036</v>
      </c>
      <c r="T760" s="350">
        <f t="shared" si="312"/>
        <v>2381958.4135573301</v>
      </c>
      <c r="U760" s="350">
        <f t="shared" si="313"/>
        <v>2404760.0905628456</v>
      </c>
      <c r="V760" s="350">
        <f t="shared" si="314"/>
        <v>11776662.243291223</v>
      </c>
      <c r="W760" s="365"/>
      <c r="X760" s="377">
        <f t="shared" si="292"/>
        <v>0</v>
      </c>
      <c r="Y760" s="377">
        <f t="shared" si="293"/>
        <v>0</v>
      </c>
      <c r="Z760" s="377">
        <f t="shared" si="294"/>
        <v>0</v>
      </c>
      <c r="AA760" s="377">
        <f t="shared" si="295"/>
        <v>0</v>
      </c>
      <c r="AB760" s="377">
        <f t="shared" si="296"/>
        <v>0</v>
      </c>
      <c r="AC760" s="377">
        <f t="shared" si="297"/>
        <v>0</v>
      </c>
      <c r="AD760" s="376"/>
      <c r="AE760" s="332">
        <v>745</v>
      </c>
      <c r="AF760" s="350">
        <v>6820015.9782984992</v>
      </c>
      <c r="AG760" s="350">
        <v>42127.053169809958</v>
      </c>
      <c r="AH760" s="350">
        <v>40335.175190650676</v>
      </c>
      <c r="AI760" s="350">
        <v>38495.080611676392</v>
      </c>
      <c r="AJ760" s="350">
        <v>36606.863422356531</v>
      </c>
      <c r="AK760" s="348">
        <v>6977580.1506929928</v>
      </c>
      <c r="AL760" s="369"/>
      <c r="AM760" s="350">
        <v>8886652.8051459938</v>
      </c>
      <c r="AN760" s="350">
        <v>2134294.9989367682</v>
      </c>
      <c r="AO760" s="350">
        <v>2156405.2872326509</v>
      </c>
      <c r="AP760" s="350">
        <v>2176779.9629016686</v>
      </c>
      <c r="AQ760" s="350">
        <v>2195360.8189565502</v>
      </c>
      <c r="AR760" s="348">
        <v>17549493.873173632</v>
      </c>
      <c r="AS760" s="369"/>
      <c r="AT760" s="350">
        <f t="shared" si="315"/>
        <v>2066636.8268474946</v>
      </c>
      <c r="AU760" s="350">
        <f t="shared" si="298"/>
        <v>2092167.9457669582</v>
      </c>
      <c r="AV760" s="350">
        <f t="shared" si="299"/>
        <v>2116070.1120420001</v>
      </c>
      <c r="AW760" s="350">
        <f t="shared" si="300"/>
        <v>2138284.8822899922</v>
      </c>
      <c r="AX760" s="350">
        <f t="shared" si="301"/>
        <v>2158753.9555341937</v>
      </c>
      <c r="AY760" s="350">
        <f t="shared" si="302"/>
        <v>10571913.72248064</v>
      </c>
      <c r="AZ760" s="365"/>
      <c r="BA760" s="377">
        <f t="shared" si="303"/>
        <v>0</v>
      </c>
      <c r="BB760" s="377">
        <f t="shared" si="304"/>
        <v>0</v>
      </c>
      <c r="BC760" s="377">
        <f t="shared" si="305"/>
        <v>0</v>
      </c>
      <c r="BD760" s="377">
        <f t="shared" si="306"/>
        <v>0</v>
      </c>
      <c r="BE760" s="377">
        <f t="shared" si="307"/>
        <v>0</v>
      </c>
      <c r="BF760" s="377">
        <f t="shared" si="308"/>
        <v>0</v>
      </c>
      <c r="BG760" s="328"/>
    </row>
    <row r="761" spans="2:59">
      <c r="B761" s="332">
        <v>746</v>
      </c>
      <c r="C761" s="350">
        <v>4572336.1800987497</v>
      </c>
      <c r="D761" s="350">
        <v>28243.196201033868</v>
      </c>
      <c r="E761" s="350">
        <v>27041.869321375405</v>
      </c>
      <c r="F761" s="350">
        <v>25808.216637124624</v>
      </c>
      <c r="G761" s="350">
        <v>24542.301161548716</v>
      </c>
      <c r="H761" s="348">
        <v>4677971.7634198321</v>
      </c>
      <c r="I761" s="369"/>
      <c r="J761" s="350">
        <v>6784438.9175026529</v>
      </c>
      <c r="K761" s="350">
        <v>2267674.1304690577</v>
      </c>
      <c r="L761" s="350">
        <v>2292057.3895021374</v>
      </c>
      <c r="M761" s="350">
        <v>2314602.1546985633</v>
      </c>
      <c r="N761" s="350">
        <v>2335246.0844204621</v>
      </c>
      <c r="O761" s="348">
        <v>15994018.676592875</v>
      </c>
      <c r="P761" s="369"/>
      <c r="Q761" s="350">
        <f t="shared" si="309"/>
        <v>2212102.7374039032</v>
      </c>
      <c r="R761" s="350">
        <f t="shared" si="310"/>
        <v>2239430.9342680238</v>
      </c>
      <c r="S761" s="350">
        <f t="shared" si="311"/>
        <v>2265015.5201807618</v>
      </c>
      <c r="T761" s="350">
        <f t="shared" si="312"/>
        <v>2288793.9380614385</v>
      </c>
      <c r="U761" s="350">
        <f t="shared" si="313"/>
        <v>2310703.7832589136</v>
      </c>
      <c r="V761" s="350">
        <f t="shared" si="314"/>
        <v>11316046.913173042</v>
      </c>
      <c r="W761" s="365"/>
      <c r="X761" s="377">
        <f t="shared" si="292"/>
        <v>0</v>
      </c>
      <c r="Y761" s="377">
        <f t="shared" si="293"/>
        <v>0</v>
      </c>
      <c r="Z761" s="377">
        <f t="shared" si="294"/>
        <v>0</v>
      </c>
      <c r="AA761" s="377">
        <f t="shared" si="295"/>
        <v>0</v>
      </c>
      <c r="AB761" s="377">
        <f t="shared" si="296"/>
        <v>0</v>
      </c>
      <c r="AC761" s="377">
        <f t="shared" si="297"/>
        <v>0</v>
      </c>
      <c r="AD761" s="376"/>
      <c r="AE761" s="332">
        <v>746</v>
      </c>
      <c r="AF761" s="350">
        <v>4488687.3793110652</v>
      </c>
      <c r="AG761" s="350">
        <v>27726.499834105314</v>
      </c>
      <c r="AH761" s="350">
        <v>26547.150680687071</v>
      </c>
      <c r="AI761" s="350">
        <v>25336.067108496172</v>
      </c>
      <c r="AJ761" s="350">
        <v>24093.310978003294</v>
      </c>
      <c r="AK761" s="348">
        <v>4592390.4079123568</v>
      </c>
      <c r="AL761" s="369"/>
      <c r="AM761" s="350">
        <v>6778274.8731298894</v>
      </c>
      <c r="AN761" s="350">
        <v>2345599.4329820899</v>
      </c>
      <c r="AO761" s="350">
        <v>2370900.83761549</v>
      </c>
      <c r="AP761" s="350">
        <v>2394301.0739796804</v>
      </c>
      <c r="AQ761" s="350">
        <v>2415735.6133958292</v>
      </c>
      <c r="AR761" s="348">
        <v>16304811.831102978</v>
      </c>
      <c r="AS761" s="369"/>
      <c r="AT761" s="350">
        <f t="shared" si="315"/>
        <v>2289587.4938188242</v>
      </c>
      <c r="AU761" s="350">
        <f t="shared" si="298"/>
        <v>2317872.9331479846</v>
      </c>
      <c r="AV761" s="350">
        <f t="shared" si="299"/>
        <v>2344353.6869348027</v>
      </c>
      <c r="AW761" s="350">
        <f t="shared" si="300"/>
        <v>2368965.0068711843</v>
      </c>
      <c r="AX761" s="350">
        <f t="shared" si="301"/>
        <v>2391642.3024178259</v>
      </c>
      <c r="AY761" s="350">
        <f t="shared" si="302"/>
        <v>11712421.423190622</v>
      </c>
      <c r="AZ761" s="365"/>
      <c r="BA761" s="377">
        <f t="shared" si="303"/>
        <v>0</v>
      </c>
      <c r="BB761" s="377">
        <f t="shared" si="304"/>
        <v>0</v>
      </c>
      <c r="BC761" s="377">
        <f t="shared" si="305"/>
        <v>0</v>
      </c>
      <c r="BD761" s="377">
        <f t="shared" si="306"/>
        <v>0</v>
      </c>
      <c r="BE761" s="377">
        <f t="shared" si="307"/>
        <v>0</v>
      </c>
      <c r="BF761" s="377">
        <f t="shared" si="308"/>
        <v>0</v>
      </c>
      <c r="BG761" s="328"/>
    </row>
    <row r="762" spans="2:59">
      <c r="B762" s="332">
        <v>747</v>
      </c>
      <c r="C762" s="350">
        <v>4481855.4553533681</v>
      </c>
      <c r="D762" s="350">
        <v>27684.299225671046</v>
      </c>
      <c r="E762" s="350">
        <v>26506.745078910491</v>
      </c>
      <c r="F762" s="350">
        <v>25297.504814168136</v>
      </c>
      <c r="G762" s="350">
        <v>24056.640197754488</v>
      </c>
      <c r="H762" s="348">
        <v>4585400.6446698727</v>
      </c>
      <c r="I762" s="369"/>
      <c r="J762" s="350">
        <v>6449298.1978722606</v>
      </c>
      <c r="K762" s="350">
        <v>2019432.7223430788</v>
      </c>
      <c r="L762" s="350">
        <v>2041010.0823434973</v>
      </c>
      <c r="M762" s="350">
        <v>2060949.351547546</v>
      </c>
      <c r="N762" s="350">
        <v>2079195.0890652016</v>
      </c>
      <c r="O762" s="348">
        <v>14649885.443171583</v>
      </c>
      <c r="P762" s="369"/>
      <c r="Q762" s="350">
        <f t="shared" si="309"/>
        <v>1967442.7425188925</v>
      </c>
      <c r="R762" s="350">
        <f t="shared" si="310"/>
        <v>1991748.4231174078</v>
      </c>
      <c r="S762" s="350">
        <f t="shared" si="311"/>
        <v>2014503.3372645867</v>
      </c>
      <c r="T762" s="350">
        <f t="shared" si="312"/>
        <v>2035651.8467333778</v>
      </c>
      <c r="U762" s="350">
        <f t="shared" si="313"/>
        <v>2055138.4488674472</v>
      </c>
      <c r="V762" s="350">
        <f t="shared" si="314"/>
        <v>10064484.798501711</v>
      </c>
      <c r="W762" s="365"/>
      <c r="X762" s="377">
        <f t="shared" si="292"/>
        <v>0</v>
      </c>
      <c r="Y762" s="377">
        <f t="shared" si="293"/>
        <v>0</v>
      </c>
      <c r="Z762" s="377">
        <f t="shared" si="294"/>
        <v>0</v>
      </c>
      <c r="AA762" s="377">
        <f t="shared" si="295"/>
        <v>0</v>
      </c>
      <c r="AB762" s="377">
        <f t="shared" si="296"/>
        <v>0</v>
      </c>
      <c r="AC762" s="377">
        <f t="shared" si="297"/>
        <v>0</v>
      </c>
      <c r="AD762" s="376"/>
      <c r="AE762" s="332">
        <v>747</v>
      </c>
      <c r="AF762" s="350">
        <v>5597483.205368679</v>
      </c>
      <c r="AG762" s="350">
        <v>34575.501488563372</v>
      </c>
      <c r="AH762" s="350">
        <v>33104.829436427237</v>
      </c>
      <c r="AI762" s="350">
        <v>31594.583927488493</v>
      </c>
      <c r="AJ762" s="350">
        <v>30044.842102992159</v>
      </c>
      <c r="AK762" s="348">
        <v>5726802.9623241508</v>
      </c>
      <c r="AL762" s="369"/>
      <c r="AM762" s="350">
        <v>6933273.8273639977</v>
      </c>
      <c r="AN762" s="350">
        <v>1386868.408151716</v>
      </c>
      <c r="AO762" s="350">
        <v>1400847.1315331659</v>
      </c>
      <c r="AP762" s="350">
        <v>1413695.6167801821</v>
      </c>
      <c r="AQ762" s="350">
        <v>1425376.2576360584</v>
      </c>
      <c r="AR762" s="348">
        <v>12560061.241465122</v>
      </c>
      <c r="AS762" s="369"/>
      <c r="AT762" s="350">
        <f t="shared" si="315"/>
        <v>1335790.6219953187</v>
      </c>
      <c r="AU762" s="350">
        <f t="shared" si="298"/>
        <v>1352292.9066631526</v>
      </c>
      <c r="AV762" s="350">
        <f t="shared" si="299"/>
        <v>1367742.3020967387</v>
      </c>
      <c r="AW762" s="350">
        <f t="shared" si="300"/>
        <v>1382101.0328526937</v>
      </c>
      <c r="AX762" s="350">
        <f t="shared" si="301"/>
        <v>1395331.4155330663</v>
      </c>
      <c r="AY762" s="350">
        <f t="shared" si="302"/>
        <v>6833258.2791409707</v>
      </c>
      <c r="AZ762" s="365"/>
      <c r="BA762" s="377">
        <f t="shared" si="303"/>
        <v>0</v>
      </c>
      <c r="BB762" s="377">
        <f t="shared" si="304"/>
        <v>0</v>
      </c>
      <c r="BC762" s="377">
        <f t="shared" si="305"/>
        <v>0</v>
      </c>
      <c r="BD762" s="377">
        <f t="shared" si="306"/>
        <v>0</v>
      </c>
      <c r="BE762" s="377">
        <f t="shared" si="307"/>
        <v>0</v>
      </c>
      <c r="BF762" s="377">
        <f t="shared" si="308"/>
        <v>0</v>
      </c>
      <c r="BG762" s="328"/>
    </row>
    <row r="763" spans="2:59">
      <c r="B763" s="332">
        <v>748</v>
      </c>
      <c r="C763" s="350">
        <v>4514310.6401957637</v>
      </c>
      <c r="D763" s="350">
        <v>27884.774019548993</v>
      </c>
      <c r="E763" s="350">
        <v>26698.692659478096</v>
      </c>
      <c r="F763" s="350">
        <v>25480.695727612569</v>
      </c>
      <c r="G763" s="350">
        <v>24230.845437544391</v>
      </c>
      <c r="H763" s="348">
        <v>4618605.6480399473</v>
      </c>
      <c r="I763" s="369"/>
      <c r="J763" s="350">
        <v>6653033.3552098684</v>
      </c>
      <c r="K763" s="350">
        <v>2193029.1530935541</v>
      </c>
      <c r="L763" s="350">
        <v>2216578.9640230164</v>
      </c>
      <c r="M763" s="350">
        <v>2238350.6056773691</v>
      </c>
      <c r="N763" s="350">
        <v>2258283.8057103921</v>
      </c>
      <c r="O763" s="348">
        <v>15559275.883714201</v>
      </c>
      <c r="P763" s="369"/>
      <c r="Q763" s="350">
        <f t="shared" si="309"/>
        <v>2138722.7150141047</v>
      </c>
      <c r="R763" s="350">
        <f t="shared" si="310"/>
        <v>2165144.3790740049</v>
      </c>
      <c r="S763" s="350">
        <f t="shared" si="311"/>
        <v>2189880.2713635382</v>
      </c>
      <c r="T763" s="350">
        <f t="shared" si="312"/>
        <v>2212869.9099497567</v>
      </c>
      <c r="U763" s="350">
        <f t="shared" si="313"/>
        <v>2234052.9602728477</v>
      </c>
      <c r="V763" s="350">
        <f t="shared" si="314"/>
        <v>10940670.235674255</v>
      </c>
      <c r="W763" s="365"/>
      <c r="X763" s="377">
        <f t="shared" si="292"/>
        <v>0</v>
      </c>
      <c r="Y763" s="377">
        <f t="shared" si="293"/>
        <v>0</v>
      </c>
      <c r="Z763" s="377">
        <f t="shared" si="294"/>
        <v>0</v>
      </c>
      <c r="AA763" s="377">
        <f t="shared" si="295"/>
        <v>0</v>
      </c>
      <c r="AB763" s="377">
        <f t="shared" si="296"/>
        <v>0</v>
      </c>
      <c r="AC763" s="377">
        <f t="shared" si="297"/>
        <v>0</v>
      </c>
      <c r="AD763" s="376"/>
      <c r="AE763" s="332">
        <v>748</v>
      </c>
      <c r="AF763" s="350">
        <v>7790212.4349464355</v>
      </c>
      <c r="AG763" s="350">
        <v>48119.930289809308</v>
      </c>
      <c r="AH763" s="350">
        <v>46073.144745673169</v>
      </c>
      <c r="AI763" s="350">
        <v>43971.283442675958</v>
      </c>
      <c r="AJ763" s="350">
        <v>41814.453740967983</v>
      </c>
      <c r="AK763" s="348">
        <v>7970191.2471655626</v>
      </c>
      <c r="AL763" s="369"/>
      <c r="AM763" s="350">
        <v>10195064.805793252</v>
      </c>
      <c r="AN763" s="350">
        <v>2482681.7164853802</v>
      </c>
      <c r="AO763" s="350">
        <v>2508448.807326383</v>
      </c>
      <c r="AP763" s="350">
        <v>2532197.2755078319</v>
      </c>
      <c r="AQ763" s="350">
        <v>2553859.38616414</v>
      </c>
      <c r="AR763" s="348">
        <v>20272251.991276991</v>
      </c>
      <c r="AS763" s="369"/>
      <c r="AT763" s="350">
        <f t="shared" si="315"/>
        <v>2404852.3708468163</v>
      </c>
      <c r="AU763" s="350">
        <f t="shared" si="298"/>
        <v>2434561.7861955711</v>
      </c>
      <c r="AV763" s="350">
        <f t="shared" si="299"/>
        <v>2462375.6625807099</v>
      </c>
      <c r="AW763" s="350">
        <f t="shared" si="300"/>
        <v>2488225.9920651559</v>
      </c>
      <c r="AX763" s="350">
        <f t="shared" si="301"/>
        <v>2512044.9324231721</v>
      </c>
      <c r="AY763" s="350">
        <f t="shared" si="302"/>
        <v>12302060.744111428</v>
      </c>
      <c r="AZ763" s="365"/>
      <c r="BA763" s="377">
        <f t="shared" si="303"/>
        <v>0</v>
      </c>
      <c r="BB763" s="377">
        <f t="shared" si="304"/>
        <v>0</v>
      </c>
      <c r="BC763" s="377">
        <f t="shared" si="305"/>
        <v>0</v>
      </c>
      <c r="BD763" s="377">
        <f t="shared" si="306"/>
        <v>0</v>
      </c>
      <c r="BE763" s="377">
        <f t="shared" si="307"/>
        <v>0</v>
      </c>
      <c r="BF763" s="377">
        <f t="shared" si="308"/>
        <v>0</v>
      </c>
      <c r="BG763" s="328"/>
    </row>
    <row r="764" spans="2:59">
      <c r="B764" s="332">
        <v>749</v>
      </c>
      <c r="C764" s="350">
        <v>5814037.3810982872</v>
      </c>
      <c r="D764" s="350">
        <v>35913.150741019075</v>
      </c>
      <c r="E764" s="350">
        <v>34385.581658138814</v>
      </c>
      <c r="F764" s="350">
        <v>32816.908109431337</v>
      </c>
      <c r="G764" s="350">
        <v>31207.210220559751</v>
      </c>
      <c r="H764" s="348">
        <v>5948360.231827436</v>
      </c>
      <c r="I764" s="369"/>
      <c r="J764" s="350">
        <v>7716513.4148407774</v>
      </c>
      <c r="K764" s="350">
        <v>1961892.2698964425</v>
      </c>
      <c r="L764" s="350">
        <v>1982368.2274622987</v>
      </c>
      <c r="M764" s="350">
        <v>2001249.7207948049</v>
      </c>
      <c r="N764" s="350">
        <v>2018483.1601103663</v>
      </c>
      <c r="O764" s="348">
        <v>15680506.79310469</v>
      </c>
      <c r="P764" s="369"/>
      <c r="Q764" s="350">
        <f t="shared" si="309"/>
        <v>1902476.0337424902</v>
      </c>
      <c r="R764" s="350">
        <f t="shared" si="310"/>
        <v>1925979.1191554235</v>
      </c>
      <c r="S764" s="350">
        <f t="shared" si="311"/>
        <v>1947982.6458041598</v>
      </c>
      <c r="T764" s="350">
        <f t="shared" si="312"/>
        <v>1968432.8126853735</v>
      </c>
      <c r="U764" s="350">
        <f t="shared" si="313"/>
        <v>1987275.9498898066</v>
      </c>
      <c r="V764" s="350">
        <f t="shared" si="314"/>
        <v>9732146.5612772536</v>
      </c>
      <c r="W764" s="365"/>
      <c r="X764" s="377">
        <f t="shared" si="292"/>
        <v>0</v>
      </c>
      <c r="Y764" s="377">
        <f t="shared" si="293"/>
        <v>0</v>
      </c>
      <c r="Z764" s="377">
        <f t="shared" si="294"/>
        <v>0</v>
      </c>
      <c r="AA764" s="377">
        <f t="shared" si="295"/>
        <v>0</v>
      </c>
      <c r="AB764" s="377">
        <f t="shared" si="296"/>
        <v>0</v>
      </c>
      <c r="AC764" s="377">
        <f t="shared" si="297"/>
        <v>0</v>
      </c>
      <c r="AD764" s="376"/>
      <c r="AE764" s="332">
        <v>749</v>
      </c>
      <c r="AF764" s="350">
        <v>6151639.7271172227</v>
      </c>
      <c r="AG764" s="350">
        <v>37998.51124842147</v>
      </c>
      <c r="AH764" s="350">
        <v>36382.241169608176</v>
      </c>
      <c r="AI764" s="350">
        <v>34722.479821586006</v>
      </c>
      <c r="AJ764" s="350">
        <v>33019.311982654108</v>
      </c>
      <c r="AK764" s="348">
        <v>6293762.2713394929</v>
      </c>
      <c r="AL764" s="369"/>
      <c r="AM764" s="350">
        <v>8023292.3804008216</v>
      </c>
      <c r="AN764" s="350">
        <v>1932773.4595797691</v>
      </c>
      <c r="AO764" s="350">
        <v>1952804.2212129347</v>
      </c>
      <c r="AP764" s="350">
        <v>1971263.298906486</v>
      </c>
      <c r="AQ764" s="350">
        <v>1988097.9770742052</v>
      </c>
      <c r="AR764" s="348">
        <v>15868231.337174218</v>
      </c>
      <c r="AS764" s="369"/>
      <c r="AT764" s="350">
        <f t="shared" si="315"/>
        <v>1871652.6532835988</v>
      </c>
      <c r="AU764" s="350">
        <f t="shared" si="298"/>
        <v>1894774.9483313477</v>
      </c>
      <c r="AV764" s="350">
        <f t="shared" si="299"/>
        <v>1916421.9800433265</v>
      </c>
      <c r="AW764" s="350">
        <f t="shared" si="300"/>
        <v>1936540.8190849</v>
      </c>
      <c r="AX764" s="350">
        <f t="shared" si="301"/>
        <v>1955078.6650915511</v>
      </c>
      <c r="AY764" s="350">
        <f t="shared" si="302"/>
        <v>9574469.0658347253</v>
      </c>
      <c r="AZ764" s="365"/>
      <c r="BA764" s="377">
        <f t="shared" si="303"/>
        <v>0</v>
      </c>
      <c r="BB764" s="377">
        <f t="shared" si="304"/>
        <v>0</v>
      </c>
      <c r="BC764" s="377">
        <f t="shared" si="305"/>
        <v>0</v>
      </c>
      <c r="BD764" s="377">
        <f t="shared" si="306"/>
        <v>0</v>
      </c>
      <c r="BE764" s="377">
        <f t="shared" si="307"/>
        <v>0</v>
      </c>
      <c r="BF764" s="377">
        <f t="shared" si="308"/>
        <v>0</v>
      </c>
      <c r="BG764" s="328"/>
    </row>
    <row r="765" spans="2:59">
      <c r="B765" s="332">
        <v>750</v>
      </c>
      <c r="C765" s="350">
        <v>6713503.1886455137</v>
      </c>
      <c r="D765" s="350">
        <v>41469.126565640458</v>
      </c>
      <c r="E765" s="350">
        <v>39705.233553511243</v>
      </c>
      <c r="F765" s="350">
        <v>37893.876972723359</v>
      </c>
      <c r="G765" s="350">
        <v>36035.149344857564</v>
      </c>
      <c r="H765" s="348">
        <v>6868606.5750822471</v>
      </c>
      <c r="I765" s="369"/>
      <c r="J765" s="350">
        <v>9028836.3058049455</v>
      </c>
      <c r="K765" s="350">
        <v>2385405.7430842402</v>
      </c>
      <c r="L765" s="350">
        <v>2410420.3708211491</v>
      </c>
      <c r="M765" s="350">
        <v>2433497.0799987353</v>
      </c>
      <c r="N765" s="350">
        <v>2454570.6463008896</v>
      </c>
      <c r="O765" s="348">
        <v>18712730.146009959</v>
      </c>
      <c r="P765" s="369"/>
      <c r="Q765" s="350">
        <f t="shared" si="309"/>
        <v>2315333.1171594318</v>
      </c>
      <c r="R765" s="350">
        <f t="shared" si="310"/>
        <v>2343936.6165185999</v>
      </c>
      <c r="S765" s="350">
        <f t="shared" si="311"/>
        <v>2370715.137267638</v>
      </c>
      <c r="T765" s="350">
        <f t="shared" si="312"/>
        <v>2395603.2030260121</v>
      </c>
      <c r="U765" s="350">
        <f t="shared" si="313"/>
        <v>2418535.4969560318</v>
      </c>
      <c r="V765" s="350">
        <f t="shared" si="314"/>
        <v>11844123.570927713</v>
      </c>
      <c r="W765" s="365"/>
      <c r="X765" s="377">
        <f t="shared" si="292"/>
        <v>0</v>
      </c>
      <c r="Y765" s="377">
        <f t="shared" si="293"/>
        <v>0</v>
      </c>
      <c r="Z765" s="377">
        <f t="shared" si="294"/>
        <v>0</v>
      </c>
      <c r="AA765" s="377">
        <f t="shared" si="295"/>
        <v>0</v>
      </c>
      <c r="AB765" s="377">
        <f t="shared" si="296"/>
        <v>0</v>
      </c>
      <c r="AC765" s="377">
        <f t="shared" si="297"/>
        <v>0</v>
      </c>
      <c r="AD765" s="376"/>
      <c r="AE765" s="332">
        <v>750</v>
      </c>
      <c r="AF765" s="350">
        <v>5144171.9062475394</v>
      </c>
      <c r="AG765" s="350">
        <v>31775.40992553563</v>
      </c>
      <c r="AH765" s="350">
        <v>30423.840018785737</v>
      </c>
      <c r="AI765" s="350">
        <v>29035.90150542769</v>
      </c>
      <c r="AJ765" s="350">
        <v>27611.665279428009</v>
      </c>
      <c r="AK765" s="348">
        <v>5263018.7229767162</v>
      </c>
      <c r="AL765" s="369"/>
      <c r="AM765" s="350">
        <v>7249913.7361381147</v>
      </c>
      <c r="AN765" s="350">
        <v>2163531.4598155846</v>
      </c>
      <c r="AO765" s="350">
        <v>2186534.3341423357</v>
      </c>
      <c r="AP765" s="350">
        <v>2207781.5148453335</v>
      </c>
      <c r="AQ765" s="350">
        <v>2227213.6686678762</v>
      </c>
      <c r="AR765" s="348">
        <v>16034974.713609245</v>
      </c>
      <c r="AS765" s="369"/>
      <c r="AT765" s="350">
        <f t="shared" si="315"/>
        <v>2105741.8298905753</v>
      </c>
      <c r="AU765" s="350">
        <f t="shared" si="298"/>
        <v>2131756.0498900488</v>
      </c>
      <c r="AV765" s="350">
        <f t="shared" si="299"/>
        <v>2156110.4941235501</v>
      </c>
      <c r="AW765" s="350">
        <f t="shared" si="300"/>
        <v>2178745.6133399056</v>
      </c>
      <c r="AX765" s="350">
        <f t="shared" si="301"/>
        <v>2199602.0033884482</v>
      </c>
      <c r="AY765" s="350">
        <f t="shared" si="302"/>
        <v>10771955.990632528</v>
      </c>
      <c r="AZ765" s="365"/>
      <c r="BA765" s="377">
        <f t="shared" si="303"/>
        <v>0</v>
      </c>
      <c r="BB765" s="377">
        <f t="shared" si="304"/>
        <v>0</v>
      </c>
      <c r="BC765" s="377">
        <f t="shared" si="305"/>
        <v>0</v>
      </c>
      <c r="BD765" s="377">
        <f t="shared" si="306"/>
        <v>0</v>
      </c>
      <c r="BE765" s="377">
        <f t="shared" si="307"/>
        <v>0</v>
      </c>
      <c r="BF765" s="377">
        <f t="shared" si="308"/>
        <v>0</v>
      </c>
      <c r="BG765" s="328"/>
    </row>
    <row r="766" spans="2:59">
      <c r="B766" s="332">
        <v>751</v>
      </c>
      <c r="C766" s="350">
        <v>4937873.3128748359</v>
      </c>
      <c r="D766" s="350">
        <v>30501.109126310635</v>
      </c>
      <c r="E766" s="350">
        <v>29203.741718173464</v>
      </c>
      <c r="F766" s="350">
        <v>27871.464206859851</v>
      </c>
      <c r="G766" s="350">
        <v>26504.344643252207</v>
      </c>
      <c r="H766" s="348">
        <v>5051953.9725694312</v>
      </c>
      <c r="I766" s="369"/>
      <c r="J766" s="350">
        <v>6508321.5433900207</v>
      </c>
      <c r="K766" s="350">
        <v>1620350.5716379778</v>
      </c>
      <c r="L766" s="350">
        <v>1637216.5865157261</v>
      </c>
      <c r="M766" s="350">
        <v>1652765.4301448292</v>
      </c>
      <c r="N766" s="350">
        <v>1666952.8673562896</v>
      </c>
      <c r="O766" s="348">
        <v>13085606.999044843</v>
      </c>
      <c r="P766" s="369"/>
      <c r="Q766" s="350">
        <f t="shared" si="309"/>
        <v>1570448.2305151848</v>
      </c>
      <c r="R766" s="350">
        <f t="shared" si="310"/>
        <v>1589849.4625116673</v>
      </c>
      <c r="S766" s="350">
        <f t="shared" si="311"/>
        <v>1608012.8447975526</v>
      </c>
      <c r="T766" s="350">
        <f t="shared" si="312"/>
        <v>1624893.9659379693</v>
      </c>
      <c r="U766" s="350">
        <f t="shared" si="313"/>
        <v>1640448.5227130374</v>
      </c>
      <c r="V766" s="350">
        <f t="shared" si="314"/>
        <v>8033653.0264754118</v>
      </c>
      <c r="W766" s="365"/>
      <c r="X766" s="377">
        <f t="shared" si="292"/>
        <v>0</v>
      </c>
      <c r="Y766" s="377">
        <f t="shared" si="293"/>
        <v>0</v>
      </c>
      <c r="Z766" s="377">
        <f t="shared" si="294"/>
        <v>0</v>
      </c>
      <c r="AA766" s="377">
        <f t="shared" si="295"/>
        <v>0</v>
      </c>
      <c r="AB766" s="377">
        <f t="shared" si="296"/>
        <v>0</v>
      </c>
      <c r="AC766" s="377">
        <f t="shared" si="297"/>
        <v>0</v>
      </c>
      <c r="AD766" s="376"/>
      <c r="AE766" s="332">
        <v>751</v>
      </c>
      <c r="AF766" s="350">
        <v>6359078.6990215462</v>
      </c>
      <c r="AG766" s="350">
        <v>39279.856134811431</v>
      </c>
      <c r="AH766" s="350">
        <v>37609.083936511044</v>
      </c>
      <c r="AI766" s="350">
        <v>35893.353903240866</v>
      </c>
      <c r="AJ766" s="350">
        <v>34132.753672107909</v>
      </c>
      <c r="AK766" s="348">
        <v>6505993.7466682168</v>
      </c>
      <c r="AL766" s="369"/>
      <c r="AM766" s="350">
        <v>8477621.3617717139</v>
      </c>
      <c r="AN766" s="350">
        <v>2183994.8796771439</v>
      </c>
      <c r="AO766" s="350">
        <v>2206826.6027058717</v>
      </c>
      <c r="AP766" s="350">
        <v>2227883.591082613</v>
      </c>
      <c r="AQ766" s="350">
        <v>2247106.1671751868</v>
      </c>
      <c r="AR766" s="348">
        <v>17343432.602412529</v>
      </c>
      <c r="AS766" s="369"/>
      <c r="AT766" s="350">
        <f t="shared" si="315"/>
        <v>2118542.6627501678</v>
      </c>
      <c r="AU766" s="350">
        <f t="shared" si="298"/>
        <v>2144715.0235423325</v>
      </c>
      <c r="AV766" s="350">
        <f t="shared" si="299"/>
        <v>2169217.5187693606</v>
      </c>
      <c r="AW766" s="350">
        <f t="shared" si="300"/>
        <v>2191990.237179372</v>
      </c>
      <c r="AX766" s="350">
        <f t="shared" si="301"/>
        <v>2212973.4135030787</v>
      </c>
      <c r="AY766" s="350">
        <f t="shared" si="302"/>
        <v>10837438.855744313</v>
      </c>
      <c r="AZ766" s="365"/>
      <c r="BA766" s="377">
        <f t="shared" si="303"/>
        <v>0</v>
      </c>
      <c r="BB766" s="377">
        <f t="shared" si="304"/>
        <v>0</v>
      </c>
      <c r="BC766" s="377">
        <f t="shared" si="305"/>
        <v>0</v>
      </c>
      <c r="BD766" s="377">
        <f t="shared" si="306"/>
        <v>0</v>
      </c>
      <c r="BE766" s="377">
        <f t="shared" si="307"/>
        <v>0</v>
      </c>
      <c r="BF766" s="377">
        <f t="shared" si="308"/>
        <v>0</v>
      </c>
      <c r="BG766" s="328"/>
    </row>
    <row r="767" spans="2:59">
      <c r="B767" s="332">
        <v>752</v>
      </c>
      <c r="C767" s="350">
        <v>5475113.7081662118</v>
      </c>
      <c r="D767" s="350">
        <v>33819.628433219419</v>
      </c>
      <c r="E767" s="350">
        <v>32381.107509180998</v>
      </c>
      <c r="F767" s="350">
        <v>30903.878264304934</v>
      </c>
      <c r="G767" s="350">
        <v>29388.01615340474</v>
      </c>
      <c r="H767" s="348">
        <v>5601606.3385263216</v>
      </c>
      <c r="I767" s="369"/>
      <c r="J767" s="350">
        <v>7171495.9445116306</v>
      </c>
      <c r="K767" s="350">
        <v>1751158.8786314635</v>
      </c>
      <c r="L767" s="350">
        <v>1769340.2588687765</v>
      </c>
      <c r="M767" s="350">
        <v>1786097.8453126699</v>
      </c>
      <c r="N767" s="350">
        <v>1801383.8575295818</v>
      </c>
      <c r="O767" s="348">
        <v>14279476.784854123</v>
      </c>
      <c r="P767" s="369"/>
      <c r="Q767" s="350">
        <f t="shared" si="309"/>
        <v>1696382.2363454187</v>
      </c>
      <c r="R767" s="350">
        <f t="shared" si="310"/>
        <v>1717339.2501982441</v>
      </c>
      <c r="S767" s="350">
        <f t="shared" si="311"/>
        <v>1736959.1513595956</v>
      </c>
      <c r="T767" s="350">
        <f t="shared" si="312"/>
        <v>1755193.9670483649</v>
      </c>
      <c r="U767" s="350">
        <f t="shared" si="313"/>
        <v>1771995.841376177</v>
      </c>
      <c r="V767" s="350">
        <f t="shared" si="314"/>
        <v>8677870.4463278018</v>
      </c>
      <c r="W767" s="365"/>
      <c r="X767" s="377">
        <f t="shared" si="292"/>
        <v>0</v>
      </c>
      <c r="Y767" s="377">
        <f t="shared" si="293"/>
        <v>0</v>
      </c>
      <c r="Z767" s="377">
        <f t="shared" si="294"/>
        <v>0</v>
      </c>
      <c r="AA767" s="377">
        <f t="shared" si="295"/>
        <v>0</v>
      </c>
      <c r="AB767" s="377">
        <f t="shared" si="296"/>
        <v>0</v>
      </c>
      <c r="AC767" s="377">
        <f t="shared" si="297"/>
        <v>0</v>
      </c>
      <c r="AD767" s="376"/>
      <c r="AE767" s="332">
        <v>752</v>
      </c>
      <c r="AF767" s="350">
        <v>5867780.7451942768</v>
      </c>
      <c r="AG767" s="350">
        <v>36245.122039034133</v>
      </c>
      <c r="AH767" s="350">
        <v>34703.432527263561</v>
      </c>
      <c r="AI767" s="350">
        <v>33120.258591278136</v>
      </c>
      <c r="AJ767" s="350">
        <v>31495.681097399469</v>
      </c>
      <c r="AK767" s="348">
        <v>6003345.2394492524</v>
      </c>
      <c r="AL767" s="369"/>
      <c r="AM767" s="350">
        <v>8664980.7859588489</v>
      </c>
      <c r="AN767" s="350">
        <v>2868001.6199200833</v>
      </c>
      <c r="AO767" s="350">
        <v>2898811.5945276925</v>
      </c>
      <c r="AP767" s="350">
        <v>2927296.1883949372</v>
      </c>
      <c r="AQ767" s="350">
        <v>2953376.5718159573</v>
      </c>
      <c r="AR767" s="348">
        <v>20312466.760617517</v>
      </c>
      <c r="AS767" s="369"/>
      <c r="AT767" s="350">
        <f t="shared" si="315"/>
        <v>2797200.0407645721</v>
      </c>
      <c r="AU767" s="350">
        <f t="shared" si="298"/>
        <v>2831756.4978810493</v>
      </c>
      <c r="AV767" s="350">
        <f t="shared" si="299"/>
        <v>2864108.1620004289</v>
      </c>
      <c r="AW767" s="350">
        <f t="shared" si="300"/>
        <v>2894175.9298036592</v>
      </c>
      <c r="AX767" s="350">
        <f t="shared" si="301"/>
        <v>2921880.8907185579</v>
      </c>
      <c r="AY767" s="350">
        <f t="shared" si="302"/>
        <v>14309121.521168265</v>
      </c>
      <c r="AZ767" s="365"/>
      <c r="BA767" s="377">
        <f t="shared" si="303"/>
        <v>0</v>
      </c>
      <c r="BB767" s="377">
        <f t="shared" si="304"/>
        <v>0</v>
      </c>
      <c r="BC767" s="377">
        <f t="shared" si="305"/>
        <v>0</v>
      </c>
      <c r="BD767" s="377">
        <f t="shared" si="306"/>
        <v>0</v>
      </c>
      <c r="BE767" s="377">
        <f t="shared" si="307"/>
        <v>0</v>
      </c>
      <c r="BF767" s="377">
        <f t="shared" si="308"/>
        <v>0</v>
      </c>
      <c r="BG767" s="328"/>
    </row>
    <row r="768" spans="2:59">
      <c r="B768" s="332">
        <v>753</v>
      </c>
      <c r="C768" s="350">
        <v>6668398.566681223</v>
      </c>
      <c r="D768" s="350">
        <v>41190.516542770587</v>
      </c>
      <c r="E768" s="350">
        <v>39438.474232912879</v>
      </c>
      <c r="F768" s="350">
        <v>37639.287238037541</v>
      </c>
      <c r="G768" s="350">
        <v>35793.047458114699</v>
      </c>
      <c r="H768" s="348">
        <v>6822459.8921530591</v>
      </c>
      <c r="I768" s="369"/>
      <c r="J768" s="350">
        <v>9102938.7224969193</v>
      </c>
      <c r="K768" s="350">
        <v>2505806.8489875011</v>
      </c>
      <c r="L768" s="350">
        <v>2532212.0440072166</v>
      </c>
      <c r="M768" s="350">
        <v>2556582.3075507088</v>
      </c>
      <c r="N768" s="350">
        <v>2578849.0517832506</v>
      </c>
      <c r="O768" s="348">
        <v>19276388.974825598</v>
      </c>
      <c r="P768" s="369"/>
      <c r="Q768" s="350">
        <f t="shared" si="309"/>
        <v>2434540.1558156963</v>
      </c>
      <c r="R768" s="350">
        <f t="shared" si="310"/>
        <v>2464616.3324447307</v>
      </c>
      <c r="S768" s="350">
        <f t="shared" si="311"/>
        <v>2492773.5697743036</v>
      </c>
      <c r="T768" s="350">
        <f t="shared" si="312"/>
        <v>2518943.0203126711</v>
      </c>
      <c r="U768" s="350">
        <f t="shared" si="313"/>
        <v>2543056.0043251361</v>
      </c>
      <c r="V768" s="350">
        <f t="shared" si="314"/>
        <v>12453929.08267254</v>
      </c>
      <c r="W768" s="365"/>
      <c r="X768" s="377">
        <f t="shared" si="292"/>
        <v>0</v>
      </c>
      <c r="Y768" s="377">
        <f t="shared" si="293"/>
        <v>0</v>
      </c>
      <c r="Z768" s="377">
        <f t="shared" si="294"/>
        <v>0</v>
      </c>
      <c r="AA768" s="377">
        <f t="shared" si="295"/>
        <v>0</v>
      </c>
      <c r="AB768" s="377">
        <f t="shared" si="296"/>
        <v>0</v>
      </c>
      <c r="AC768" s="377">
        <f t="shared" si="297"/>
        <v>0</v>
      </c>
      <c r="AD768" s="376"/>
      <c r="AE768" s="332">
        <v>753</v>
      </c>
      <c r="AF768" s="350">
        <v>6254357.4156398373</v>
      </c>
      <c r="AG768" s="350">
        <v>38632.995616146596</v>
      </c>
      <c r="AH768" s="350">
        <v>36989.73768793347</v>
      </c>
      <c r="AI768" s="350">
        <v>35302.262290205334</v>
      </c>
      <c r="AJ768" s="350">
        <v>33570.655616859229</v>
      </c>
      <c r="AK768" s="348">
        <v>6398853.0668509807</v>
      </c>
      <c r="AL768" s="369"/>
      <c r="AM768" s="350">
        <v>8659897.6997663081</v>
      </c>
      <c r="AN768" s="350">
        <v>2473891.1935346024</v>
      </c>
      <c r="AO768" s="350">
        <v>2500069.7682116926</v>
      </c>
      <c r="AP768" s="350">
        <v>2524240.0168416873</v>
      </c>
      <c r="AQ768" s="350">
        <v>2546334.1639863364</v>
      </c>
      <c r="AR768" s="348">
        <v>18704432.842340626</v>
      </c>
      <c r="AS768" s="369"/>
      <c r="AT768" s="350">
        <f t="shared" si="315"/>
        <v>2405540.2841264708</v>
      </c>
      <c r="AU768" s="350">
        <f t="shared" si="298"/>
        <v>2435258.197918456</v>
      </c>
      <c r="AV768" s="350">
        <f t="shared" si="299"/>
        <v>2463080.0305237593</v>
      </c>
      <c r="AW768" s="350">
        <f t="shared" si="300"/>
        <v>2488937.7545514819</v>
      </c>
      <c r="AX768" s="350">
        <f t="shared" si="301"/>
        <v>2512763.508369477</v>
      </c>
      <c r="AY768" s="350">
        <f t="shared" si="302"/>
        <v>12305579.775489645</v>
      </c>
      <c r="AZ768" s="365"/>
      <c r="BA768" s="377">
        <f t="shared" si="303"/>
        <v>0</v>
      </c>
      <c r="BB768" s="377">
        <f t="shared" si="304"/>
        <v>0</v>
      </c>
      <c r="BC768" s="377">
        <f t="shared" si="305"/>
        <v>0</v>
      </c>
      <c r="BD768" s="377">
        <f t="shared" si="306"/>
        <v>0</v>
      </c>
      <c r="BE768" s="377">
        <f t="shared" si="307"/>
        <v>0</v>
      </c>
      <c r="BF768" s="377">
        <f t="shared" si="308"/>
        <v>0</v>
      </c>
      <c r="BG768" s="328"/>
    </row>
    <row r="769" spans="2:59">
      <c r="B769" s="332">
        <v>754</v>
      </c>
      <c r="C769" s="350">
        <v>6081572.1275188979</v>
      </c>
      <c r="D769" s="350">
        <v>37565.705591783619</v>
      </c>
      <c r="E769" s="350">
        <v>35967.844940335985</v>
      </c>
      <c r="F769" s="350">
        <v>34326.988388225036</v>
      </c>
      <c r="G769" s="350">
        <v>32643.219748121905</v>
      </c>
      <c r="H769" s="348">
        <v>6222075.8861873653</v>
      </c>
      <c r="I769" s="369"/>
      <c r="J769" s="350">
        <v>8224089.6459281873</v>
      </c>
      <c r="K769" s="350">
        <v>2206551.7688556537</v>
      </c>
      <c r="L769" s="350">
        <v>2229733.6901702182</v>
      </c>
      <c r="M769" s="350">
        <v>2251123.2634476004</v>
      </c>
      <c r="N769" s="350">
        <v>2270660.1308871363</v>
      </c>
      <c r="O769" s="348">
        <v>17182158.499288797</v>
      </c>
      <c r="P769" s="369"/>
      <c r="Q769" s="350">
        <f t="shared" si="309"/>
        <v>2142517.5184092894</v>
      </c>
      <c r="R769" s="350">
        <f t="shared" si="310"/>
        <v>2168986.0632638703</v>
      </c>
      <c r="S769" s="350">
        <f t="shared" si="311"/>
        <v>2193765.8452298823</v>
      </c>
      <c r="T769" s="350">
        <f t="shared" si="312"/>
        <v>2216796.2750593754</v>
      </c>
      <c r="U769" s="350">
        <f t="shared" si="313"/>
        <v>2238016.9111390146</v>
      </c>
      <c r="V769" s="350">
        <f t="shared" si="314"/>
        <v>10960082.613101432</v>
      </c>
      <c r="W769" s="365"/>
      <c r="X769" s="377">
        <f t="shared" si="292"/>
        <v>0</v>
      </c>
      <c r="Y769" s="377">
        <f t="shared" si="293"/>
        <v>0</v>
      </c>
      <c r="Z769" s="377">
        <f t="shared" si="294"/>
        <v>0</v>
      </c>
      <c r="AA769" s="377">
        <f t="shared" si="295"/>
        <v>0</v>
      </c>
      <c r="AB769" s="377">
        <f t="shared" si="296"/>
        <v>0</v>
      </c>
      <c r="AC769" s="377">
        <f t="shared" si="297"/>
        <v>0</v>
      </c>
      <c r="AD769" s="376"/>
      <c r="AE769" s="332">
        <v>754</v>
      </c>
      <c r="AF769" s="350">
        <v>5435605.0939018335</v>
      </c>
      <c r="AG769" s="350">
        <v>33575.58479767957</v>
      </c>
      <c r="AH769" s="350">
        <v>32147.444291534208</v>
      </c>
      <c r="AI769" s="350">
        <v>30680.874785164036</v>
      </c>
      <c r="AJ769" s="350">
        <v>29175.951188895298</v>
      </c>
      <c r="AK769" s="348">
        <v>5561184.9489651062</v>
      </c>
      <c r="AL769" s="369"/>
      <c r="AM769" s="350">
        <v>7899894.2723043207</v>
      </c>
      <c r="AN769" s="350">
        <v>2528308.4576356877</v>
      </c>
      <c r="AO769" s="350">
        <v>2555381.6236613812</v>
      </c>
      <c r="AP769" s="350">
        <v>2580404.2840050058</v>
      </c>
      <c r="AQ769" s="350">
        <v>2603306.9946056735</v>
      </c>
      <c r="AR769" s="348">
        <v>18167295.632212065</v>
      </c>
      <c r="AS769" s="369"/>
      <c r="AT769" s="350">
        <f t="shared" si="315"/>
        <v>2464289.1784024872</v>
      </c>
      <c r="AU769" s="350">
        <f t="shared" si="298"/>
        <v>2494732.8728380082</v>
      </c>
      <c r="AV769" s="350">
        <f t="shared" si="299"/>
        <v>2523234.1793698468</v>
      </c>
      <c r="AW769" s="350">
        <f t="shared" si="300"/>
        <v>2549723.4092198419</v>
      </c>
      <c r="AX769" s="350">
        <f t="shared" si="301"/>
        <v>2574131.0434167781</v>
      </c>
      <c r="AY769" s="350">
        <f t="shared" si="302"/>
        <v>12606110.683246959</v>
      </c>
      <c r="AZ769" s="365"/>
      <c r="BA769" s="377">
        <f t="shared" si="303"/>
        <v>0</v>
      </c>
      <c r="BB769" s="377">
        <f t="shared" si="304"/>
        <v>0</v>
      </c>
      <c r="BC769" s="377">
        <f t="shared" si="305"/>
        <v>0</v>
      </c>
      <c r="BD769" s="377">
        <f t="shared" si="306"/>
        <v>0</v>
      </c>
      <c r="BE769" s="377">
        <f t="shared" si="307"/>
        <v>0</v>
      </c>
      <c r="BF769" s="377">
        <f t="shared" si="308"/>
        <v>0</v>
      </c>
      <c r="BG769" s="328"/>
    </row>
    <row r="770" spans="2:59">
      <c r="B770" s="332">
        <v>755</v>
      </c>
      <c r="C770" s="350">
        <v>4842292.010440249</v>
      </c>
      <c r="D770" s="350">
        <v>29910.706021315978</v>
      </c>
      <c r="E770" s="350">
        <v>28638.451462122284</v>
      </c>
      <c r="F770" s="350">
        <v>27331.96254676145</v>
      </c>
      <c r="G770" s="350">
        <v>25991.306008872773</v>
      </c>
      <c r="H770" s="348">
        <v>4954164.4364793217</v>
      </c>
      <c r="I770" s="369"/>
      <c r="J770" s="350">
        <v>7177622.0609753206</v>
      </c>
      <c r="K770" s="350">
        <v>2394091.2969425092</v>
      </c>
      <c r="L770" s="350">
        <v>2419828.8422909966</v>
      </c>
      <c r="M770" s="350">
        <v>2443625.3709217804</v>
      </c>
      <c r="N770" s="350">
        <v>2465415.0686061736</v>
      </c>
      <c r="O770" s="348">
        <v>16900582.639736779</v>
      </c>
      <c r="P770" s="369"/>
      <c r="Q770" s="350">
        <f t="shared" si="309"/>
        <v>2335330.0505350716</v>
      </c>
      <c r="R770" s="350">
        <f t="shared" si="310"/>
        <v>2364180.5909211934</v>
      </c>
      <c r="S770" s="350">
        <f t="shared" si="311"/>
        <v>2391190.3908288744</v>
      </c>
      <c r="T770" s="350">
        <f t="shared" si="312"/>
        <v>2416293.4083750187</v>
      </c>
      <c r="U770" s="350">
        <f t="shared" si="313"/>
        <v>2439423.762597301</v>
      </c>
      <c r="V770" s="350">
        <f t="shared" si="314"/>
        <v>11946418.203257456</v>
      </c>
      <c r="W770" s="365"/>
      <c r="X770" s="377">
        <f t="shared" si="292"/>
        <v>0</v>
      </c>
      <c r="Y770" s="377">
        <f t="shared" si="293"/>
        <v>0</v>
      </c>
      <c r="Z770" s="377">
        <f t="shared" si="294"/>
        <v>0</v>
      </c>
      <c r="AA770" s="377">
        <f t="shared" si="295"/>
        <v>0</v>
      </c>
      <c r="AB770" s="377">
        <f t="shared" si="296"/>
        <v>0</v>
      </c>
      <c r="AC770" s="377">
        <f t="shared" si="297"/>
        <v>0</v>
      </c>
      <c r="AD770" s="376"/>
      <c r="AE770" s="332">
        <v>755</v>
      </c>
      <c r="AF770" s="350">
        <v>7148278.6791740628</v>
      </c>
      <c r="AG770" s="350">
        <v>44154.722943232002</v>
      </c>
      <c r="AH770" s="350">
        <v>42276.597848678874</v>
      </c>
      <c r="AI770" s="350">
        <v>40347.935380963754</v>
      </c>
      <c r="AJ770" s="350">
        <v>38368.834053487379</v>
      </c>
      <c r="AK770" s="348">
        <v>7313426.7694004253</v>
      </c>
      <c r="AL770" s="369"/>
      <c r="AM770" s="350">
        <v>9856975.0120637752</v>
      </c>
      <c r="AN770" s="350">
        <v>2786314.1429575542</v>
      </c>
      <c r="AO770" s="350">
        <v>2815764.0718762893</v>
      </c>
      <c r="AP770" s="350">
        <v>2842951.8298289496</v>
      </c>
      <c r="AQ770" s="350">
        <v>2867801.1014956757</v>
      </c>
      <c r="AR770" s="348">
        <v>21169806.158222243</v>
      </c>
      <c r="AS770" s="369"/>
      <c r="AT770" s="350">
        <f t="shared" si="315"/>
        <v>2708696.3328897124</v>
      </c>
      <c r="AU770" s="350">
        <f t="shared" si="298"/>
        <v>2742159.4200143223</v>
      </c>
      <c r="AV770" s="350">
        <f t="shared" si="299"/>
        <v>2773487.4740276104</v>
      </c>
      <c r="AW770" s="350">
        <f t="shared" si="300"/>
        <v>2802603.894447986</v>
      </c>
      <c r="AX770" s="350">
        <f t="shared" si="301"/>
        <v>2829432.2674421882</v>
      </c>
      <c r="AY770" s="350">
        <f t="shared" si="302"/>
        <v>13856379.388821818</v>
      </c>
      <c r="AZ770" s="365"/>
      <c r="BA770" s="377">
        <f t="shared" si="303"/>
        <v>0</v>
      </c>
      <c r="BB770" s="377">
        <f t="shared" si="304"/>
        <v>0</v>
      </c>
      <c r="BC770" s="377">
        <f t="shared" si="305"/>
        <v>0</v>
      </c>
      <c r="BD770" s="377">
        <f t="shared" si="306"/>
        <v>0</v>
      </c>
      <c r="BE770" s="377">
        <f t="shared" si="307"/>
        <v>0</v>
      </c>
      <c r="BF770" s="377">
        <f t="shared" si="308"/>
        <v>0</v>
      </c>
      <c r="BG770" s="328"/>
    </row>
    <row r="771" spans="2:59">
      <c r="B771" s="332">
        <v>756</v>
      </c>
      <c r="C771" s="350">
        <v>5594445.0617527468</v>
      </c>
      <c r="D771" s="350">
        <v>34556.734958095847</v>
      </c>
      <c r="E771" s="350">
        <v>33086.861142014124</v>
      </c>
      <c r="F771" s="350">
        <v>31577.435348397776</v>
      </c>
      <c r="G771" s="350">
        <v>30028.534676622294</v>
      </c>
      <c r="H771" s="348">
        <v>5723694.6278778771</v>
      </c>
      <c r="I771" s="369"/>
      <c r="J771" s="350">
        <v>7574566.1084355507</v>
      </c>
      <c r="K771" s="350">
        <v>2039140.0893192687</v>
      </c>
      <c r="L771" s="350">
        <v>2060571.763509918</v>
      </c>
      <c r="M771" s="350">
        <v>2080347.1292886881</v>
      </c>
      <c r="N771" s="350">
        <v>2098410.4034366002</v>
      </c>
      <c r="O771" s="348">
        <v>15853035.493990026</v>
      </c>
      <c r="P771" s="369"/>
      <c r="Q771" s="350">
        <f t="shared" si="309"/>
        <v>1980121.0466828039</v>
      </c>
      <c r="R771" s="350">
        <f t="shared" si="310"/>
        <v>2004583.3543611728</v>
      </c>
      <c r="S771" s="350">
        <f t="shared" si="311"/>
        <v>2027484.9023679039</v>
      </c>
      <c r="T771" s="350">
        <f t="shared" si="312"/>
        <v>2048769.6939402902</v>
      </c>
      <c r="U771" s="350">
        <f t="shared" si="313"/>
        <v>2068381.8687599779</v>
      </c>
      <c r="V771" s="350">
        <f t="shared" si="314"/>
        <v>10129340.86611215</v>
      </c>
      <c r="W771" s="365"/>
      <c r="X771" s="377">
        <f t="shared" si="292"/>
        <v>0</v>
      </c>
      <c r="Y771" s="377">
        <f t="shared" si="293"/>
        <v>0</v>
      </c>
      <c r="Z771" s="377">
        <f t="shared" si="294"/>
        <v>0</v>
      </c>
      <c r="AA771" s="377">
        <f t="shared" si="295"/>
        <v>0</v>
      </c>
      <c r="AB771" s="377">
        <f t="shared" si="296"/>
        <v>0</v>
      </c>
      <c r="AC771" s="377">
        <f t="shared" si="297"/>
        <v>0</v>
      </c>
      <c r="AD771" s="376"/>
      <c r="AE771" s="332">
        <v>756</v>
      </c>
      <c r="AF771" s="350">
        <v>5577187.2287309477</v>
      </c>
      <c r="AG771" s="350">
        <v>34450.133792992863</v>
      </c>
      <c r="AH771" s="350">
        <v>32984.794267013269</v>
      </c>
      <c r="AI771" s="350">
        <v>31480.024774072957</v>
      </c>
      <c r="AJ771" s="350">
        <v>29935.902175700972</v>
      </c>
      <c r="AK771" s="348">
        <v>5706038.083740728</v>
      </c>
      <c r="AL771" s="369"/>
      <c r="AM771" s="350">
        <v>7791142.0076348707</v>
      </c>
      <c r="AN771" s="350">
        <v>2275755.9895809647</v>
      </c>
      <c r="AO771" s="350">
        <v>2299896.6561821047</v>
      </c>
      <c r="AP771" s="350">
        <v>2322190.2126039383</v>
      </c>
      <c r="AQ771" s="350">
        <v>2342574.278809723</v>
      </c>
      <c r="AR771" s="348">
        <v>17031559.1448116</v>
      </c>
      <c r="AS771" s="369"/>
      <c r="AT771" s="350">
        <f t="shared" si="315"/>
        <v>2213954.778903923</v>
      </c>
      <c r="AU771" s="350">
        <f t="shared" si="298"/>
        <v>2241305.855787972</v>
      </c>
      <c r="AV771" s="350">
        <f t="shared" si="299"/>
        <v>2266911.8619150915</v>
      </c>
      <c r="AW771" s="350">
        <f t="shared" si="300"/>
        <v>2290710.1878298651</v>
      </c>
      <c r="AX771" s="350">
        <f t="shared" si="301"/>
        <v>2312638.3766340222</v>
      </c>
      <c r="AY771" s="350">
        <f t="shared" si="302"/>
        <v>11325521.061070872</v>
      </c>
      <c r="AZ771" s="365"/>
      <c r="BA771" s="377">
        <f t="shared" si="303"/>
        <v>0</v>
      </c>
      <c r="BB771" s="377">
        <f t="shared" si="304"/>
        <v>0</v>
      </c>
      <c r="BC771" s="377">
        <f t="shared" si="305"/>
        <v>0</v>
      </c>
      <c r="BD771" s="377">
        <f t="shared" si="306"/>
        <v>0</v>
      </c>
      <c r="BE771" s="377">
        <f t="shared" si="307"/>
        <v>0</v>
      </c>
      <c r="BF771" s="377">
        <f t="shared" si="308"/>
        <v>0</v>
      </c>
      <c r="BG771" s="328"/>
    </row>
    <row r="772" spans="2:59">
      <c r="B772" s="332">
        <v>757</v>
      </c>
      <c r="C772" s="350">
        <v>4001806.9377494343</v>
      </c>
      <c r="D772" s="350">
        <v>24719.052591419684</v>
      </c>
      <c r="E772" s="350">
        <v>23667.625475792316</v>
      </c>
      <c r="F772" s="350">
        <v>22587.906120927055</v>
      </c>
      <c r="G772" s="350">
        <v>21479.949677387449</v>
      </c>
      <c r="H772" s="348">
        <v>4094261.4716149606</v>
      </c>
      <c r="I772" s="369"/>
      <c r="J772" s="350">
        <v>5643693.1838821452</v>
      </c>
      <c r="K772" s="350">
        <v>1686889.0720788287</v>
      </c>
      <c r="L772" s="350">
        <v>1704827.2601437436</v>
      </c>
      <c r="M772" s="350">
        <v>1721396.5661315713</v>
      </c>
      <c r="N772" s="350">
        <v>1736550.726666759</v>
      </c>
      <c r="O772" s="348">
        <v>12493356.808903048</v>
      </c>
      <c r="P772" s="369"/>
      <c r="Q772" s="350">
        <f t="shared" si="309"/>
        <v>1641886.2461327109</v>
      </c>
      <c r="R772" s="350">
        <f t="shared" si="310"/>
        <v>1662170.0194874089</v>
      </c>
      <c r="S772" s="350">
        <f t="shared" si="311"/>
        <v>1681159.6346679514</v>
      </c>
      <c r="T772" s="350">
        <f t="shared" si="312"/>
        <v>1698808.6600106442</v>
      </c>
      <c r="U772" s="350">
        <f t="shared" si="313"/>
        <v>1715070.7769893715</v>
      </c>
      <c r="V772" s="350">
        <f t="shared" si="314"/>
        <v>8399095.3372880872</v>
      </c>
      <c r="W772" s="365"/>
      <c r="X772" s="377">
        <f t="shared" si="292"/>
        <v>0</v>
      </c>
      <c r="Y772" s="377">
        <f t="shared" si="293"/>
        <v>0</v>
      </c>
      <c r="Z772" s="377">
        <f t="shared" si="294"/>
        <v>0</v>
      </c>
      <c r="AA772" s="377">
        <f t="shared" si="295"/>
        <v>0</v>
      </c>
      <c r="AB772" s="377">
        <f t="shared" si="296"/>
        <v>0</v>
      </c>
      <c r="AC772" s="377">
        <f t="shared" si="297"/>
        <v>0</v>
      </c>
      <c r="AD772" s="376"/>
      <c r="AE772" s="332">
        <v>757</v>
      </c>
      <c r="AF772" s="350">
        <v>4962029.2310387269</v>
      </c>
      <c r="AG772" s="350">
        <v>30650.319575683359</v>
      </c>
      <c r="AH772" s="350">
        <v>29346.605487721346</v>
      </c>
      <c r="AI772" s="350">
        <v>28007.810517473736</v>
      </c>
      <c r="AJ772" s="350">
        <v>26634.003048728046</v>
      </c>
      <c r="AK772" s="348">
        <v>5076667.9696683334</v>
      </c>
      <c r="AL772" s="369"/>
      <c r="AM772" s="350">
        <v>6713372.3607377727</v>
      </c>
      <c r="AN772" s="350">
        <v>1803629.4470137893</v>
      </c>
      <c r="AO772" s="350">
        <v>1822581.2970128073</v>
      </c>
      <c r="AP772" s="350">
        <v>1840068.1054317183</v>
      </c>
      <c r="AQ772" s="350">
        <v>1856040.5342885037</v>
      </c>
      <c r="AR772" s="348">
        <v>14035691.744484592</v>
      </c>
      <c r="AS772" s="369"/>
      <c r="AT772" s="350">
        <f t="shared" si="315"/>
        <v>1751343.1296990458</v>
      </c>
      <c r="AU772" s="350">
        <f t="shared" si="298"/>
        <v>1772979.1274381059</v>
      </c>
      <c r="AV772" s="350">
        <f t="shared" si="299"/>
        <v>1793234.6915250861</v>
      </c>
      <c r="AW772" s="350">
        <f t="shared" si="300"/>
        <v>1812060.2949142444</v>
      </c>
      <c r="AX772" s="350">
        <f t="shared" si="301"/>
        <v>1829406.5312397757</v>
      </c>
      <c r="AY772" s="350">
        <f t="shared" si="302"/>
        <v>8959023.7748162597</v>
      </c>
      <c r="AZ772" s="365"/>
      <c r="BA772" s="377">
        <f t="shared" si="303"/>
        <v>0</v>
      </c>
      <c r="BB772" s="377">
        <f t="shared" si="304"/>
        <v>0</v>
      </c>
      <c r="BC772" s="377">
        <f t="shared" si="305"/>
        <v>0</v>
      </c>
      <c r="BD772" s="377">
        <f t="shared" si="306"/>
        <v>0</v>
      </c>
      <c r="BE772" s="377">
        <f t="shared" si="307"/>
        <v>0</v>
      </c>
      <c r="BF772" s="377">
        <f t="shared" si="308"/>
        <v>0</v>
      </c>
      <c r="BG772" s="328"/>
    </row>
    <row r="773" spans="2:59">
      <c r="B773" s="332">
        <v>758</v>
      </c>
      <c r="C773" s="350">
        <v>6088014.1864064736</v>
      </c>
      <c r="D773" s="350">
        <v>37605.49801428635</v>
      </c>
      <c r="E773" s="350">
        <v>36005.944788583656</v>
      </c>
      <c r="F773" s="350">
        <v>34363.350117724389</v>
      </c>
      <c r="G773" s="350">
        <v>32677.797903157902</v>
      </c>
      <c r="H773" s="348">
        <v>6228666.7772302255</v>
      </c>
      <c r="I773" s="369"/>
      <c r="J773" s="350">
        <v>7961950.1475515906</v>
      </c>
      <c r="K773" s="350">
        <v>1934691.962068245</v>
      </c>
      <c r="L773" s="350">
        <v>1954765.8486797682</v>
      </c>
      <c r="M773" s="350">
        <v>1973266.6368691619</v>
      </c>
      <c r="N773" s="350">
        <v>1990141.5457599638</v>
      </c>
      <c r="O773" s="348">
        <v>15814816.14092873</v>
      </c>
      <c r="P773" s="369"/>
      <c r="Q773" s="350">
        <f t="shared" si="309"/>
        <v>1873935.9611451169</v>
      </c>
      <c r="R773" s="350">
        <f t="shared" si="310"/>
        <v>1897086.4640539587</v>
      </c>
      <c r="S773" s="350">
        <f t="shared" si="311"/>
        <v>1918759.9038911846</v>
      </c>
      <c r="T773" s="350">
        <f t="shared" si="312"/>
        <v>1938903.2867514375</v>
      </c>
      <c r="U773" s="350">
        <f t="shared" si="313"/>
        <v>1957463.7478568058</v>
      </c>
      <c r="V773" s="350">
        <f t="shared" si="314"/>
        <v>9586149.3636985049</v>
      </c>
      <c r="W773" s="365"/>
      <c r="X773" s="377">
        <f t="shared" si="292"/>
        <v>0</v>
      </c>
      <c r="Y773" s="377">
        <f t="shared" si="293"/>
        <v>0</v>
      </c>
      <c r="Z773" s="377">
        <f t="shared" si="294"/>
        <v>0</v>
      </c>
      <c r="AA773" s="377">
        <f t="shared" si="295"/>
        <v>0</v>
      </c>
      <c r="AB773" s="377">
        <f t="shared" si="296"/>
        <v>0</v>
      </c>
      <c r="AC773" s="377">
        <f t="shared" si="297"/>
        <v>0</v>
      </c>
      <c r="AD773" s="376"/>
      <c r="AE773" s="332">
        <v>758</v>
      </c>
      <c r="AF773" s="350">
        <v>5459674.6567032887</v>
      </c>
      <c r="AG773" s="350">
        <v>33724.261832329212</v>
      </c>
      <c r="AH773" s="350">
        <v>32289.797335199968</v>
      </c>
      <c r="AI773" s="350">
        <v>30816.733669259145</v>
      </c>
      <c r="AJ773" s="350">
        <v>29305.146076549598</v>
      </c>
      <c r="AK773" s="348">
        <v>5585810.5956166275</v>
      </c>
      <c r="AL773" s="369"/>
      <c r="AM773" s="350">
        <v>7441636.0502965879</v>
      </c>
      <c r="AN773" s="350">
        <v>2040170.6986496025</v>
      </c>
      <c r="AO773" s="350">
        <v>2061659.067117105</v>
      </c>
      <c r="AP773" s="350">
        <v>2081490.5773497259</v>
      </c>
      <c r="AQ773" s="350">
        <v>2099609.3923539417</v>
      </c>
      <c r="AR773" s="348">
        <v>15724565.785766963</v>
      </c>
      <c r="AS773" s="369"/>
      <c r="AT773" s="350">
        <f t="shared" si="315"/>
        <v>1981961.3935932992</v>
      </c>
      <c r="AU773" s="350">
        <f t="shared" si="298"/>
        <v>2006446.4368172733</v>
      </c>
      <c r="AV773" s="350">
        <f t="shared" si="299"/>
        <v>2029369.269781905</v>
      </c>
      <c r="AW773" s="350">
        <f t="shared" si="300"/>
        <v>2050673.8436804668</v>
      </c>
      <c r="AX773" s="350">
        <f t="shared" si="301"/>
        <v>2070304.2462773921</v>
      </c>
      <c r="AY773" s="350">
        <f t="shared" si="302"/>
        <v>10138755.190150335</v>
      </c>
      <c r="AZ773" s="365"/>
      <c r="BA773" s="377">
        <f t="shared" si="303"/>
        <v>0</v>
      </c>
      <c r="BB773" s="377">
        <f t="shared" si="304"/>
        <v>0</v>
      </c>
      <c r="BC773" s="377">
        <f t="shared" si="305"/>
        <v>0</v>
      </c>
      <c r="BD773" s="377">
        <f t="shared" si="306"/>
        <v>0</v>
      </c>
      <c r="BE773" s="377">
        <f t="shared" si="307"/>
        <v>0</v>
      </c>
      <c r="BF773" s="377">
        <f t="shared" si="308"/>
        <v>0</v>
      </c>
      <c r="BG773" s="328"/>
    </row>
    <row r="774" spans="2:59">
      <c r="B774" s="332">
        <v>759</v>
      </c>
      <c r="C774" s="350">
        <v>4066676.5616512527</v>
      </c>
      <c r="D774" s="350">
        <v>25119.750493581811</v>
      </c>
      <c r="E774" s="350">
        <v>24051.279656803101</v>
      </c>
      <c r="F774" s="350">
        <v>22954.057961229813</v>
      </c>
      <c r="G774" s="350">
        <v>21828.14145142306</v>
      </c>
      <c r="H774" s="348">
        <v>4160629.7912142905</v>
      </c>
      <c r="I774" s="369"/>
      <c r="J774" s="350">
        <v>6484749.2159557138</v>
      </c>
      <c r="K774" s="350">
        <v>2473065.1428093566</v>
      </c>
      <c r="L774" s="350">
        <v>2499963.4506041626</v>
      </c>
      <c r="M774" s="350">
        <v>2524858.6663608239</v>
      </c>
      <c r="N774" s="350">
        <v>2547682.6309466064</v>
      </c>
      <c r="O774" s="348">
        <v>16530319.106676662</v>
      </c>
      <c r="P774" s="369"/>
      <c r="Q774" s="350">
        <f t="shared" si="309"/>
        <v>2418072.6543044611</v>
      </c>
      <c r="R774" s="350">
        <f t="shared" si="310"/>
        <v>2447945.3923157747</v>
      </c>
      <c r="S774" s="350">
        <f t="shared" si="311"/>
        <v>2475912.1709473594</v>
      </c>
      <c r="T774" s="350">
        <f t="shared" si="312"/>
        <v>2501904.6083995942</v>
      </c>
      <c r="U774" s="350">
        <f t="shared" si="313"/>
        <v>2525854.4894951833</v>
      </c>
      <c r="V774" s="350">
        <f t="shared" si="314"/>
        <v>12369689.315462371</v>
      </c>
      <c r="W774" s="365"/>
      <c r="X774" s="377">
        <f t="shared" si="292"/>
        <v>0</v>
      </c>
      <c r="Y774" s="377">
        <f t="shared" si="293"/>
        <v>0</v>
      </c>
      <c r="Z774" s="377">
        <f t="shared" si="294"/>
        <v>0</v>
      </c>
      <c r="AA774" s="377">
        <f t="shared" si="295"/>
        <v>0</v>
      </c>
      <c r="AB774" s="377">
        <f t="shared" si="296"/>
        <v>0</v>
      </c>
      <c r="AC774" s="377">
        <f t="shared" si="297"/>
        <v>0</v>
      </c>
      <c r="AD774" s="376"/>
      <c r="AE774" s="332">
        <v>759</v>
      </c>
      <c r="AF774" s="350">
        <v>4674031.5777751915</v>
      </c>
      <c r="AG774" s="350">
        <v>28871.365906013118</v>
      </c>
      <c r="AH774" s="350">
        <v>27643.319771697519</v>
      </c>
      <c r="AI774" s="350">
        <v>26382.228859948256</v>
      </c>
      <c r="AJ774" s="350">
        <v>25088.157585532012</v>
      </c>
      <c r="AK774" s="348">
        <v>4782016.6498983828</v>
      </c>
      <c r="AL774" s="369"/>
      <c r="AM774" s="350">
        <v>6249525.7288684547</v>
      </c>
      <c r="AN774" s="350">
        <v>1623829.0860240473</v>
      </c>
      <c r="AO774" s="350">
        <v>1640822.7819372839</v>
      </c>
      <c r="AP774" s="350">
        <v>1656497.0519650662</v>
      </c>
      <c r="AQ774" s="350">
        <v>1670807.5149540491</v>
      </c>
      <c r="AR774" s="348">
        <v>12841482.163748901</v>
      </c>
      <c r="AS774" s="369"/>
      <c r="AT774" s="350">
        <f t="shared" si="315"/>
        <v>1575494.1510932632</v>
      </c>
      <c r="AU774" s="350">
        <f t="shared" si="298"/>
        <v>1594957.7201180342</v>
      </c>
      <c r="AV774" s="350">
        <f t="shared" si="299"/>
        <v>1613179.4621655864</v>
      </c>
      <c r="AW774" s="350">
        <f t="shared" si="300"/>
        <v>1630114.823105118</v>
      </c>
      <c r="AX774" s="350">
        <f t="shared" si="301"/>
        <v>1645719.3573685172</v>
      </c>
      <c r="AY774" s="350">
        <f t="shared" si="302"/>
        <v>8059465.5138505185</v>
      </c>
      <c r="AZ774" s="365"/>
      <c r="BA774" s="377">
        <f t="shared" si="303"/>
        <v>0</v>
      </c>
      <c r="BB774" s="377">
        <f t="shared" si="304"/>
        <v>0</v>
      </c>
      <c r="BC774" s="377">
        <f t="shared" si="305"/>
        <v>0</v>
      </c>
      <c r="BD774" s="377">
        <f t="shared" si="306"/>
        <v>0</v>
      </c>
      <c r="BE774" s="377">
        <f t="shared" si="307"/>
        <v>0</v>
      </c>
      <c r="BF774" s="377">
        <f t="shared" si="308"/>
        <v>0</v>
      </c>
      <c r="BG774" s="328"/>
    </row>
    <row r="775" spans="2:59">
      <c r="B775" s="332">
        <v>760</v>
      </c>
      <c r="C775" s="350">
        <v>5760555.3804014958</v>
      </c>
      <c r="D775" s="350">
        <v>35582.793877611388</v>
      </c>
      <c r="E775" s="350">
        <v>34069.276553500371</v>
      </c>
      <c r="F775" s="350">
        <v>32515.032874146749</v>
      </c>
      <c r="G775" s="350">
        <v>30920.142228154451</v>
      </c>
      <c r="H775" s="348">
        <v>5893642.6259349082</v>
      </c>
      <c r="I775" s="369"/>
      <c r="J775" s="350">
        <v>8523680.9477709793</v>
      </c>
      <c r="K775" s="350">
        <v>2832843.864173138</v>
      </c>
      <c r="L775" s="350">
        <v>2863287.9147642534</v>
      </c>
      <c r="M775" s="350">
        <v>2891435.1642781189</v>
      </c>
      <c r="N775" s="350">
        <v>2917207.7427910333</v>
      </c>
      <c r="O775" s="348">
        <v>20028455.633777525</v>
      </c>
      <c r="P775" s="369"/>
      <c r="Q775" s="350">
        <f t="shared" si="309"/>
        <v>2763125.5673694834</v>
      </c>
      <c r="R775" s="350">
        <f t="shared" si="310"/>
        <v>2797261.0702955266</v>
      </c>
      <c r="S775" s="350">
        <f t="shared" si="311"/>
        <v>2829218.638210753</v>
      </c>
      <c r="T775" s="350">
        <f t="shared" si="312"/>
        <v>2858920.1314039719</v>
      </c>
      <c r="U775" s="350">
        <f t="shared" si="313"/>
        <v>2886287.6005628789</v>
      </c>
      <c r="V775" s="350">
        <f t="shared" si="314"/>
        <v>14134813.007842617</v>
      </c>
      <c r="W775" s="365"/>
      <c r="X775" s="377">
        <f t="shared" si="292"/>
        <v>0</v>
      </c>
      <c r="Y775" s="377">
        <f t="shared" si="293"/>
        <v>0</v>
      </c>
      <c r="Z775" s="377">
        <f t="shared" si="294"/>
        <v>0</v>
      </c>
      <c r="AA775" s="377">
        <f t="shared" si="295"/>
        <v>0</v>
      </c>
      <c r="AB775" s="377">
        <f t="shared" si="296"/>
        <v>0</v>
      </c>
      <c r="AC775" s="377">
        <f t="shared" si="297"/>
        <v>0</v>
      </c>
      <c r="AD775" s="376"/>
      <c r="AE775" s="332">
        <v>760</v>
      </c>
      <c r="AF775" s="350">
        <v>3818969.2628161111</v>
      </c>
      <c r="AG775" s="350">
        <v>23589.66924717716</v>
      </c>
      <c r="AH775" s="350">
        <v>22586.280553235549</v>
      </c>
      <c r="AI775" s="350">
        <v>21555.892257937634</v>
      </c>
      <c r="AJ775" s="350">
        <v>20498.556992086433</v>
      </c>
      <c r="AK775" s="348">
        <v>3907199.661866548</v>
      </c>
      <c r="AL775" s="369"/>
      <c r="AM775" s="350">
        <v>5355635.918587584</v>
      </c>
      <c r="AN775" s="350">
        <v>1579240.2212787017</v>
      </c>
      <c r="AO775" s="350">
        <v>1596009.5062535992</v>
      </c>
      <c r="AP775" s="350">
        <v>1611497.1129258941</v>
      </c>
      <c r="AQ775" s="350">
        <v>1625659.7437035672</v>
      </c>
      <c r="AR775" s="348">
        <v>11768042.502749346</v>
      </c>
      <c r="AS775" s="369"/>
      <c r="AT775" s="350">
        <f t="shared" si="315"/>
        <v>1536666.655771473</v>
      </c>
      <c r="AU775" s="350">
        <f t="shared" si="298"/>
        <v>1555650.5520315245</v>
      </c>
      <c r="AV775" s="350">
        <f t="shared" si="299"/>
        <v>1573423.2257003637</v>
      </c>
      <c r="AW775" s="350">
        <f t="shared" si="300"/>
        <v>1589941.2206679564</v>
      </c>
      <c r="AX775" s="350">
        <f t="shared" si="301"/>
        <v>1605161.1867114808</v>
      </c>
      <c r="AY775" s="350">
        <f t="shared" si="302"/>
        <v>7860842.8408827987</v>
      </c>
      <c r="AZ775" s="365"/>
      <c r="BA775" s="377">
        <f t="shared" si="303"/>
        <v>0</v>
      </c>
      <c r="BB775" s="377">
        <f t="shared" si="304"/>
        <v>0</v>
      </c>
      <c r="BC775" s="377">
        <f t="shared" si="305"/>
        <v>0</v>
      </c>
      <c r="BD775" s="377">
        <f t="shared" si="306"/>
        <v>0</v>
      </c>
      <c r="BE775" s="377">
        <f t="shared" si="307"/>
        <v>0</v>
      </c>
      <c r="BF775" s="377">
        <f t="shared" si="308"/>
        <v>0</v>
      </c>
      <c r="BG775" s="328"/>
    </row>
    <row r="776" spans="2:59">
      <c r="B776" s="332">
        <v>761</v>
      </c>
      <c r="C776" s="350">
        <v>6433759.3130797734</v>
      </c>
      <c r="D776" s="350">
        <v>39741.156256277922</v>
      </c>
      <c r="E776" s="350">
        <v>38050.76261599992</v>
      </c>
      <c r="F776" s="350">
        <v>36314.883158808901</v>
      </c>
      <c r="G776" s="350">
        <v>34533.606551020675</v>
      </c>
      <c r="H776" s="348">
        <v>6582399.7216618806</v>
      </c>
      <c r="I776" s="369"/>
      <c r="J776" s="350">
        <v>8334726.908505315</v>
      </c>
      <c r="K776" s="350">
        <v>1964193.2019298542</v>
      </c>
      <c r="L776" s="350">
        <v>1984488.8887460271</v>
      </c>
      <c r="M776" s="350">
        <v>2003186.9616082027</v>
      </c>
      <c r="N776" s="350">
        <v>2020233.8818273258</v>
      </c>
      <c r="O776" s="348">
        <v>16306829.842616726</v>
      </c>
      <c r="P776" s="369"/>
      <c r="Q776" s="350">
        <f t="shared" si="309"/>
        <v>1900967.5954255415</v>
      </c>
      <c r="R776" s="350">
        <f t="shared" si="310"/>
        <v>1924452.0456735764</v>
      </c>
      <c r="S776" s="350">
        <f t="shared" si="311"/>
        <v>1946438.1261300272</v>
      </c>
      <c r="T776" s="350">
        <f t="shared" si="312"/>
        <v>1966872.0784493939</v>
      </c>
      <c r="U776" s="350">
        <f t="shared" si="313"/>
        <v>1985700.2752763052</v>
      </c>
      <c r="V776" s="350">
        <f t="shared" si="314"/>
        <v>9724430.1209548451</v>
      </c>
      <c r="W776" s="365"/>
      <c r="X776" s="377">
        <f t="shared" si="292"/>
        <v>0</v>
      </c>
      <c r="Y776" s="377">
        <f t="shared" si="293"/>
        <v>0</v>
      </c>
      <c r="Z776" s="377">
        <f t="shared" si="294"/>
        <v>0</v>
      </c>
      <c r="AA776" s="377">
        <f t="shared" si="295"/>
        <v>0</v>
      </c>
      <c r="AB776" s="377">
        <f t="shared" si="296"/>
        <v>0</v>
      </c>
      <c r="AC776" s="377">
        <f t="shared" si="297"/>
        <v>0</v>
      </c>
      <c r="AD776" s="376"/>
      <c r="AE776" s="332">
        <v>761</v>
      </c>
      <c r="AF776" s="350">
        <v>6345788.6711606886</v>
      </c>
      <c r="AG776" s="350">
        <v>39197.763994249981</v>
      </c>
      <c r="AH776" s="350">
        <v>37530.483592500452</v>
      </c>
      <c r="AI776" s="350">
        <v>35818.339314497229</v>
      </c>
      <c r="AJ776" s="350">
        <v>34061.418614193477</v>
      </c>
      <c r="AK776" s="348">
        <v>6492396.6766761309</v>
      </c>
      <c r="AL776" s="369"/>
      <c r="AM776" s="350">
        <v>8163332.1781352675</v>
      </c>
      <c r="AN776" s="350">
        <v>1879195.1045669911</v>
      </c>
      <c r="AO776" s="350">
        <v>1898549.0440290631</v>
      </c>
      <c r="AP776" s="350">
        <v>1916374.1067235889</v>
      </c>
      <c r="AQ776" s="350">
        <v>1932619.1061891688</v>
      </c>
      <c r="AR776" s="348">
        <v>15790069.539644077</v>
      </c>
      <c r="AS776" s="369"/>
      <c r="AT776" s="350">
        <f t="shared" si="315"/>
        <v>1817543.5069745788</v>
      </c>
      <c r="AU776" s="350">
        <f t="shared" si="298"/>
        <v>1839997.3405727411</v>
      </c>
      <c r="AV776" s="350">
        <f t="shared" si="299"/>
        <v>1861018.5604365626</v>
      </c>
      <c r="AW776" s="350">
        <f t="shared" si="300"/>
        <v>1880555.7674090916</v>
      </c>
      <c r="AX776" s="350">
        <f t="shared" si="301"/>
        <v>1898557.6875749752</v>
      </c>
      <c r="AY776" s="350">
        <f t="shared" si="302"/>
        <v>9297672.8629679456</v>
      </c>
      <c r="AZ776" s="365"/>
      <c r="BA776" s="377">
        <f t="shared" si="303"/>
        <v>0</v>
      </c>
      <c r="BB776" s="377">
        <f t="shared" si="304"/>
        <v>0</v>
      </c>
      <c r="BC776" s="377">
        <f t="shared" si="305"/>
        <v>0</v>
      </c>
      <c r="BD776" s="377">
        <f t="shared" si="306"/>
        <v>0</v>
      </c>
      <c r="BE776" s="377">
        <f t="shared" si="307"/>
        <v>0</v>
      </c>
      <c r="BF776" s="377">
        <f t="shared" si="308"/>
        <v>0</v>
      </c>
      <c r="BG776" s="328"/>
    </row>
    <row r="777" spans="2:59">
      <c r="B777" s="332">
        <v>762</v>
      </c>
      <c r="C777" s="350">
        <v>6005377.7861409159</v>
      </c>
      <c r="D777" s="350">
        <v>37095.055217843197</v>
      </c>
      <c r="E777" s="350">
        <v>35517.213722198459</v>
      </c>
      <c r="F777" s="350">
        <v>33896.915009682962</v>
      </c>
      <c r="G777" s="350">
        <v>32234.241842899661</v>
      </c>
      <c r="H777" s="348">
        <v>6144121.2119335402</v>
      </c>
      <c r="I777" s="369"/>
      <c r="J777" s="350">
        <v>7548779.5498500625</v>
      </c>
      <c r="K777" s="350">
        <v>1599563.9203440673</v>
      </c>
      <c r="L777" s="350">
        <v>1615836.6489660782</v>
      </c>
      <c r="M777" s="350">
        <v>1630806.742496521</v>
      </c>
      <c r="N777" s="350">
        <v>1644430.7434740218</v>
      </c>
      <c r="O777" s="348">
        <v>14039417.605130749</v>
      </c>
      <c r="P777" s="369"/>
      <c r="Q777" s="350">
        <f t="shared" si="309"/>
        <v>1543401.7637091465</v>
      </c>
      <c r="R777" s="350">
        <f t="shared" si="310"/>
        <v>1562468.865126224</v>
      </c>
      <c r="S777" s="350">
        <f t="shared" si="311"/>
        <v>1580319.4352438797</v>
      </c>
      <c r="T777" s="350">
        <f t="shared" si="312"/>
        <v>1596909.827486838</v>
      </c>
      <c r="U777" s="350">
        <f t="shared" si="313"/>
        <v>1612196.5016311221</v>
      </c>
      <c r="V777" s="350">
        <f t="shared" si="314"/>
        <v>7895296.3931972086</v>
      </c>
      <c r="W777" s="365"/>
      <c r="X777" s="377">
        <f t="shared" si="292"/>
        <v>0</v>
      </c>
      <c r="Y777" s="377">
        <f t="shared" si="293"/>
        <v>0</v>
      </c>
      <c r="Z777" s="377">
        <f t="shared" si="294"/>
        <v>0</v>
      </c>
      <c r="AA777" s="377">
        <f t="shared" si="295"/>
        <v>0</v>
      </c>
      <c r="AB777" s="377">
        <f t="shared" si="296"/>
        <v>0</v>
      </c>
      <c r="AC777" s="377">
        <f t="shared" si="297"/>
        <v>0</v>
      </c>
      <c r="AD777" s="376"/>
      <c r="AE777" s="332">
        <v>762</v>
      </c>
      <c r="AF777" s="350">
        <v>5027510.8675832627</v>
      </c>
      <c r="AG777" s="350">
        <v>31054.797863291114</v>
      </c>
      <c r="AH777" s="350">
        <v>29733.879255143482</v>
      </c>
      <c r="AI777" s="350">
        <v>28377.416818307673</v>
      </c>
      <c r="AJ777" s="350">
        <v>26985.47983900092</v>
      </c>
      <c r="AK777" s="348">
        <v>5143662.4413590068</v>
      </c>
      <c r="AL777" s="369"/>
      <c r="AM777" s="350">
        <v>6576321.7620331449</v>
      </c>
      <c r="AN777" s="350">
        <v>1598999.6178371273</v>
      </c>
      <c r="AO777" s="350">
        <v>1615591.8298994582</v>
      </c>
      <c r="AP777" s="350">
        <v>1630883.9037370253</v>
      </c>
      <c r="AQ777" s="350">
        <v>1644832.2158174796</v>
      </c>
      <c r="AR777" s="348">
        <v>13066629.329324234</v>
      </c>
      <c r="AS777" s="369"/>
      <c r="AT777" s="350">
        <f t="shared" si="315"/>
        <v>1548810.8944498822</v>
      </c>
      <c r="AU777" s="350">
        <f t="shared" si="298"/>
        <v>1567944.8199738362</v>
      </c>
      <c r="AV777" s="350">
        <f t="shared" si="299"/>
        <v>1585857.9506443148</v>
      </c>
      <c r="AW777" s="350">
        <f t="shared" si="300"/>
        <v>1602506.4869187176</v>
      </c>
      <c r="AX777" s="350">
        <f t="shared" si="301"/>
        <v>1617846.7359784788</v>
      </c>
      <c r="AY777" s="350">
        <f t="shared" si="302"/>
        <v>7922966.8879652275</v>
      </c>
      <c r="AZ777" s="365"/>
      <c r="BA777" s="377">
        <f t="shared" si="303"/>
        <v>0</v>
      </c>
      <c r="BB777" s="377">
        <f t="shared" si="304"/>
        <v>0</v>
      </c>
      <c r="BC777" s="377">
        <f t="shared" si="305"/>
        <v>0</v>
      </c>
      <c r="BD777" s="377">
        <f t="shared" si="306"/>
        <v>0</v>
      </c>
      <c r="BE777" s="377">
        <f t="shared" si="307"/>
        <v>0</v>
      </c>
      <c r="BF777" s="377">
        <f t="shared" si="308"/>
        <v>0</v>
      </c>
      <c r="BG777" s="328"/>
    </row>
    <row r="778" spans="2:59">
      <c r="B778" s="332">
        <v>763</v>
      </c>
      <c r="C778" s="350">
        <v>7145800.524999164</v>
      </c>
      <c r="D778" s="350">
        <v>44139.415452308247</v>
      </c>
      <c r="E778" s="350">
        <v>42261.941463251409</v>
      </c>
      <c r="F778" s="350">
        <v>40333.947621252497</v>
      </c>
      <c r="G778" s="350">
        <v>38355.532405557416</v>
      </c>
      <c r="H778" s="348">
        <v>7310891.3619415332</v>
      </c>
      <c r="I778" s="369"/>
      <c r="J778" s="350">
        <v>9172846.5374854095</v>
      </c>
      <c r="K778" s="350">
        <v>2096227.4440914148</v>
      </c>
      <c r="L778" s="350">
        <v>2117794.2396557638</v>
      </c>
      <c r="M778" s="350">
        <v>2137655.4449921115</v>
      </c>
      <c r="N778" s="350">
        <v>2155753.9744819086</v>
      </c>
      <c r="O778" s="348">
        <v>17680277.64070661</v>
      </c>
      <c r="P778" s="369"/>
      <c r="Q778" s="350">
        <f t="shared" si="309"/>
        <v>2027046.0124862455</v>
      </c>
      <c r="R778" s="350">
        <f t="shared" si="310"/>
        <v>2052088.0286391065</v>
      </c>
      <c r="S778" s="350">
        <f t="shared" si="311"/>
        <v>2075532.2981925125</v>
      </c>
      <c r="T778" s="350">
        <f t="shared" si="312"/>
        <v>2097321.4973708591</v>
      </c>
      <c r="U778" s="350">
        <f t="shared" si="313"/>
        <v>2117398.442076351</v>
      </c>
      <c r="V778" s="350">
        <f t="shared" si="314"/>
        <v>10369386.278765077</v>
      </c>
      <c r="W778" s="365"/>
      <c r="X778" s="377">
        <f t="shared" si="292"/>
        <v>0</v>
      </c>
      <c r="Y778" s="377">
        <f t="shared" si="293"/>
        <v>0</v>
      </c>
      <c r="Z778" s="377">
        <f t="shared" si="294"/>
        <v>0</v>
      </c>
      <c r="AA778" s="377">
        <f t="shared" si="295"/>
        <v>0</v>
      </c>
      <c r="AB778" s="377">
        <f t="shared" si="296"/>
        <v>0</v>
      </c>
      <c r="AC778" s="377">
        <f t="shared" si="297"/>
        <v>0</v>
      </c>
      <c r="AD778" s="376"/>
      <c r="AE778" s="332">
        <v>763</v>
      </c>
      <c r="AF778" s="350">
        <v>6308614.0563044129</v>
      </c>
      <c r="AG778" s="350">
        <v>38968.137409561539</v>
      </c>
      <c r="AH778" s="350">
        <v>37310.624195154851</v>
      </c>
      <c r="AI778" s="350">
        <v>35608.509924044934</v>
      </c>
      <c r="AJ778" s="350">
        <v>33861.881537867826</v>
      </c>
      <c r="AK778" s="348">
        <v>6454363.2093710415</v>
      </c>
      <c r="AL778" s="369"/>
      <c r="AM778" s="350">
        <v>7808715.1836427003</v>
      </c>
      <c r="AN778" s="350">
        <v>1557601.4324590538</v>
      </c>
      <c r="AO778" s="350">
        <v>1573293.6858360595</v>
      </c>
      <c r="AP778" s="350">
        <v>1587716.5149800959</v>
      </c>
      <c r="AQ778" s="350">
        <v>1600827.688143909</v>
      </c>
      <c r="AR778" s="348">
        <v>14128154.50506182</v>
      </c>
      <c r="AS778" s="369"/>
      <c r="AT778" s="350">
        <f t="shared" si="315"/>
        <v>1500101.1273382874</v>
      </c>
      <c r="AU778" s="350">
        <f t="shared" si="298"/>
        <v>1518633.2950494923</v>
      </c>
      <c r="AV778" s="350">
        <f t="shared" si="299"/>
        <v>1535983.0616409048</v>
      </c>
      <c r="AW778" s="350">
        <f t="shared" si="300"/>
        <v>1552108.0050560511</v>
      </c>
      <c r="AX778" s="350">
        <f t="shared" si="301"/>
        <v>1566965.8066060413</v>
      </c>
      <c r="AY778" s="350">
        <f t="shared" si="302"/>
        <v>7673791.2956907786</v>
      </c>
      <c r="AZ778" s="365"/>
      <c r="BA778" s="377">
        <f t="shared" si="303"/>
        <v>0</v>
      </c>
      <c r="BB778" s="377">
        <f t="shared" si="304"/>
        <v>0</v>
      </c>
      <c r="BC778" s="377">
        <f t="shared" si="305"/>
        <v>0</v>
      </c>
      <c r="BD778" s="377">
        <f t="shared" si="306"/>
        <v>0</v>
      </c>
      <c r="BE778" s="377">
        <f t="shared" si="307"/>
        <v>0</v>
      </c>
      <c r="BF778" s="377">
        <f t="shared" si="308"/>
        <v>0</v>
      </c>
      <c r="BG778" s="328"/>
    </row>
    <row r="779" spans="2:59">
      <c r="B779" s="332">
        <v>764</v>
      </c>
      <c r="C779" s="350">
        <v>6355303.020096207</v>
      </c>
      <c r="D779" s="350">
        <v>39256.533868802646</v>
      </c>
      <c r="E779" s="350">
        <v>37586.753685172858</v>
      </c>
      <c r="F779" s="350">
        <v>35872.042360121734</v>
      </c>
      <c r="G779" s="350">
        <v>34112.487478717048</v>
      </c>
      <c r="H779" s="348">
        <v>6502130.837489021</v>
      </c>
      <c r="I779" s="369"/>
      <c r="J779" s="350">
        <v>8207477.0737550184</v>
      </c>
      <c r="K779" s="350">
        <v>1914312.2450153695</v>
      </c>
      <c r="L779" s="350">
        <v>1934064.2122939702</v>
      </c>
      <c r="M779" s="350">
        <v>1952258.9599153604</v>
      </c>
      <c r="N779" s="350">
        <v>1968844.3246022316</v>
      </c>
      <c r="O779" s="348">
        <v>15976956.815581949</v>
      </c>
      <c r="P779" s="369"/>
      <c r="Q779" s="350">
        <f t="shared" si="309"/>
        <v>1852174.0536588114</v>
      </c>
      <c r="R779" s="350">
        <f t="shared" si="310"/>
        <v>1875055.7111465668</v>
      </c>
      <c r="S779" s="350">
        <f t="shared" si="311"/>
        <v>1896477.4586087973</v>
      </c>
      <c r="T779" s="350">
        <f t="shared" si="312"/>
        <v>1916386.9175552386</v>
      </c>
      <c r="U779" s="350">
        <f t="shared" si="313"/>
        <v>1934731.8371235146</v>
      </c>
      <c r="V779" s="350">
        <f t="shared" si="314"/>
        <v>9474825.9780929275</v>
      </c>
      <c r="W779" s="365"/>
      <c r="X779" s="377">
        <f t="shared" si="292"/>
        <v>0</v>
      </c>
      <c r="Y779" s="377">
        <f t="shared" si="293"/>
        <v>0</v>
      </c>
      <c r="Z779" s="377">
        <f t="shared" si="294"/>
        <v>0</v>
      </c>
      <c r="AA779" s="377">
        <f t="shared" si="295"/>
        <v>0</v>
      </c>
      <c r="AB779" s="377">
        <f t="shared" si="296"/>
        <v>0</v>
      </c>
      <c r="AC779" s="377">
        <f t="shared" si="297"/>
        <v>0</v>
      </c>
      <c r="AD779" s="376"/>
      <c r="AE779" s="332">
        <v>764</v>
      </c>
      <c r="AF779" s="350">
        <v>5819384.0722654872</v>
      </c>
      <c r="AG779" s="350">
        <v>35946.177106909694</v>
      </c>
      <c r="AH779" s="350">
        <v>34417.203244600285</v>
      </c>
      <c r="AI779" s="350">
        <v>32847.087116070383</v>
      </c>
      <c r="AJ779" s="350">
        <v>31235.908920671158</v>
      </c>
      <c r="AK779" s="348">
        <v>5953830.448653738</v>
      </c>
      <c r="AL779" s="369"/>
      <c r="AM779" s="350">
        <v>8132717.6557551166</v>
      </c>
      <c r="AN779" s="350">
        <v>2377858.5578255407</v>
      </c>
      <c r="AO779" s="350">
        <v>2403084.9786430788</v>
      </c>
      <c r="AP779" s="350">
        <v>2426381.4348104536</v>
      </c>
      <c r="AQ779" s="350">
        <v>2447682.7460972783</v>
      </c>
      <c r="AR779" s="348">
        <v>17787725.373131469</v>
      </c>
      <c r="AS779" s="369"/>
      <c r="AT779" s="350">
        <f t="shared" si="315"/>
        <v>2313333.5834896294</v>
      </c>
      <c r="AU779" s="350">
        <f t="shared" si="298"/>
        <v>2341912.3807186307</v>
      </c>
      <c r="AV779" s="350">
        <f t="shared" si="299"/>
        <v>2368667.7753984784</v>
      </c>
      <c r="AW779" s="350">
        <f t="shared" si="300"/>
        <v>2393534.347694383</v>
      </c>
      <c r="AX779" s="350">
        <f t="shared" si="301"/>
        <v>2416446.837176607</v>
      </c>
      <c r="AY779" s="350">
        <f t="shared" si="302"/>
        <v>11833894.92447773</v>
      </c>
      <c r="AZ779" s="365"/>
      <c r="BA779" s="377">
        <f t="shared" si="303"/>
        <v>0</v>
      </c>
      <c r="BB779" s="377">
        <f t="shared" si="304"/>
        <v>0</v>
      </c>
      <c r="BC779" s="377">
        <f t="shared" si="305"/>
        <v>0</v>
      </c>
      <c r="BD779" s="377">
        <f t="shared" si="306"/>
        <v>0</v>
      </c>
      <c r="BE779" s="377">
        <f t="shared" si="307"/>
        <v>0</v>
      </c>
      <c r="BF779" s="377">
        <f t="shared" si="308"/>
        <v>0</v>
      </c>
      <c r="BG779" s="328"/>
    </row>
    <row r="780" spans="2:59">
      <c r="B780" s="332">
        <v>765</v>
      </c>
      <c r="C780" s="350">
        <v>6207088.6343290759</v>
      </c>
      <c r="D780" s="350">
        <v>38341.017639864811</v>
      </c>
      <c r="E780" s="350">
        <v>36710.179021021337</v>
      </c>
      <c r="F780" s="350">
        <v>35035.457116616992</v>
      </c>
      <c r="G780" s="350">
        <v>33316.937469115001</v>
      </c>
      <c r="H780" s="348">
        <v>6350492.2255756939</v>
      </c>
      <c r="I780" s="369"/>
      <c r="J780" s="350">
        <v>8080011.230838066</v>
      </c>
      <c r="K780" s="350">
        <v>1934401.5980061167</v>
      </c>
      <c r="L780" s="350">
        <v>1954432.4789213883</v>
      </c>
      <c r="M780" s="350">
        <v>1972890.2469800066</v>
      </c>
      <c r="N780" s="350">
        <v>1989722.1515340996</v>
      </c>
      <c r="O780" s="348">
        <v>15931457.706279675</v>
      </c>
      <c r="P780" s="369"/>
      <c r="Q780" s="350">
        <f t="shared" si="309"/>
        <v>1872922.59650899</v>
      </c>
      <c r="R780" s="350">
        <f t="shared" si="310"/>
        <v>1896060.580366252</v>
      </c>
      <c r="S780" s="350">
        <f t="shared" si="311"/>
        <v>1917722.2999003669</v>
      </c>
      <c r="T780" s="350">
        <f t="shared" si="312"/>
        <v>1937854.7898633897</v>
      </c>
      <c r="U780" s="350">
        <f t="shared" si="313"/>
        <v>1956405.2140649846</v>
      </c>
      <c r="V780" s="350">
        <f t="shared" si="314"/>
        <v>9580965.4807039797</v>
      </c>
      <c r="W780" s="365"/>
      <c r="X780" s="377">
        <f t="shared" si="292"/>
        <v>0</v>
      </c>
      <c r="Y780" s="377">
        <f t="shared" si="293"/>
        <v>0</v>
      </c>
      <c r="Z780" s="377">
        <f t="shared" si="294"/>
        <v>0</v>
      </c>
      <c r="AA780" s="377">
        <f t="shared" si="295"/>
        <v>0</v>
      </c>
      <c r="AB780" s="377">
        <f t="shared" si="296"/>
        <v>0</v>
      </c>
      <c r="AC780" s="377">
        <f t="shared" si="297"/>
        <v>0</v>
      </c>
      <c r="AD780" s="376"/>
      <c r="AE780" s="332">
        <v>765</v>
      </c>
      <c r="AF780" s="350">
        <v>6240040.4154152777</v>
      </c>
      <c r="AG780" s="350">
        <v>38544.559895232349</v>
      </c>
      <c r="AH780" s="350">
        <v>36905.063588328172</v>
      </c>
      <c r="AI780" s="350">
        <v>35221.451031183016</v>
      </c>
      <c r="AJ780" s="350">
        <v>33493.808220385625</v>
      </c>
      <c r="AK780" s="348">
        <v>6384205.2981504062</v>
      </c>
      <c r="AL780" s="369"/>
      <c r="AM780" s="350">
        <v>8194538.6032242328</v>
      </c>
      <c r="AN780" s="350">
        <v>2017188.5119780914</v>
      </c>
      <c r="AO780" s="350">
        <v>2038154.2165765348</v>
      </c>
      <c r="AP780" s="350">
        <v>2057479.9693942077</v>
      </c>
      <c r="AQ780" s="350">
        <v>2075110.7189444664</v>
      </c>
      <c r="AR780" s="348">
        <v>16382472.020117532</v>
      </c>
      <c r="AS780" s="369"/>
      <c r="AT780" s="350">
        <f t="shared" si="315"/>
        <v>1954498.1878089551</v>
      </c>
      <c r="AU780" s="350">
        <f t="shared" si="298"/>
        <v>1978643.9520828591</v>
      </c>
      <c r="AV780" s="350">
        <f t="shared" si="299"/>
        <v>2001249.1529882066</v>
      </c>
      <c r="AW780" s="350">
        <f t="shared" si="300"/>
        <v>2022258.5183630246</v>
      </c>
      <c r="AX780" s="350">
        <f t="shared" si="301"/>
        <v>2041616.9107240809</v>
      </c>
      <c r="AY780" s="350">
        <f t="shared" si="302"/>
        <v>9998266.7219671272</v>
      </c>
      <c r="AZ780" s="365"/>
      <c r="BA780" s="377">
        <f t="shared" si="303"/>
        <v>0</v>
      </c>
      <c r="BB780" s="377">
        <f t="shared" si="304"/>
        <v>0</v>
      </c>
      <c r="BC780" s="377">
        <f t="shared" si="305"/>
        <v>0</v>
      </c>
      <c r="BD780" s="377">
        <f t="shared" si="306"/>
        <v>0</v>
      </c>
      <c r="BE780" s="377">
        <f t="shared" si="307"/>
        <v>0</v>
      </c>
      <c r="BF780" s="377">
        <f t="shared" si="308"/>
        <v>0</v>
      </c>
      <c r="BG780" s="328"/>
    </row>
    <row r="781" spans="2:59">
      <c r="B781" s="332">
        <v>766</v>
      </c>
      <c r="C781" s="350">
        <v>6407639.1065243427</v>
      </c>
      <c r="D781" s="350">
        <v>39579.81245094601</v>
      </c>
      <c r="E781" s="350">
        <v>37896.281583875592</v>
      </c>
      <c r="F781" s="350">
        <v>36167.449566257972</v>
      </c>
      <c r="G781" s="350">
        <v>34393.404704427827</v>
      </c>
      <c r="H781" s="348">
        <v>6555676.0548298508</v>
      </c>
      <c r="I781" s="369"/>
      <c r="J781" s="350">
        <v>8980066.7690554261</v>
      </c>
      <c r="K781" s="350">
        <v>2643787.1063669897</v>
      </c>
      <c r="L781" s="350">
        <v>2671855.5826845267</v>
      </c>
      <c r="M781" s="350">
        <v>2697778.3867745823</v>
      </c>
      <c r="N781" s="350">
        <v>2721483.0373253766</v>
      </c>
      <c r="O781" s="348">
        <v>19714970.882206902</v>
      </c>
      <c r="P781" s="369"/>
      <c r="Q781" s="350">
        <f t="shared" si="309"/>
        <v>2572427.6625310834</v>
      </c>
      <c r="R781" s="350">
        <f t="shared" si="310"/>
        <v>2604207.2939160438</v>
      </c>
      <c r="S781" s="350">
        <f t="shared" si="311"/>
        <v>2633959.3011006513</v>
      </c>
      <c r="T781" s="350">
        <f t="shared" si="312"/>
        <v>2661610.9372083242</v>
      </c>
      <c r="U781" s="350">
        <f t="shared" si="313"/>
        <v>2687089.6326209488</v>
      </c>
      <c r="V781" s="350">
        <f t="shared" si="314"/>
        <v>13159294.827377051</v>
      </c>
      <c r="W781" s="365"/>
      <c r="X781" s="377">
        <f t="shared" si="292"/>
        <v>0</v>
      </c>
      <c r="Y781" s="377">
        <f t="shared" si="293"/>
        <v>0</v>
      </c>
      <c r="Z781" s="377">
        <f t="shared" si="294"/>
        <v>0</v>
      </c>
      <c r="AA781" s="377">
        <f t="shared" si="295"/>
        <v>0</v>
      </c>
      <c r="AB781" s="377">
        <f t="shared" si="296"/>
        <v>0</v>
      </c>
      <c r="AC781" s="377">
        <f t="shared" si="297"/>
        <v>0</v>
      </c>
      <c r="AD781" s="376"/>
      <c r="AE781" s="332">
        <v>766</v>
      </c>
      <c r="AF781" s="350">
        <v>7145069.3498671632</v>
      </c>
      <c r="AG781" s="350">
        <v>44134.899003406623</v>
      </c>
      <c r="AH781" s="350">
        <v>42257.617121909236</v>
      </c>
      <c r="AI781" s="350">
        <v>40329.820556780207</v>
      </c>
      <c r="AJ781" s="350">
        <v>38351.607777188874</v>
      </c>
      <c r="AK781" s="348">
        <v>7310143.2943264479</v>
      </c>
      <c r="AL781" s="369"/>
      <c r="AM781" s="350">
        <v>8808953.8497709204</v>
      </c>
      <c r="AN781" s="350">
        <v>1728574.9374920903</v>
      </c>
      <c r="AO781" s="350">
        <v>1745941.6966837563</v>
      </c>
      <c r="AP781" s="350">
        <v>1761899.3899174999</v>
      </c>
      <c r="AQ781" s="350">
        <v>1776401.176553376</v>
      </c>
      <c r="AR781" s="348">
        <v>15821771.050417643</v>
      </c>
      <c r="AS781" s="369"/>
      <c r="AT781" s="350">
        <f t="shared" si="315"/>
        <v>1663884.4999037571</v>
      </c>
      <c r="AU781" s="350">
        <f t="shared" si="298"/>
        <v>1684440.0384886838</v>
      </c>
      <c r="AV781" s="350">
        <f t="shared" si="299"/>
        <v>1703684.079561847</v>
      </c>
      <c r="AW781" s="350">
        <f t="shared" si="300"/>
        <v>1721569.5693607195</v>
      </c>
      <c r="AX781" s="350">
        <f t="shared" si="301"/>
        <v>1738049.5687761873</v>
      </c>
      <c r="AY781" s="350">
        <f t="shared" si="302"/>
        <v>8511627.7560911961</v>
      </c>
      <c r="AZ781" s="365"/>
      <c r="BA781" s="377">
        <f t="shared" si="303"/>
        <v>0</v>
      </c>
      <c r="BB781" s="377">
        <f t="shared" si="304"/>
        <v>0</v>
      </c>
      <c r="BC781" s="377">
        <f t="shared" si="305"/>
        <v>0</v>
      </c>
      <c r="BD781" s="377">
        <f t="shared" si="306"/>
        <v>0</v>
      </c>
      <c r="BE781" s="377">
        <f t="shared" si="307"/>
        <v>0</v>
      </c>
      <c r="BF781" s="377">
        <f t="shared" si="308"/>
        <v>0</v>
      </c>
      <c r="BG781" s="328"/>
    </row>
    <row r="782" spans="2:59">
      <c r="B782" s="332">
        <v>767</v>
      </c>
      <c r="C782" s="350">
        <v>5353547.9033433339</v>
      </c>
      <c r="D782" s="350">
        <v>33068.719763840483</v>
      </c>
      <c r="E782" s="350">
        <v>31662.138807300882</v>
      </c>
      <c r="F782" s="350">
        <v>30217.708983884713</v>
      </c>
      <c r="G782" s="350">
        <v>28735.504073061427</v>
      </c>
      <c r="H782" s="348">
        <v>5477231.9749714211</v>
      </c>
      <c r="I782" s="369"/>
      <c r="J782" s="350">
        <v>7263701.8893773472</v>
      </c>
      <c r="K782" s="350">
        <v>1966820.6442156611</v>
      </c>
      <c r="L782" s="350">
        <v>1987506.3910411489</v>
      </c>
      <c r="M782" s="350">
        <v>2006594.6602322732</v>
      </c>
      <c r="N782" s="350">
        <v>2024031.6390599334</v>
      </c>
      <c r="O782" s="348">
        <v>15248655.223926364</v>
      </c>
      <c r="P782" s="369"/>
      <c r="Q782" s="350">
        <f t="shared" si="309"/>
        <v>1910153.9860340133</v>
      </c>
      <c r="R782" s="350">
        <f t="shared" si="310"/>
        <v>1933751.9244518206</v>
      </c>
      <c r="S782" s="350">
        <f t="shared" si="311"/>
        <v>1955844.252233848</v>
      </c>
      <c r="T782" s="350">
        <f t="shared" si="312"/>
        <v>1976376.9512483885</v>
      </c>
      <c r="U782" s="350">
        <f t="shared" si="313"/>
        <v>1995296.1349868719</v>
      </c>
      <c r="V782" s="350">
        <f t="shared" si="314"/>
        <v>9771423.2489549424</v>
      </c>
      <c r="W782" s="365"/>
      <c r="X782" s="377">
        <f t="shared" si="292"/>
        <v>0</v>
      </c>
      <c r="Y782" s="377">
        <f t="shared" si="293"/>
        <v>0</v>
      </c>
      <c r="Z782" s="377">
        <f t="shared" si="294"/>
        <v>0</v>
      </c>
      <c r="AA782" s="377">
        <f t="shared" si="295"/>
        <v>0</v>
      </c>
      <c r="AB782" s="377">
        <f t="shared" si="296"/>
        <v>0</v>
      </c>
      <c r="AC782" s="377">
        <f t="shared" si="297"/>
        <v>0</v>
      </c>
      <c r="AD782" s="376"/>
      <c r="AE782" s="332">
        <v>767</v>
      </c>
      <c r="AF782" s="350">
        <v>6503186.0436644237</v>
      </c>
      <c r="AG782" s="350">
        <v>40170.003282451056</v>
      </c>
      <c r="AH782" s="350">
        <v>38461.368595509906</v>
      </c>
      <c r="AI782" s="350">
        <v>36706.757253967917</v>
      </c>
      <c r="AJ782" s="350">
        <v>34906.258880934933</v>
      </c>
      <c r="AK782" s="348">
        <v>6653430.4316772874</v>
      </c>
      <c r="AL782" s="369"/>
      <c r="AM782" s="350">
        <v>8694133.5112084448</v>
      </c>
      <c r="AN782" s="350">
        <v>2258184.3166377358</v>
      </c>
      <c r="AO782" s="350">
        <v>2281815.5916963359</v>
      </c>
      <c r="AP782" s="350">
        <v>2303611.9952136297</v>
      </c>
      <c r="AQ782" s="350">
        <v>2323511.8089635381</v>
      </c>
      <c r="AR782" s="348">
        <v>17861257.223719686</v>
      </c>
      <c r="AS782" s="369"/>
      <c r="AT782" s="350">
        <f t="shared" si="315"/>
        <v>2190947.4675440211</v>
      </c>
      <c r="AU782" s="350">
        <f t="shared" si="298"/>
        <v>2218014.3133552847</v>
      </c>
      <c r="AV782" s="350">
        <f t="shared" si="299"/>
        <v>2243354.2231008261</v>
      </c>
      <c r="AW782" s="350">
        <f t="shared" si="300"/>
        <v>2266905.237959662</v>
      </c>
      <c r="AX782" s="350">
        <f t="shared" si="301"/>
        <v>2288605.550082603</v>
      </c>
      <c r="AY782" s="350">
        <f t="shared" si="302"/>
        <v>11207826.792042399</v>
      </c>
      <c r="AZ782" s="365"/>
      <c r="BA782" s="377">
        <f t="shared" si="303"/>
        <v>0</v>
      </c>
      <c r="BB782" s="377">
        <f t="shared" si="304"/>
        <v>0</v>
      </c>
      <c r="BC782" s="377">
        <f t="shared" si="305"/>
        <v>0</v>
      </c>
      <c r="BD782" s="377">
        <f t="shared" si="306"/>
        <v>0</v>
      </c>
      <c r="BE782" s="377">
        <f t="shared" si="307"/>
        <v>0</v>
      </c>
      <c r="BF782" s="377">
        <f t="shared" si="308"/>
        <v>0</v>
      </c>
      <c r="BG782" s="328"/>
    </row>
    <row r="783" spans="2:59">
      <c r="B783" s="332">
        <v>768</v>
      </c>
      <c r="C783" s="350">
        <v>5476629.1776621649</v>
      </c>
      <c r="D783" s="350">
        <v>33828.989447070177</v>
      </c>
      <c r="E783" s="350">
        <v>32390.070351469425</v>
      </c>
      <c r="F783" s="350">
        <v>30912.432220863699</v>
      </c>
      <c r="G783" s="350">
        <v>29396.150530953579</v>
      </c>
      <c r="H783" s="348">
        <v>5603156.8202125225</v>
      </c>
      <c r="I783" s="369"/>
      <c r="J783" s="350">
        <v>7223630.0325089153</v>
      </c>
      <c r="K783" s="350">
        <v>1802412.1978056068</v>
      </c>
      <c r="L783" s="350">
        <v>1821178.6212127267</v>
      </c>
      <c r="M783" s="350">
        <v>1838479.9103272439</v>
      </c>
      <c r="N783" s="350">
        <v>1854266.8567570492</v>
      </c>
      <c r="O783" s="348">
        <v>14539967.618611543</v>
      </c>
      <c r="P783" s="369"/>
      <c r="Q783" s="350">
        <f t="shared" si="309"/>
        <v>1747000.8548467504</v>
      </c>
      <c r="R783" s="350">
        <f t="shared" si="310"/>
        <v>1768583.2083585365</v>
      </c>
      <c r="S783" s="350">
        <f t="shared" si="311"/>
        <v>1788788.5508612574</v>
      </c>
      <c r="T783" s="350">
        <f t="shared" si="312"/>
        <v>1807567.4781063802</v>
      </c>
      <c r="U783" s="350">
        <f t="shared" si="313"/>
        <v>1824870.7062260956</v>
      </c>
      <c r="V783" s="350">
        <f t="shared" si="314"/>
        <v>8936810.79839902</v>
      </c>
      <c r="W783" s="365"/>
      <c r="X783" s="377">
        <f t="shared" si="292"/>
        <v>0</v>
      </c>
      <c r="Y783" s="377">
        <f t="shared" si="293"/>
        <v>0</v>
      </c>
      <c r="Z783" s="377">
        <f t="shared" si="294"/>
        <v>0</v>
      </c>
      <c r="AA783" s="377">
        <f t="shared" si="295"/>
        <v>0</v>
      </c>
      <c r="AB783" s="377">
        <f t="shared" si="296"/>
        <v>0</v>
      </c>
      <c r="AC783" s="377">
        <f t="shared" si="297"/>
        <v>0</v>
      </c>
      <c r="AD783" s="376"/>
      <c r="AE783" s="332">
        <v>768</v>
      </c>
      <c r="AF783" s="350">
        <v>5441410.0745716505</v>
      </c>
      <c r="AG783" s="350">
        <v>33611.442005361278</v>
      </c>
      <c r="AH783" s="350">
        <v>32181.776309676545</v>
      </c>
      <c r="AI783" s="350">
        <v>30713.640573328943</v>
      </c>
      <c r="AJ783" s="350">
        <v>29207.109786651767</v>
      </c>
      <c r="AK783" s="348">
        <v>5567124.0432466697</v>
      </c>
      <c r="AL783" s="369"/>
      <c r="AM783" s="350">
        <v>6503777.3305499488</v>
      </c>
      <c r="AN783" s="350">
        <v>1109103.1252638511</v>
      </c>
      <c r="AO783" s="350">
        <v>1119960.513813827</v>
      </c>
      <c r="AP783" s="350">
        <v>1129912.0161115823</v>
      </c>
      <c r="AQ783" s="350">
        <v>1138927.7371750453</v>
      </c>
      <c r="AR783" s="348">
        <v>11001680.722914254</v>
      </c>
      <c r="AS783" s="369"/>
      <c r="AT783" s="350">
        <f t="shared" si="315"/>
        <v>1062367.2559782984</v>
      </c>
      <c r="AU783" s="350">
        <f t="shared" si="298"/>
        <v>1075491.6832584899</v>
      </c>
      <c r="AV783" s="350">
        <f t="shared" si="299"/>
        <v>1087778.7375041505</v>
      </c>
      <c r="AW783" s="350">
        <f t="shared" si="300"/>
        <v>1099198.3755382532</v>
      </c>
      <c r="AX783" s="350">
        <f t="shared" si="301"/>
        <v>1109720.6273883935</v>
      </c>
      <c r="AY783" s="350">
        <f t="shared" si="302"/>
        <v>5434556.6796675846</v>
      </c>
      <c r="AZ783" s="365"/>
      <c r="BA783" s="377">
        <f t="shared" si="303"/>
        <v>0</v>
      </c>
      <c r="BB783" s="377">
        <f t="shared" si="304"/>
        <v>0</v>
      </c>
      <c r="BC783" s="377">
        <f t="shared" si="305"/>
        <v>0</v>
      </c>
      <c r="BD783" s="377">
        <f t="shared" si="306"/>
        <v>0</v>
      </c>
      <c r="BE783" s="377">
        <f t="shared" si="307"/>
        <v>0</v>
      </c>
      <c r="BF783" s="377">
        <f t="shared" si="308"/>
        <v>0</v>
      </c>
      <c r="BG783" s="328"/>
    </row>
    <row r="784" spans="2:59">
      <c r="B784" s="332">
        <v>769</v>
      </c>
      <c r="C784" s="350">
        <v>6190338.7390523255</v>
      </c>
      <c r="D784" s="350">
        <v>38237.553992395769</v>
      </c>
      <c r="E784" s="350">
        <v>36611.116209062857</v>
      </c>
      <c r="F784" s="350">
        <v>34940.913559684654</v>
      </c>
      <c r="G784" s="350">
        <v>33227.031355892941</v>
      </c>
      <c r="H784" s="348">
        <v>6333355.3541693622</v>
      </c>
      <c r="I784" s="369"/>
      <c r="J784" s="350">
        <v>8075574.0719230883</v>
      </c>
      <c r="K784" s="350">
        <v>1946762.9815955367</v>
      </c>
      <c r="L784" s="350">
        <v>1966940.6691468917</v>
      </c>
      <c r="M784" s="350">
        <v>1985535.3089889728</v>
      </c>
      <c r="N784" s="350">
        <v>2002493.8028939355</v>
      </c>
      <c r="O784" s="348">
        <v>15977306.834548425</v>
      </c>
      <c r="P784" s="369"/>
      <c r="Q784" s="350">
        <f t="shared" si="309"/>
        <v>1885235.3328707628</v>
      </c>
      <c r="R784" s="350">
        <f t="shared" si="310"/>
        <v>1908525.4276031409</v>
      </c>
      <c r="S784" s="350">
        <f t="shared" si="311"/>
        <v>1930329.5529378289</v>
      </c>
      <c r="T784" s="350">
        <f t="shared" si="312"/>
        <v>1950594.395429288</v>
      </c>
      <c r="U784" s="350">
        <f t="shared" si="313"/>
        <v>1969266.7715380425</v>
      </c>
      <c r="V784" s="350">
        <f t="shared" si="314"/>
        <v>9643951.4803790636</v>
      </c>
      <c r="W784" s="365"/>
      <c r="X784" s="377">
        <f t="shared" ref="X784:X847" si="316">IF(Q784&lt;Q$8,1,0)</f>
        <v>0</v>
      </c>
      <c r="Y784" s="377">
        <f t="shared" ref="Y784:Y847" si="317">IF(R784&lt;R$8,1,0)</f>
        <v>0</v>
      </c>
      <c r="Z784" s="377">
        <f t="shared" ref="Z784:Z847" si="318">IF(S784&lt;S$8,1,0)</f>
        <v>0</v>
      </c>
      <c r="AA784" s="377">
        <f t="shared" ref="AA784:AA847" si="319">IF(T784&lt;T$8,1,0)</f>
        <v>0</v>
      </c>
      <c r="AB784" s="377">
        <f t="shared" ref="AB784:AB847" si="320">IF(U784&lt;U$8,1,0)</f>
        <v>0</v>
      </c>
      <c r="AC784" s="377">
        <f t="shared" ref="AC784:AC847" si="321">IF(V784&lt;V$8,1,0)</f>
        <v>0</v>
      </c>
      <c r="AD784" s="376"/>
      <c r="AE784" s="332">
        <v>769</v>
      </c>
      <c r="AF784" s="350">
        <v>4182553.4363264763</v>
      </c>
      <c r="AG784" s="350">
        <v>25835.518796197623</v>
      </c>
      <c r="AH784" s="350">
        <v>24736.602690567222</v>
      </c>
      <c r="AI784" s="350">
        <v>23608.116492154826</v>
      </c>
      <c r="AJ784" s="350">
        <v>22450.117842467465</v>
      </c>
      <c r="AK784" s="348">
        <v>4279183.7921478637</v>
      </c>
      <c r="AL784" s="369"/>
      <c r="AM784" s="350">
        <v>5622433.8590764841</v>
      </c>
      <c r="AN784" s="350">
        <v>1483504.1459493539</v>
      </c>
      <c r="AO784" s="350">
        <v>1499058.4999459754</v>
      </c>
      <c r="AP784" s="350">
        <v>1513407.6305017176</v>
      </c>
      <c r="AQ784" s="350">
        <v>1526510.9754288434</v>
      </c>
      <c r="AR784" s="348">
        <v>11644915.110902375</v>
      </c>
      <c r="AS784" s="369"/>
      <c r="AT784" s="350">
        <f t="shared" si="315"/>
        <v>1439880.4227500078</v>
      </c>
      <c r="AU784" s="350">
        <f t="shared" ref="AU784:AU847" si="322">AN784-AG784</f>
        <v>1457668.6271531563</v>
      </c>
      <c r="AV784" s="350">
        <f t="shared" ref="AV784:AV847" si="323">AO784-AH784</f>
        <v>1474321.8972554081</v>
      </c>
      <c r="AW784" s="350">
        <f t="shared" ref="AW784:AW847" si="324">AP784-AI784</f>
        <v>1489799.5140095628</v>
      </c>
      <c r="AX784" s="350">
        <f t="shared" ref="AX784:AX847" si="325">AQ784-AJ784</f>
        <v>1504060.8575863759</v>
      </c>
      <c r="AY784" s="350">
        <f t="shared" ref="AY784:AY847" si="326">AR784-AK784</f>
        <v>7365731.318754511</v>
      </c>
      <c r="AZ784" s="365"/>
      <c r="BA784" s="377">
        <f t="shared" ref="BA784:BA847" si="327">IF(AT784&lt;AT$8,1,0)</f>
        <v>0</v>
      </c>
      <c r="BB784" s="377">
        <f t="shared" ref="BB784:BB847" si="328">IF(AU784&lt;AU$8,1,0)</f>
        <v>0</v>
      </c>
      <c r="BC784" s="377">
        <f t="shared" ref="BC784:BC847" si="329">IF(AV784&lt;AV$8,1,0)</f>
        <v>0</v>
      </c>
      <c r="BD784" s="377">
        <f t="shared" ref="BD784:BD847" si="330">IF(AW784&lt;AW$8,1,0)</f>
        <v>0</v>
      </c>
      <c r="BE784" s="377">
        <f t="shared" ref="BE784:BE847" si="331">IF(AX784&lt;AX$8,1,0)</f>
        <v>0</v>
      </c>
      <c r="BF784" s="377">
        <f t="shared" ref="BF784:BF847" si="332">IF(AY784&lt;AY$8,1,0)</f>
        <v>0</v>
      </c>
      <c r="BG784" s="328"/>
    </row>
    <row r="785" spans="2:59">
      <c r="B785" s="332">
        <v>770</v>
      </c>
      <c r="C785" s="350">
        <v>6426458.2483937992</v>
      </c>
      <c r="D785" s="350">
        <v>39696.057778327886</v>
      </c>
      <c r="E785" s="350">
        <v>38007.582405846428</v>
      </c>
      <c r="F785" s="350">
        <v>36273.672834005614</v>
      </c>
      <c r="G785" s="350">
        <v>34494.417628493677</v>
      </c>
      <c r="H785" s="348">
        <v>6574929.9790404728</v>
      </c>
      <c r="I785" s="369"/>
      <c r="J785" s="350">
        <v>9336900.7360319234</v>
      </c>
      <c r="K785" s="350">
        <v>2986093.9935604287</v>
      </c>
      <c r="L785" s="350">
        <v>3018066.9140218711</v>
      </c>
      <c r="M785" s="350">
        <v>3047618.0422190977</v>
      </c>
      <c r="N785" s="350">
        <v>3074665.3615130754</v>
      </c>
      <c r="O785" s="348">
        <v>21463345.047346398</v>
      </c>
      <c r="P785" s="369"/>
      <c r="Q785" s="350">
        <f t="shared" ref="Q785:Q848" si="333">J785-C785</f>
        <v>2910442.4876381243</v>
      </c>
      <c r="R785" s="350">
        <f t="shared" ref="R785:R848" si="334">K785-D785</f>
        <v>2946397.935782101</v>
      </c>
      <c r="S785" s="350">
        <f t="shared" ref="S785:S848" si="335">L785-E785</f>
        <v>2980059.3316160245</v>
      </c>
      <c r="T785" s="350">
        <f t="shared" ref="T785:T848" si="336">M785-F785</f>
        <v>3011344.3693850921</v>
      </c>
      <c r="U785" s="350">
        <f t="shared" ref="U785:U848" si="337">N785-G785</f>
        <v>3040170.9438845818</v>
      </c>
      <c r="V785" s="350">
        <f t="shared" ref="V785:V848" si="338">O785-H785</f>
        <v>14888415.068305925</v>
      </c>
      <c r="W785" s="365"/>
      <c r="X785" s="377">
        <f t="shared" si="316"/>
        <v>0</v>
      </c>
      <c r="Y785" s="377">
        <f t="shared" si="317"/>
        <v>0</v>
      </c>
      <c r="Z785" s="377">
        <f t="shared" si="318"/>
        <v>0</v>
      </c>
      <c r="AA785" s="377">
        <f t="shared" si="319"/>
        <v>0</v>
      </c>
      <c r="AB785" s="377">
        <f t="shared" si="320"/>
        <v>0</v>
      </c>
      <c r="AC785" s="377">
        <f t="shared" si="321"/>
        <v>0</v>
      </c>
      <c r="AD785" s="376"/>
      <c r="AE785" s="332">
        <v>770</v>
      </c>
      <c r="AF785" s="350">
        <v>7635038.4442686168</v>
      </c>
      <c r="AG785" s="350">
        <v>47161.424770663521</v>
      </c>
      <c r="AH785" s="350">
        <v>45155.409344622058</v>
      </c>
      <c r="AI785" s="350">
        <v>43095.415219055889</v>
      </c>
      <c r="AJ785" s="350">
        <v>40981.547615597774</v>
      </c>
      <c r="AK785" s="348">
        <v>7811432.2412185557</v>
      </c>
      <c r="AL785" s="369"/>
      <c r="AM785" s="350">
        <v>11027901.805881351</v>
      </c>
      <c r="AN785" s="350">
        <v>3481940.0357574103</v>
      </c>
      <c r="AO785" s="350">
        <v>3519174.9663767731</v>
      </c>
      <c r="AP785" s="350">
        <v>3553585.666609263</v>
      </c>
      <c r="AQ785" s="350">
        <v>3585076.5271100421</v>
      </c>
      <c r="AR785" s="348">
        <v>25167679.001734838</v>
      </c>
      <c r="AS785" s="369"/>
      <c r="AT785" s="350">
        <f t="shared" ref="AT785:AT848" si="339">AM785-AF785</f>
        <v>3392863.3616127344</v>
      </c>
      <c r="AU785" s="350">
        <f t="shared" si="322"/>
        <v>3434778.6109867468</v>
      </c>
      <c r="AV785" s="350">
        <f t="shared" si="323"/>
        <v>3474019.5570321511</v>
      </c>
      <c r="AW785" s="350">
        <f t="shared" si="324"/>
        <v>3510490.2513902071</v>
      </c>
      <c r="AX785" s="350">
        <f t="shared" si="325"/>
        <v>3544094.9794944441</v>
      </c>
      <c r="AY785" s="350">
        <f t="shared" si="326"/>
        <v>17356246.760516282</v>
      </c>
      <c r="AZ785" s="365"/>
      <c r="BA785" s="377">
        <f t="shared" si="327"/>
        <v>0</v>
      </c>
      <c r="BB785" s="377">
        <f t="shared" si="328"/>
        <v>0</v>
      </c>
      <c r="BC785" s="377">
        <f t="shared" si="329"/>
        <v>0</v>
      </c>
      <c r="BD785" s="377">
        <f t="shared" si="330"/>
        <v>0</v>
      </c>
      <c r="BE785" s="377">
        <f t="shared" si="331"/>
        <v>0</v>
      </c>
      <c r="BF785" s="377">
        <f t="shared" si="332"/>
        <v>0</v>
      </c>
      <c r="BG785" s="328"/>
    </row>
    <row r="786" spans="2:59">
      <c r="B786" s="332">
        <v>771</v>
      </c>
      <c r="C786" s="350">
        <v>6061488.8190016309</v>
      </c>
      <c r="D786" s="350">
        <v>37441.651541409337</v>
      </c>
      <c r="E786" s="350">
        <v>35849.067540103286</v>
      </c>
      <c r="F786" s="350">
        <v>34213.629624434849</v>
      </c>
      <c r="G786" s="350">
        <v>32535.421330303339</v>
      </c>
      <c r="H786" s="348">
        <v>6201528.5890378812</v>
      </c>
      <c r="I786" s="369"/>
      <c r="J786" s="350">
        <v>8333925.9147010846</v>
      </c>
      <c r="K786" s="350">
        <v>2337952.3114847592</v>
      </c>
      <c r="L786" s="350">
        <v>2362642.1243735924</v>
      </c>
      <c r="M786" s="350">
        <v>2385433.6526902914</v>
      </c>
      <c r="N786" s="350">
        <v>2406262.873253739</v>
      </c>
      <c r="O786" s="348">
        <v>17826216.876503468</v>
      </c>
      <c r="P786" s="369"/>
      <c r="Q786" s="350">
        <f t="shared" si="333"/>
        <v>2272437.0956994537</v>
      </c>
      <c r="R786" s="350">
        <f t="shared" si="334"/>
        <v>2300510.6599433497</v>
      </c>
      <c r="S786" s="350">
        <f t="shared" si="335"/>
        <v>2326793.0568334893</v>
      </c>
      <c r="T786" s="350">
        <f t="shared" si="336"/>
        <v>2351220.0230658567</v>
      </c>
      <c r="U786" s="350">
        <f t="shared" si="337"/>
        <v>2373727.4519234356</v>
      </c>
      <c r="V786" s="350">
        <f t="shared" si="338"/>
        <v>11624688.287465587</v>
      </c>
      <c r="W786" s="365"/>
      <c r="X786" s="377">
        <f t="shared" si="316"/>
        <v>0</v>
      </c>
      <c r="Y786" s="377">
        <f t="shared" si="317"/>
        <v>0</v>
      </c>
      <c r="Z786" s="377">
        <f t="shared" si="318"/>
        <v>0</v>
      </c>
      <c r="AA786" s="377">
        <f t="shared" si="319"/>
        <v>0</v>
      </c>
      <c r="AB786" s="377">
        <f t="shared" si="320"/>
        <v>0</v>
      </c>
      <c r="AC786" s="377">
        <f t="shared" si="321"/>
        <v>0</v>
      </c>
      <c r="AD786" s="376"/>
      <c r="AE786" s="332">
        <v>771</v>
      </c>
      <c r="AF786" s="350">
        <v>9202511.9584319144</v>
      </c>
      <c r="AG786" s="350">
        <v>56843.666026921848</v>
      </c>
      <c r="AH786" s="350">
        <v>54425.815601977323</v>
      </c>
      <c r="AI786" s="350">
        <v>51942.904649635435</v>
      </c>
      <c r="AJ786" s="350">
        <v>49395.059993535317</v>
      </c>
      <c r="AK786" s="348">
        <v>9415119.404703984</v>
      </c>
      <c r="AL786" s="369"/>
      <c r="AM786" s="350">
        <v>11372312.756072823</v>
      </c>
      <c r="AN786" s="350">
        <v>2253450.0646696389</v>
      </c>
      <c r="AO786" s="350">
        <v>2276127.5472878241</v>
      </c>
      <c r="AP786" s="350">
        <v>2296968.3406154583</v>
      </c>
      <c r="AQ786" s="350">
        <v>2315911.3601863319</v>
      </c>
      <c r="AR786" s="348">
        <v>20514770.068832073</v>
      </c>
      <c r="AS786" s="369"/>
      <c r="AT786" s="350">
        <f t="shared" si="339"/>
        <v>2169800.7976409085</v>
      </c>
      <c r="AU786" s="350">
        <f t="shared" si="322"/>
        <v>2196606.3986427169</v>
      </c>
      <c r="AV786" s="350">
        <f t="shared" si="323"/>
        <v>2221701.7316858466</v>
      </c>
      <c r="AW786" s="350">
        <f t="shared" si="324"/>
        <v>2245025.435965823</v>
      </c>
      <c r="AX786" s="350">
        <f t="shared" si="325"/>
        <v>2266516.3001927966</v>
      </c>
      <c r="AY786" s="350">
        <f t="shared" si="326"/>
        <v>11099650.664128089</v>
      </c>
      <c r="AZ786" s="365"/>
      <c r="BA786" s="377">
        <f t="shared" si="327"/>
        <v>0</v>
      </c>
      <c r="BB786" s="377">
        <f t="shared" si="328"/>
        <v>0</v>
      </c>
      <c r="BC786" s="377">
        <f t="shared" si="329"/>
        <v>0</v>
      </c>
      <c r="BD786" s="377">
        <f t="shared" si="330"/>
        <v>0</v>
      </c>
      <c r="BE786" s="377">
        <f t="shared" si="331"/>
        <v>0</v>
      </c>
      <c r="BF786" s="377">
        <f t="shared" si="332"/>
        <v>0</v>
      </c>
      <c r="BG786" s="328"/>
    </row>
    <row r="787" spans="2:59">
      <c r="B787" s="332">
        <v>772</v>
      </c>
      <c r="C787" s="350">
        <v>4952949.7180550508</v>
      </c>
      <c r="D787" s="350">
        <v>30594.235670977941</v>
      </c>
      <c r="E787" s="350">
        <v>29292.907116923838</v>
      </c>
      <c r="F787" s="350">
        <v>27956.561871527094</v>
      </c>
      <c r="G787" s="350">
        <v>26585.268193444361</v>
      </c>
      <c r="H787" s="348">
        <v>5067378.6909079235</v>
      </c>
      <c r="I787" s="369"/>
      <c r="J787" s="350">
        <v>6530784.3390429448</v>
      </c>
      <c r="K787" s="350">
        <v>1627921.3397213835</v>
      </c>
      <c r="L787" s="350">
        <v>1644868.8224608456</v>
      </c>
      <c r="M787" s="350">
        <v>1660492.9964219322</v>
      </c>
      <c r="N787" s="350">
        <v>1674749.4182692268</v>
      </c>
      <c r="O787" s="348">
        <v>13138816.915916333</v>
      </c>
      <c r="P787" s="369"/>
      <c r="Q787" s="350">
        <f t="shared" si="333"/>
        <v>1577834.620987894</v>
      </c>
      <c r="R787" s="350">
        <f t="shared" si="334"/>
        <v>1597327.1040504056</v>
      </c>
      <c r="S787" s="350">
        <f t="shared" si="335"/>
        <v>1615575.9153439216</v>
      </c>
      <c r="T787" s="350">
        <f t="shared" si="336"/>
        <v>1632536.4345504052</v>
      </c>
      <c r="U787" s="350">
        <f t="shared" si="337"/>
        <v>1648164.1500757823</v>
      </c>
      <c r="V787" s="350">
        <f t="shared" si="338"/>
        <v>8071438.2250084095</v>
      </c>
      <c r="W787" s="365"/>
      <c r="X787" s="377">
        <f t="shared" si="316"/>
        <v>0</v>
      </c>
      <c r="Y787" s="377">
        <f t="shared" si="317"/>
        <v>0</v>
      </c>
      <c r="Z787" s="377">
        <f t="shared" si="318"/>
        <v>0</v>
      </c>
      <c r="AA787" s="377">
        <f t="shared" si="319"/>
        <v>0</v>
      </c>
      <c r="AB787" s="377">
        <f t="shared" si="320"/>
        <v>0</v>
      </c>
      <c r="AC787" s="377">
        <f t="shared" si="321"/>
        <v>0</v>
      </c>
      <c r="AD787" s="376"/>
      <c r="AE787" s="332">
        <v>772</v>
      </c>
      <c r="AF787" s="350">
        <v>6102074.5533443242</v>
      </c>
      <c r="AG787" s="350">
        <v>37692.348518370869</v>
      </c>
      <c r="AH787" s="350">
        <v>36089.101098698418</v>
      </c>
      <c r="AI787" s="350">
        <v>34442.712828959877</v>
      </c>
      <c r="AJ787" s="350">
        <v>32753.267804371812</v>
      </c>
      <c r="AK787" s="348">
        <v>6243051.9835947258</v>
      </c>
      <c r="AL787" s="369"/>
      <c r="AM787" s="350">
        <v>8302507.4988521747</v>
      </c>
      <c r="AN787" s="350">
        <v>2265309.3229161743</v>
      </c>
      <c r="AO787" s="350">
        <v>2289155.6917316103</v>
      </c>
      <c r="AP787" s="350">
        <v>2311162.2799769267</v>
      </c>
      <c r="AQ787" s="350">
        <v>2331267.0963075147</v>
      </c>
      <c r="AR787" s="348">
        <v>17499401.889784403</v>
      </c>
      <c r="AS787" s="369"/>
      <c r="AT787" s="350">
        <f t="shared" si="339"/>
        <v>2200432.9455078505</v>
      </c>
      <c r="AU787" s="350">
        <f t="shared" si="322"/>
        <v>2227616.9743978037</v>
      </c>
      <c r="AV787" s="350">
        <f t="shared" si="323"/>
        <v>2253066.5906329118</v>
      </c>
      <c r="AW787" s="350">
        <f t="shared" si="324"/>
        <v>2276719.5671479669</v>
      </c>
      <c r="AX787" s="350">
        <f t="shared" si="325"/>
        <v>2298513.828503143</v>
      </c>
      <c r="AY787" s="350">
        <f t="shared" si="326"/>
        <v>11256349.906189676</v>
      </c>
      <c r="AZ787" s="365"/>
      <c r="BA787" s="377">
        <f t="shared" si="327"/>
        <v>0</v>
      </c>
      <c r="BB787" s="377">
        <f t="shared" si="328"/>
        <v>0</v>
      </c>
      <c r="BC787" s="377">
        <f t="shared" si="329"/>
        <v>0</v>
      </c>
      <c r="BD787" s="377">
        <f t="shared" si="330"/>
        <v>0</v>
      </c>
      <c r="BE787" s="377">
        <f t="shared" si="331"/>
        <v>0</v>
      </c>
      <c r="BF787" s="377">
        <f t="shared" si="332"/>
        <v>0</v>
      </c>
      <c r="BG787" s="328"/>
    </row>
    <row r="788" spans="2:59">
      <c r="B788" s="332">
        <v>773</v>
      </c>
      <c r="C788" s="350">
        <v>5137808.8415265111</v>
      </c>
      <c r="D788" s="350">
        <v>31736.105447851307</v>
      </c>
      <c r="E788" s="350">
        <v>30386.207360580134</v>
      </c>
      <c r="F788" s="350">
        <v>28999.985652714757</v>
      </c>
      <c r="G788" s="350">
        <v>27577.511130532868</v>
      </c>
      <c r="H788" s="348">
        <v>5256508.651118191</v>
      </c>
      <c r="I788" s="369"/>
      <c r="J788" s="350">
        <v>7018993.695117414</v>
      </c>
      <c r="K788" s="350">
        <v>1936161.0143704822</v>
      </c>
      <c r="L788" s="350">
        <v>1956568.3948628318</v>
      </c>
      <c r="M788" s="350">
        <v>1975403.4760823241</v>
      </c>
      <c r="N788" s="350">
        <v>1992613.2595620381</v>
      </c>
      <c r="O788" s="348">
        <v>14879739.83999509</v>
      </c>
      <c r="P788" s="369"/>
      <c r="Q788" s="350">
        <f t="shared" si="333"/>
        <v>1881184.8535909029</v>
      </c>
      <c r="R788" s="350">
        <f t="shared" si="334"/>
        <v>1904424.9089226308</v>
      </c>
      <c r="S788" s="350">
        <f t="shared" si="335"/>
        <v>1926182.1875022517</v>
      </c>
      <c r="T788" s="350">
        <f t="shared" si="336"/>
        <v>1946403.4904296093</v>
      </c>
      <c r="U788" s="350">
        <f t="shared" si="337"/>
        <v>1965035.7484315052</v>
      </c>
      <c r="V788" s="350">
        <f t="shared" si="338"/>
        <v>9623231.188876899</v>
      </c>
      <c r="W788" s="365"/>
      <c r="X788" s="377">
        <f t="shared" si="316"/>
        <v>0</v>
      </c>
      <c r="Y788" s="377">
        <f t="shared" si="317"/>
        <v>0</v>
      </c>
      <c r="Z788" s="377">
        <f t="shared" si="318"/>
        <v>0</v>
      </c>
      <c r="AA788" s="377">
        <f t="shared" si="319"/>
        <v>0</v>
      </c>
      <c r="AB788" s="377">
        <f t="shared" si="320"/>
        <v>0</v>
      </c>
      <c r="AC788" s="377">
        <f t="shared" si="321"/>
        <v>0</v>
      </c>
      <c r="AD788" s="376"/>
      <c r="AE788" s="332">
        <v>773</v>
      </c>
      <c r="AF788" s="350">
        <v>7225095.6845537769</v>
      </c>
      <c r="AG788" s="350">
        <v>44629.219495774123</v>
      </c>
      <c r="AH788" s="350">
        <v>42730.911647863155</v>
      </c>
      <c r="AI788" s="350">
        <v>40781.523340853673</v>
      </c>
      <c r="AJ788" s="350">
        <v>38781.154146782908</v>
      </c>
      <c r="AK788" s="348">
        <v>7392018.4931850508</v>
      </c>
      <c r="AL788" s="369"/>
      <c r="AM788" s="350">
        <v>9491449.6033065058</v>
      </c>
      <c r="AN788" s="350">
        <v>2338981.5512553668</v>
      </c>
      <c r="AO788" s="350">
        <v>2363295.2839074573</v>
      </c>
      <c r="AP788" s="350">
        <v>2385707.4723185636</v>
      </c>
      <c r="AQ788" s="350">
        <v>2406154.2809535051</v>
      </c>
      <c r="AR788" s="348">
        <v>18985588.191741399</v>
      </c>
      <c r="AS788" s="369"/>
      <c r="AT788" s="350">
        <f t="shared" si="339"/>
        <v>2266353.918752729</v>
      </c>
      <c r="AU788" s="350">
        <f t="shared" si="322"/>
        <v>2294352.3317595925</v>
      </c>
      <c r="AV788" s="350">
        <f t="shared" si="323"/>
        <v>2320564.372259594</v>
      </c>
      <c r="AW788" s="350">
        <f t="shared" si="324"/>
        <v>2344925.9489777097</v>
      </c>
      <c r="AX788" s="350">
        <f t="shared" si="325"/>
        <v>2367373.126806722</v>
      </c>
      <c r="AY788" s="350">
        <f t="shared" si="326"/>
        <v>11593569.698556349</v>
      </c>
      <c r="AZ788" s="365"/>
      <c r="BA788" s="377">
        <f t="shared" si="327"/>
        <v>0</v>
      </c>
      <c r="BB788" s="377">
        <f t="shared" si="328"/>
        <v>0</v>
      </c>
      <c r="BC788" s="377">
        <f t="shared" si="329"/>
        <v>0</v>
      </c>
      <c r="BD788" s="377">
        <f t="shared" si="330"/>
        <v>0</v>
      </c>
      <c r="BE788" s="377">
        <f t="shared" si="331"/>
        <v>0</v>
      </c>
      <c r="BF788" s="377">
        <f t="shared" si="332"/>
        <v>0</v>
      </c>
      <c r="BG788" s="328"/>
    </row>
    <row r="789" spans="2:59">
      <c r="B789" s="332">
        <v>774</v>
      </c>
      <c r="C789" s="350">
        <v>6114290.6407743264</v>
      </c>
      <c r="D789" s="350">
        <v>37767.806958104433</v>
      </c>
      <c r="E789" s="350">
        <v>36161.3499069428</v>
      </c>
      <c r="F789" s="350">
        <v>34511.665639608414</v>
      </c>
      <c r="G789" s="350">
        <v>32818.838419680251</v>
      </c>
      <c r="H789" s="348">
        <v>6255550.3016986623</v>
      </c>
      <c r="I789" s="369"/>
      <c r="J789" s="350">
        <v>8390024.9929762706</v>
      </c>
      <c r="K789" s="350">
        <v>2341616.4575313809</v>
      </c>
      <c r="L789" s="350">
        <v>2366330.5325531596</v>
      </c>
      <c r="M789" s="350">
        <v>2389143.2575117089</v>
      </c>
      <c r="N789" s="350">
        <v>2409990.5169361434</v>
      </c>
      <c r="O789" s="348">
        <v>17897105.757508662</v>
      </c>
      <c r="P789" s="369"/>
      <c r="Q789" s="350">
        <f t="shared" si="333"/>
        <v>2275734.3522019442</v>
      </c>
      <c r="R789" s="350">
        <f t="shared" si="334"/>
        <v>2303848.6505732764</v>
      </c>
      <c r="S789" s="350">
        <f t="shared" si="335"/>
        <v>2330169.1826462168</v>
      </c>
      <c r="T789" s="350">
        <f t="shared" si="336"/>
        <v>2354631.5918721003</v>
      </c>
      <c r="U789" s="350">
        <f t="shared" si="337"/>
        <v>2377171.6785164634</v>
      </c>
      <c r="V789" s="350">
        <f t="shared" si="338"/>
        <v>11641555.455809999</v>
      </c>
      <c r="W789" s="365"/>
      <c r="X789" s="377">
        <f t="shared" si="316"/>
        <v>0</v>
      </c>
      <c r="Y789" s="377">
        <f t="shared" si="317"/>
        <v>0</v>
      </c>
      <c r="Z789" s="377">
        <f t="shared" si="318"/>
        <v>0</v>
      </c>
      <c r="AA789" s="377">
        <f t="shared" si="319"/>
        <v>0</v>
      </c>
      <c r="AB789" s="377">
        <f t="shared" si="320"/>
        <v>0</v>
      </c>
      <c r="AC789" s="377">
        <f t="shared" si="321"/>
        <v>0</v>
      </c>
      <c r="AD789" s="376"/>
      <c r="AE789" s="332">
        <v>774</v>
      </c>
      <c r="AF789" s="350">
        <v>4717915.9027130529</v>
      </c>
      <c r="AG789" s="350">
        <v>29142.438187347867</v>
      </c>
      <c r="AH789" s="350">
        <v>27902.861969271864</v>
      </c>
      <c r="AI789" s="350">
        <v>26629.930717458712</v>
      </c>
      <c r="AJ789" s="350">
        <v>25323.709451465456</v>
      </c>
      <c r="AK789" s="348">
        <v>4826914.8430385971</v>
      </c>
      <c r="AL789" s="369"/>
      <c r="AM789" s="350">
        <v>5946390.6349361129</v>
      </c>
      <c r="AN789" s="350">
        <v>1272793.6804147265</v>
      </c>
      <c r="AO789" s="350">
        <v>1285762.3128827768</v>
      </c>
      <c r="AP789" s="350">
        <v>1297694.5483914097</v>
      </c>
      <c r="AQ789" s="350">
        <v>1308555.7960032863</v>
      </c>
      <c r="AR789" s="348">
        <v>11111196.972628312</v>
      </c>
      <c r="AS789" s="369"/>
      <c r="AT789" s="350">
        <f t="shared" si="339"/>
        <v>1228474.73222306</v>
      </c>
      <c r="AU789" s="350">
        <f t="shared" si="322"/>
        <v>1243651.2422273785</v>
      </c>
      <c r="AV789" s="350">
        <f t="shared" si="323"/>
        <v>1257859.4509135049</v>
      </c>
      <c r="AW789" s="350">
        <f t="shared" si="324"/>
        <v>1271064.617673951</v>
      </c>
      <c r="AX789" s="350">
        <f t="shared" si="325"/>
        <v>1283232.0865518209</v>
      </c>
      <c r="AY789" s="350">
        <f t="shared" si="326"/>
        <v>6284282.129589715</v>
      </c>
      <c r="AZ789" s="365"/>
      <c r="BA789" s="377">
        <f t="shared" si="327"/>
        <v>0</v>
      </c>
      <c r="BB789" s="377">
        <f t="shared" si="328"/>
        <v>0</v>
      </c>
      <c r="BC789" s="377">
        <f t="shared" si="329"/>
        <v>0</v>
      </c>
      <c r="BD789" s="377">
        <f t="shared" si="330"/>
        <v>0</v>
      </c>
      <c r="BE789" s="377">
        <f t="shared" si="331"/>
        <v>0</v>
      </c>
      <c r="BF789" s="377">
        <f t="shared" si="332"/>
        <v>0</v>
      </c>
      <c r="BG789" s="328"/>
    </row>
    <row r="790" spans="2:59">
      <c r="B790" s="332">
        <v>775</v>
      </c>
      <c r="C790" s="350">
        <v>5993797.4405335048</v>
      </c>
      <c r="D790" s="350">
        <v>37023.523738050761</v>
      </c>
      <c r="E790" s="350">
        <v>35448.724840306095</v>
      </c>
      <c r="F790" s="350">
        <v>33831.55059718142</v>
      </c>
      <c r="G790" s="350">
        <v>32172.083611690254</v>
      </c>
      <c r="H790" s="348">
        <v>6132273.3233207334</v>
      </c>
      <c r="I790" s="369"/>
      <c r="J790" s="350">
        <v>8221876.6792586558</v>
      </c>
      <c r="K790" s="350">
        <v>2292628.3321554102</v>
      </c>
      <c r="L790" s="350">
        <v>2316822.8990921178</v>
      </c>
      <c r="M790" s="350">
        <v>2339155.8779381034</v>
      </c>
      <c r="N790" s="350">
        <v>2359564.4959392371</v>
      </c>
      <c r="O790" s="348">
        <v>17530048.284383524</v>
      </c>
      <c r="P790" s="369"/>
      <c r="Q790" s="350">
        <f t="shared" si="333"/>
        <v>2228079.2387251509</v>
      </c>
      <c r="R790" s="350">
        <f t="shared" si="334"/>
        <v>2255604.8084173594</v>
      </c>
      <c r="S790" s="350">
        <f t="shared" si="335"/>
        <v>2281374.1742518116</v>
      </c>
      <c r="T790" s="350">
        <f t="shared" si="336"/>
        <v>2305324.3273409219</v>
      </c>
      <c r="U790" s="350">
        <f t="shared" si="337"/>
        <v>2327392.4123275466</v>
      </c>
      <c r="V790" s="350">
        <f t="shared" si="338"/>
        <v>11397774.961062791</v>
      </c>
      <c r="W790" s="365"/>
      <c r="X790" s="377">
        <f t="shared" si="316"/>
        <v>0</v>
      </c>
      <c r="Y790" s="377">
        <f t="shared" si="317"/>
        <v>0</v>
      </c>
      <c r="Z790" s="377">
        <f t="shared" si="318"/>
        <v>0</v>
      </c>
      <c r="AA790" s="377">
        <f t="shared" si="319"/>
        <v>0</v>
      </c>
      <c r="AB790" s="377">
        <f t="shared" si="320"/>
        <v>0</v>
      </c>
      <c r="AC790" s="377">
        <f t="shared" si="321"/>
        <v>0</v>
      </c>
      <c r="AD790" s="376"/>
      <c r="AE790" s="332">
        <v>775</v>
      </c>
      <c r="AF790" s="350">
        <v>5025455.9185632765</v>
      </c>
      <c r="AG790" s="350">
        <v>31042.104499096658</v>
      </c>
      <c r="AH790" s="350">
        <v>29721.725804331614</v>
      </c>
      <c r="AI790" s="350">
        <v>28365.817809092016</v>
      </c>
      <c r="AJ790" s="350">
        <v>26974.449771276733</v>
      </c>
      <c r="AK790" s="348">
        <v>5141560.0164470738</v>
      </c>
      <c r="AL790" s="369"/>
      <c r="AM790" s="350">
        <v>7082572.8881451823</v>
      </c>
      <c r="AN790" s="350">
        <v>2113572.5852017524</v>
      </c>
      <c r="AO790" s="350">
        <v>2136044.2686706949</v>
      </c>
      <c r="AP790" s="350">
        <v>2156800.7997159464</v>
      </c>
      <c r="AQ790" s="350">
        <v>2175784.2151791588</v>
      </c>
      <c r="AR790" s="348">
        <v>15664774.756912732</v>
      </c>
      <c r="AS790" s="369"/>
      <c r="AT790" s="350">
        <f t="shared" si="339"/>
        <v>2057116.9695819058</v>
      </c>
      <c r="AU790" s="350">
        <f t="shared" si="322"/>
        <v>2082530.4807026556</v>
      </c>
      <c r="AV790" s="350">
        <f t="shared" si="323"/>
        <v>2106322.5428663632</v>
      </c>
      <c r="AW790" s="350">
        <f t="shared" si="324"/>
        <v>2128434.9819068545</v>
      </c>
      <c r="AX790" s="350">
        <f t="shared" si="325"/>
        <v>2148809.7654078822</v>
      </c>
      <c r="AY790" s="350">
        <f t="shared" si="326"/>
        <v>10523214.74046566</v>
      </c>
      <c r="AZ790" s="365"/>
      <c r="BA790" s="377">
        <f t="shared" si="327"/>
        <v>0</v>
      </c>
      <c r="BB790" s="377">
        <f t="shared" si="328"/>
        <v>0</v>
      </c>
      <c r="BC790" s="377">
        <f t="shared" si="329"/>
        <v>0</v>
      </c>
      <c r="BD790" s="377">
        <f t="shared" si="330"/>
        <v>0</v>
      </c>
      <c r="BE790" s="377">
        <f t="shared" si="331"/>
        <v>0</v>
      </c>
      <c r="BF790" s="377">
        <f t="shared" si="332"/>
        <v>0</v>
      </c>
      <c r="BG790" s="328"/>
    </row>
    <row r="791" spans="2:59">
      <c r="B791" s="332">
        <v>776</v>
      </c>
      <c r="C791" s="350">
        <v>3490074.2419063328</v>
      </c>
      <c r="D791" s="350">
        <v>21558.093650105002</v>
      </c>
      <c r="E791" s="350">
        <v>20641.118206117972</v>
      </c>
      <c r="F791" s="350">
        <v>19699.468404535521</v>
      </c>
      <c r="G791" s="350">
        <v>18733.192343520554</v>
      </c>
      <c r="H791" s="348">
        <v>3570706.1145106116</v>
      </c>
      <c r="I791" s="369"/>
      <c r="J791" s="350">
        <v>4651667.978646107</v>
      </c>
      <c r="K791" s="350">
        <v>1197502.0962147873</v>
      </c>
      <c r="L791" s="350">
        <v>1210019.8018327635</v>
      </c>
      <c r="M791" s="350">
        <v>1221564.3990814388</v>
      </c>
      <c r="N791" s="350">
        <v>1232103.1668522444</v>
      </c>
      <c r="O791" s="348">
        <v>9512857.4426273406</v>
      </c>
      <c r="P791" s="369"/>
      <c r="Q791" s="350">
        <f t="shared" si="333"/>
        <v>1161593.7367397742</v>
      </c>
      <c r="R791" s="350">
        <f t="shared" si="334"/>
        <v>1175944.0025646824</v>
      </c>
      <c r="S791" s="350">
        <f t="shared" si="335"/>
        <v>1189378.6836266455</v>
      </c>
      <c r="T791" s="350">
        <f t="shared" si="336"/>
        <v>1201864.9306769033</v>
      </c>
      <c r="U791" s="350">
        <f t="shared" si="337"/>
        <v>1213369.9745087239</v>
      </c>
      <c r="V791" s="350">
        <f t="shared" si="338"/>
        <v>5942151.3281167289</v>
      </c>
      <c r="W791" s="365"/>
      <c r="X791" s="377">
        <f t="shared" si="316"/>
        <v>0</v>
      </c>
      <c r="Y791" s="377">
        <f t="shared" si="317"/>
        <v>0</v>
      </c>
      <c r="Z791" s="377">
        <f t="shared" si="318"/>
        <v>0</v>
      </c>
      <c r="AA791" s="377">
        <f t="shared" si="319"/>
        <v>0</v>
      </c>
      <c r="AB791" s="377">
        <f t="shared" si="320"/>
        <v>0</v>
      </c>
      <c r="AC791" s="377">
        <f t="shared" si="321"/>
        <v>0</v>
      </c>
      <c r="AD791" s="376"/>
      <c r="AE791" s="332">
        <v>776</v>
      </c>
      <c r="AF791" s="350">
        <v>6333059.190283848</v>
      </c>
      <c r="AG791" s="350">
        <v>39119.134337160758</v>
      </c>
      <c r="AH791" s="350">
        <v>37455.198454915801</v>
      </c>
      <c r="AI791" s="350">
        <v>35746.488692144019</v>
      </c>
      <c r="AJ791" s="350">
        <v>33993.092327367987</v>
      </c>
      <c r="AK791" s="348">
        <v>6479373.1040954366</v>
      </c>
      <c r="AL791" s="369"/>
      <c r="AM791" s="350">
        <v>7789443.6168566439</v>
      </c>
      <c r="AN791" s="350">
        <v>1513495.6548783984</v>
      </c>
      <c r="AO791" s="350">
        <v>1528675.8699723214</v>
      </c>
      <c r="AP791" s="350">
        <v>1542622.1824218528</v>
      </c>
      <c r="AQ791" s="350">
        <v>1555293.5940891278</v>
      </c>
      <c r="AR791" s="348">
        <v>13929530.918218344</v>
      </c>
      <c r="AS791" s="369"/>
      <c r="AT791" s="350">
        <f t="shared" si="339"/>
        <v>1456384.426572796</v>
      </c>
      <c r="AU791" s="350">
        <f t="shared" si="322"/>
        <v>1474376.5205412377</v>
      </c>
      <c r="AV791" s="350">
        <f t="shared" si="323"/>
        <v>1491220.6715174057</v>
      </c>
      <c r="AW791" s="350">
        <f t="shared" si="324"/>
        <v>1506875.6937297089</v>
      </c>
      <c r="AX791" s="350">
        <f t="shared" si="325"/>
        <v>1521300.5017617599</v>
      </c>
      <c r="AY791" s="350">
        <f t="shared" si="326"/>
        <v>7450157.8141229078</v>
      </c>
      <c r="AZ791" s="365"/>
      <c r="BA791" s="377">
        <f t="shared" si="327"/>
        <v>0</v>
      </c>
      <c r="BB791" s="377">
        <f t="shared" si="328"/>
        <v>0</v>
      </c>
      <c r="BC791" s="377">
        <f t="shared" si="329"/>
        <v>0</v>
      </c>
      <c r="BD791" s="377">
        <f t="shared" si="330"/>
        <v>0</v>
      </c>
      <c r="BE791" s="377">
        <f t="shared" si="331"/>
        <v>0</v>
      </c>
      <c r="BF791" s="377">
        <f t="shared" si="332"/>
        <v>0</v>
      </c>
      <c r="BG791" s="328"/>
    </row>
    <row r="792" spans="2:59">
      <c r="B792" s="332">
        <v>777</v>
      </c>
      <c r="C792" s="350">
        <v>5204990.0875422126</v>
      </c>
      <c r="D792" s="350">
        <v>32151.082176926135</v>
      </c>
      <c r="E792" s="350">
        <v>30783.533017323323</v>
      </c>
      <c r="F792" s="350">
        <v>29379.185274709806</v>
      </c>
      <c r="G792" s="350">
        <v>27938.110681216964</v>
      </c>
      <c r="H792" s="348">
        <v>5325241.9986923896</v>
      </c>
      <c r="I792" s="369"/>
      <c r="J792" s="350">
        <v>7283950.7135018576</v>
      </c>
      <c r="K792" s="350">
        <v>2136795.0745997657</v>
      </c>
      <c r="L792" s="350">
        <v>2159472.2254645778</v>
      </c>
      <c r="M792" s="350">
        <v>2180415.1194145274</v>
      </c>
      <c r="N792" s="350">
        <v>2199565.1795437681</v>
      </c>
      <c r="O792" s="348">
        <v>15960198.312524494</v>
      </c>
      <c r="P792" s="369"/>
      <c r="Q792" s="350">
        <f t="shared" si="333"/>
        <v>2078960.625959645</v>
      </c>
      <c r="R792" s="350">
        <f t="shared" si="334"/>
        <v>2104643.9924228396</v>
      </c>
      <c r="S792" s="350">
        <f t="shared" si="335"/>
        <v>2128688.6924472544</v>
      </c>
      <c r="T792" s="350">
        <f t="shared" si="336"/>
        <v>2151035.9341398175</v>
      </c>
      <c r="U792" s="350">
        <f t="shared" si="337"/>
        <v>2171627.0688625509</v>
      </c>
      <c r="V792" s="350">
        <f t="shared" si="338"/>
        <v>10634956.313832104</v>
      </c>
      <c r="W792" s="365"/>
      <c r="X792" s="377">
        <f t="shared" si="316"/>
        <v>0</v>
      </c>
      <c r="Y792" s="377">
        <f t="shared" si="317"/>
        <v>0</v>
      </c>
      <c r="Z792" s="377">
        <f t="shared" si="318"/>
        <v>0</v>
      </c>
      <c r="AA792" s="377">
        <f t="shared" si="319"/>
        <v>0</v>
      </c>
      <c r="AB792" s="377">
        <f t="shared" si="320"/>
        <v>0</v>
      </c>
      <c r="AC792" s="377">
        <f t="shared" si="321"/>
        <v>0</v>
      </c>
      <c r="AD792" s="376"/>
      <c r="AE792" s="332">
        <v>777</v>
      </c>
      <c r="AF792" s="350">
        <v>5738927.0446743276</v>
      </c>
      <c r="AG792" s="350">
        <v>35449.196236190975</v>
      </c>
      <c r="AH792" s="350">
        <v>33941.361499721243</v>
      </c>
      <c r="AI792" s="350">
        <v>32392.953317446394</v>
      </c>
      <c r="AJ792" s="350">
        <v>30804.050779903511</v>
      </c>
      <c r="AK792" s="348">
        <v>5871514.60650759</v>
      </c>
      <c r="AL792" s="369"/>
      <c r="AM792" s="350">
        <v>7213331.0075673163</v>
      </c>
      <c r="AN792" s="350">
        <v>1528067.8654689351</v>
      </c>
      <c r="AO792" s="350">
        <v>1543612.5908242199</v>
      </c>
      <c r="AP792" s="350">
        <v>1557912.9011312781</v>
      </c>
      <c r="AQ792" s="350">
        <v>1570927.2817230872</v>
      </c>
      <c r="AR792" s="348">
        <v>13413851.646714836</v>
      </c>
      <c r="AS792" s="369"/>
      <c r="AT792" s="350">
        <f t="shared" si="339"/>
        <v>1474403.9628929887</v>
      </c>
      <c r="AU792" s="350">
        <f t="shared" si="322"/>
        <v>1492618.669232744</v>
      </c>
      <c r="AV792" s="350">
        <f t="shared" si="323"/>
        <v>1509671.2293244987</v>
      </c>
      <c r="AW792" s="350">
        <f t="shared" si="324"/>
        <v>1525519.9478138317</v>
      </c>
      <c r="AX792" s="350">
        <f t="shared" si="325"/>
        <v>1540123.2309431836</v>
      </c>
      <c r="AY792" s="350">
        <f t="shared" si="326"/>
        <v>7542337.0402072463</v>
      </c>
      <c r="AZ792" s="365"/>
      <c r="BA792" s="377">
        <f t="shared" si="327"/>
        <v>0</v>
      </c>
      <c r="BB792" s="377">
        <f t="shared" si="328"/>
        <v>0</v>
      </c>
      <c r="BC792" s="377">
        <f t="shared" si="329"/>
        <v>0</v>
      </c>
      <c r="BD792" s="377">
        <f t="shared" si="330"/>
        <v>0</v>
      </c>
      <c r="BE792" s="377">
        <f t="shared" si="331"/>
        <v>0</v>
      </c>
      <c r="BF792" s="377">
        <f t="shared" si="332"/>
        <v>0</v>
      </c>
      <c r="BG792" s="328"/>
    </row>
    <row r="793" spans="2:59">
      <c r="B793" s="332">
        <v>778</v>
      </c>
      <c r="C793" s="350">
        <v>6080328.9133252101</v>
      </c>
      <c r="D793" s="350">
        <v>37558.02629152828</v>
      </c>
      <c r="E793" s="350">
        <v>35960.49227980616</v>
      </c>
      <c r="F793" s="350">
        <v>34319.971156775973</v>
      </c>
      <c r="G793" s="350">
        <v>32636.546717979571</v>
      </c>
      <c r="H793" s="348">
        <v>6220803.9497713009</v>
      </c>
      <c r="I793" s="369"/>
      <c r="J793" s="350">
        <v>7727880.8466254268</v>
      </c>
      <c r="K793" s="350">
        <v>1705463.7265374565</v>
      </c>
      <c r="L793" s="350">
        <v>1722921.3355217988</v>
      </c>
      <c r="M793" s="350">
        <v>1738990.7415588929</v>
      </c>
      <c r="N793" s="350">
        <v>1753625.5500859697</v>
      </c>
      <c r="O793" s="348">
        <v>14648882.200329544</v>
      </c>
      <c r="P793" s="369"/>
      <c r="Q793" s="350">
        <f t="shared" si="333"/>
        <v>1647551.9333002167</v>
      </c>
      <c r="R793" s="350">
        <f t="shared" si="334"/>
        <v>1667905.7002459283</v>
      </c>
      <c r="S793" s="350">
        <f t="shared" si="335"/>
        <v>1686960.8432419926</v>
      </c>
      <c r="T793" s="350">
        <f t="shared" si="336"/>
        <v>1704670.7704021169</v>
      </c>
      <c r="U793" s="350">
        <f t="shared" si="337"/>
        <v>1720989.0033679903</v>
      </c>
      <c r="V793" s="350">
        <f t="shared" si="338"/>
        <v>8428078.2505582422</v>
      </c>
      <c r="W793" s="365"/>
      <c r="X793" s="377">
        <f t="shared" si="316"/>
        <v>0</v>
      </c>
      <c r="Y793" s="377">
        <f t="shared" si="317"/>
        <v>0</v>
      </c>
      <c r="Z793" s="377">
        <f t="shared" si="318"/>
        <v>0</v>
      </c>
      <c r="AA793" s="377">
        <f t="shared" si="319"/>
        <v>0</v>
      </c>
      <c r="AB793" s="377">
        <f t="shared" si="320"/>
        <v>0</v>
      </c>
      <c r="AC793" s="377">
        <f t="shared" si="321"/>
        <v>0</v>
      </c>
      <c r="AD793" s="376"/>
      <c r="AE793" s="332">
        <v>778</v>
      </c>
      <c r="AF793" s="350">
        <v>5836019.4883824335</v>
      </c>
      <c r="AG793" s="350">
        <v>36048.933619722899</v>
      </c>
      <c r="AH793" s="350">
        <v>34515.588999937645</v>
      </c>
      <c r="AI793" s="350">
        <v>32940.984503770836</v>
      </c>
      <c r="AJ793" s="350">
        <v>31325.200559825807</v>
      </c>
      <c r="AK793" s="348">
        <v>5970850.1960656904</v>
      </c>
      <c r="AL793" s="369"/>
      <c r="AM793" s="350">
        <v>8543827.0446210578</v>
      </c>
      <c r="AN793" s="350">
        <v>2777308.5970845642</v>
      </c>
      <c r="AO793" s="350">
        <v>2807093.0271261167</v>
      </c>
      <c r="AP793" s="350">
        <v>2834625.2893789466</v>
      </c>
      <c r="AQ793" s="350">
        <v>2859829.0755112786</v>
      </c>
      <c r="AR793" s="348">
        <v>19822683.033721961</v>
      </c>
      <c r="AS793" s="369"/>
      <c r="AT793" s="350">
        <f t="shared" si="339"/>
        <v>2707807.5562386243</v>
      </c>
      <c r="AU793" s="350">
        <f t="shared" si="322"/>
        <v>2741259.6634648414</v>
      </c>
      <c r="AV793" s="350">
        <f t="shared" si="323"/>
        <v>2772577.4381261789</v>
      </c>
      <c r="AW793" s="350">
        <f t="shared" si="324"/>
        <v>2801684.3048751759</v>
      </c>
      <c r="AX793" s="350">
        <f t="shared" si="325"/>
        <v>2828503.8749514529</v>
      </c>
      <c r="AY793" s="350">
        <f t="shared" si="326"/>
        <v>13851832.837656271</v>
      </c>
      <c r="AZ793" s="365"/>
      <c r="BA793" s="377">
        <f t="shared" si="327"/>
        <v>0</v>
      </c>
      <c r="BB793" s="377">
        <f t="shared" si="328"/>
        <v>0</v>
      </c>
      <c r="BC793" s="377">
        <f t="shared" si="329"/>
        <v>0</v>
      </c>
      <c r="BD793" s="377">
        <f t="shared" si="330"/>
        <v>0</v>
      </c>
      <c r="BE793" s="377">
        <f t="shared" si="331"/>
        <v>0</v>
      </c>
      <c r="BF793" s="377">
        <f t="shared" si="332"/>
        <v>0</v>
      </c>
      <c r="BG793" s="328"/>
    </row>
    <row r="794" spans="2:59">
      <c r="B794" s="332">
        <v>779</v>
      </c>
      <c r="C794" s="350">
        <v>5070807.3051646361</v>
      </c>
      <c r="D794" s="350">
        <v>31322.238780418338</v>
      </c>
      <c r="E794" s="350">
        <v>29989.944548909396</v>
      </c>
      <c r="F794" s="350">
        <v>28621.800388697749</v>
      </c>
      <c r="G794" s="350">
        <v>27217.876182682616</v>
      </c>
      <c r="H794" s="348">
        <v>5187959.1650653444</v>
      </c>
      <c r="I794" s="369"/>
      <c r="J794" s="350">
        <v>6500808.7991576511</v>
      </c>
      <c r="K794" s="350">
        <v>1478989.8934282023</v>
      </c>
      <c r="L794" s="350">
        <v>1494196.612263212</v>
      </c>
      <c r="M794" s="350">
        <v>1508199.8939048899</v>
      </c>
      <c r="N794" s="350">
        <v>1520959.4670969695</v>
      </c>
      <c r="O794" s="348">
        <v>12503154.665850926</v>
      </c>
      <c r="P794" s="369"/>
      <c r="Q794" s="350">
        <f t="shared" si="333"/>
        <v>1430001.493993015</v>
      </c>
      <c r="R794" s="350">
        <f t="shared" si="334"/>
        <v>1447667.6546477838</v>
      </c>
      <c r="S794" s="350">
        <f t="shared" si="335"/>
        <v>1464206.6677143027</v>
      </c>
      <c r="T794" s="350">
        <f t="shared" si="336"/>
        <v>1479578.0935161922</v>
      </c>
      <c r="U794" s="350">
        <f t="shared" si="337"/>
        <v>1493741.5909142869</v>
      </c>
      <c r="V794" s="350">
        <f t="shared" si="338"/>
        <v>7315195.5007855818</v>
      </c>
      <c r="W794" s="365"/>
      <c r="X794" s="377">
        <f t="shared" si="316"/>
        <v>0</v>
      </c>
      <c r="Y794" s="377">
        <f t="shared" si="317"/>
        <v>0</v>
      </c>
      <c r="Z794" s="377">
        <f t="shared" si="318"/>
        <v>0</v>
      </c>
      <c r="AA794" s="377">
        <f t="shared" si="319"/>
        <v>0</v>
      </c>
      <c r="AB794" s="377">
        <f t="shared" si="320"/>
        <v>0</v>
      </c>
      <c r="AC794" s="377">
        <f t="shared" si="321"/>
        <v>0</v>
      </c>
      <c r="AD794" s="376"/>
      <c r="AE794" s="332">
        <v>779</v>
      </c>
      <c r="AF794" s="350">
        <v>5693750.5000243671</v>
      </c>
      <c r="AG794" s="350">
        <v>35170.141948846816</v>
      </c>
      <c r="AH794" s="350">
        <v>33674.176811478763</v>
      </c>
      <c r="AI794" s="350">
        <v>32137.957620429923</v>
      </c>
      <c r="AJ794" s="350">
        <v>30561.562843635264</v>
      </c>
      <c r="AK794" s="348">
        <v>5825294.3392487587</v>
      </c>
      <c r="AL794" s="369"/>
      <c r="AM794" s="350">
        <v>7668065.1823617667</v>
      </c>
      <c r="AN794" s="350">
        <v>2033875.4004553992</v>
      </c>
      <c r="AO794" s="350">
        <v>2055213.8284747964</v>
      </c>
      <c r="AP794" s="350">
        <v>2074899.9868662984</v>
      </c>
      <c r="AQ794" s="350">
        <v>2092878.2575802545</v>
      </c>
      <c r="AR794" s="348">
        <v>15924932.655738514</v>
      </c>
      <c r="AS794" s="369"/>
      <c r="AT794" s="350">
        <f t="shared" si="339"/>
        <v>1974314.6823373996</v>
      </c>
      <c r="AU794" s="350">
        <f t="shared" si="322"/>
        <v>1998705.2585065523</v>
      </c>
      <c r="AV794" s="350">
        <f t="shared" si="323"/>
        <v>2021539.6516633176</v>
      </c>
      <c r="AW794" s="350">
        <f t="shared" si="324"/>
        <v>2042762.0292458683</v>
      </c>
      <c r="AX794" s="350">
        <f t="shared" si="325"/>
        <v>2062316.6947366192</v>
      </c>
      <c r="AY794" s="350">
        <f t="shared" si="326"/>
        <v>10099638.316489756</v>
      </c>
      <c r="AZ794" s="365"/>
      <c r="BA794" s="377">
        <f t="shared" si="327"/>
        <v>0</v>
      </c>
      <c r="BB794" s="377">
        <f t="shared" si="328"/>
        <v>0</v>
      </c>
      <c r="BC794" s="377">
        <f t="shared" si="329"/>
        <v>0</v>
      </c>
      <c r="BD794" s="377">
        <f t="shared" si="330"/>
        <v>0</v>
      </c>
      <c r="BE794" s="377">
        <f t="shared" si="331"/>
        <v>0</v>
      </c>
      <c r="BF794" s="377">
        <f t="shared" si="332"/>
        <v>0</v>
      </c>
      <c r="BG794" s="328"/>
    </row>
    <row r="795" spans="2:59">
      <c r="B795" s="332">
        <v>780</v>
      </c>
      <c r="C795" s="350">
        <v>4026058.527082148</v>
      </c>
      <c r="D795" s="350">
        <v>24868.853999000643</v>
      </c>
      <c r="E795" s="350">
        <v>23811.055067086294</v>
      </c>
      <c r="F795" s="350">
        <v>22724.792440445126</v>
      </c>
      <c r="G795" s="350">
        <v>21610.121603861633</v>
      </c>
      <c r="H795" s="348">
        <v>4119073.3501925413</v>
      </c>
      <c r="I795" s="369"/>
      <c r="J795" s="350">
        <v>5547189.0364016872</v>
      </c>
      <c r="K795" s="350">
        <v>1564791.3268705991</v>
      </c>
      <c r="L795" s="350">
        <v>1581326.5147119141</v>
      </c>
      <c r="M795" s="350">
        <v>1596591.2453235423</v>
      </c>
      <c r="N795" s="350">
        <v>1610542.6622507931</v>
      </c>
      <c r="O795" s="348">
        <v>11900440.785558535</v>
      </c>
      <c r="P795" s="369"/>
      <c r="Q795" s="350">
        <f t="shared" si="333"/>
        <v>1521130.5093195392</v>
      </c>
      <c r="R795" s="350">
        <f t="shared" si="334"/>
        <v>1539922.4728715983</v>
      </c>
      <c r="S795" s="350">
        <f t="shared" si="335"/>
        <v>1557515.4596448278</v>
      </c>
      <c r="T795" s="350">
        <f t="shared" si="336"/>
        <v>1573866.4528830971</v>
      </c>
      <c r="U795" s="350">
        <f t="shared" si="337"/>
        <v>1588932.5406469314</v>
      </c>
      <c r="V795" s="350">
        <f t="shared" si="338"/>
        <v>7781367.4353659935</v>
      </c>
      <c r="W795" s="365"/>
      <c r="X795" s="377">
        <f t="shared" si="316"/>
        <v>0</v>
      </c>
      <c r="Y795" s="377">
        <f t="shared" si="317"/>
        <v>0</v>
      </c>
      <c r="Z795" s="377">
        <f t="shared" si="318"/>
        <v>0</v>
      </c>
      <c r="AA795" s="377">
        <f t="shared" si="319"/>
        <v>0</v>
      </c>
      <c r="AB795" s="377">
        <f t="shared" si="320"/>
        <v>0</v>
      </c>
      <c r="AC795" s="377">
        <f t="shared" si="321"/>
        <v>0</v>
      </c>
      <c r="AD795" s="376"/>
      <c r="AE795" s="332">
        <v>780</v>
      </c>
      <c r="AF795" s="350">
        <v>6574527.0892280769</v>
      </c>
      <c r="AG795" s="350">
        <v>40610.67498017363</v>
      </c>
      <c r="AH795" s="350">
        <v>38883.296283106793</v>
      </c>
      <c r="AI795" s="350">
        <v>37109.436559798603</v>
      </c>
      <c r="AJ795" s="350">
        <v>35289.186416538796</v>
      </c>
      <c r="AK795" s="348">
        <v>6726419.6834676946</v>
      </c>
      <c r="AL795" s="369"/>
      <c r="AM795" s="350">
        <v>9178116.5278957523</v>
      </c>
      <c r="AN795" s="350">
        <v>2676364.7159197838</v>
      </c>
      <c r="AO795" s="350">
        <v>2704749.7531375699</v>
      </c>
      <c r="AP795" s="350">
        <v>2730962.494857111</v>
      </c>
      <c r="AQ795" s="350">
        <v>2754929.5829755077</v>
      </c>
      <c r="AR795" s="348">
        <v>20045123.074785724</v>
      </c>
      <c r="AS795" s="369"/>
      <c r="AT795" s="350">
        <f t="shared" si="339"/>
        <v>2603589.4386676755</v>
      </c>
      <c r="AU795" s="350">
        <f t="shared" si="322"/>
        <v>2635754.04093961</v>
      </c>
      <c r="AV795" s="350">
        <f t="shared" si="323"/>
        <v>2665866.4568544631</v>
      </c>
      <c r="AW795" s="350">
        <f t="shared" si="324"/>
        <v>2693853.0582973124</v>
      </c>
      <c r="AX795" s="350">
        <f t="shared" si="325"/>
        <v>2719640.3965589688</v>
      </c>
      <c r="AY795" s="350">
        <f t="shared" si="326"/>
        <v>13318703.391318031</v>
      </c>
      <c r="AZ795" s="365"/>
      <c r="BA795" s="377">
        <f t="shared" si="327"/>
        <v>0</v>
      </c>
      <c r="BB795" s="377">
        <f t="shared" si="328"/>
        <v>0</v>
      </c>
      <c r="BC795" s="377">
        <f t="shared" si="329"/>
        <v>0</v>
      </c>
      <c r="BD795" s="377">
        <f t="shared" si="330"/>
        <v>0</v>
      </c>
      <c r="BE795" s="377">
        <f t="shared" si="331"/>
        <v>0</v>
      </c>
      <c r="BF795" s="377">
        <f t="shared" si="332"/>
        <v>0</v>
      </c>
      <c r="BG795" s="328"/>
    </row>
    <row r="796" spans="2:59">
      <c r="B796" s="332">
        <v>781</v>
      </c>
      <c r="C796" s="350">
        <v>5223997.8812461859</v>
      </c>
      <c r="D796" s="350">
        <v>32268.492801557928</v>
      </c>
      <c r="E796" s="350">
        <v>30895.949570520461</v>
      </c>
      <c r="F796" s="350">
        <v>29486.473373917826</v>
      </c>
      <c r="G796" s="350">
        <v>28040.136205834828</v>
      </c>
      <c r="H796" s="348">
        <v>5344688.933198018</v>
      </c>
      <c r="I796" s="369"/>
      <c r="J796" s="350">
        <v>7057010.0142856818</v>
      </c>
      <c r="K796" s="350">
        <v>1887925.5580040202</v>
      </c>
      <c r="L796" s="350">
        <v>1907753.1406097598</v>
      </c>
      <c r="M796" s="350">
        <v>1926047.147322326</v>
      </c>
      <c r="N796" s="350">
        <v>1942755.9398418975</v>
      </c>
      <c r="O796" s="348">
        <v>14721491.800063686</v>
      </c>
      <c r="P796" s="369"/>
      <c r="Q796" s="350">
        <f t="shared" si="333"/>
        <v>1833012.1330394959</v>
      </c>
      <c r="R796" s="350">
        <f t="shared" si="334"/>
        <v>1855657.0652024623</v>
      </c>
      <c r="S796" s="350">
        <f t="shared" si="335"/>
        <v>1876857.1910392393</v>
      </c>
      <c r="T796" s="350">
        <f t="shared" si="336"/>
        <v>1896560.6739484081</v>
      </c>
      <c r="U796" s="350">
        <f t="shared" si="337"/>
        <v>1914715.8036360627</v>
      </c>
      <c r="V796" s="350">
        <f t="shared" si="338"/>
        <v>9376802.8668656684</v>
      </c>
      <c r="W796" s="365"/>
      <c r="X796" s="377">
        <f t="shared" si="316"/>
        <v>0</v>
      </c>
      <c r="Y796" s="377">
        <f t="shared" si="317"/>
        <v>0</v>
      </c>
      <c r="Z796" s="377">
        <f t="shared" si="318"/>
        <v>0</v>
      </c>
      <c r="AA796" s="377">
        <f t="shared" si="319"/>
        <v>0</v>
      </c>
      <c r="AB796" s="377">
        <f t="shared" si="320"/>
        <v>0</v>
      </c>
      <c r="AC796" s="377">
        <f t="shared" si="321"/>
        <v>0</v>
      </c>
      <c r="AD796" s="376"/>
      <c r="AE796" s="332">
        <v>781</v>
      </c>
      <c r="AF796" s="350">
        <v>4630569.689979488</v>
      </c>
      <c r="AG796" s="350">
        <v>28602.903007412293</v>
      </c>
      <c r="AH796" s="350">
        <v>27386.275966532725</v>
      </c>
      <c r="AI796" s="350">
        <v>26136.911417943571</v>
      </c>
      <c r="AJ796" s="350">
        <v>24854.873177447731</v>
      </c>
      <c r="AK796" s="348">
        <v>4737550.6535488237</v>
      </c>
      <c r="AL796" s="369"/>
      <c r="AM796" s="350">
        <v>6474513.8361862563</v>
      </c>
      <c r="AN796" s="350">
        <v>1895327.0348730367</v>
      </c>
      <c r="AO796" s="350">
        <v>1915436.9703960128</v>
      </c>
      <c r="AP796" s="350">
        <v>1934008.5995633812</v>
      </c>
      <c r="AQ796" s="350">
        <v>1950989.9674988482</v>
      </c>
      <c r="AR796" s="348">
        <v>14170276.408517534</v>
      </c>
      <c r="AS796" s="369"/>
      <c r="AT796" s="350">
        <f t="shared" si="339"/>
        <v>1843944.1462067682</v>
      </c>
      <c r="AU796" s="350">
        <f t="shared" si="322"/>
        <v>1866724.1318656243</v>
      </c>
      <c r="AV796" s="350">
        <f t="shared" si="323"/>
        <v>1888050.69442948</v>
      </c>
      <c r="AW796" s="350">
        <f t="shared" si="324"/>
        <v>1907871.6881454375</v>
      </c>
      <c r="AX796" s="350">
        <f t="shared" si="325"/>
        <v>1926135.0943214004</v>
      </c>
      <c r="AY796" s="350">
        <f t="shared" si="326"/>
        <v>9432725.7549687102</v>
      </c>
      <c r="AZ796" s="365"/>
      <c r="BA796" s="377">
        <f t="shared" si="327"/>
        <v>0</v>
      </c>
      <c r="BB796" s="377">
        <f t="shared" si="328"/>
        <v>0</v>
      </c>
      <c r="BC796" s="377">
        <f t="shared" si="329"/>
        <v>0</v>
      </c>
      <c r="BD796" s="377">
        <f t="shared" si="330"/>
        <v>0</v>
      </c>
      <c r="BE796" s="377">
        <f t="shared" si="331"/>
        <v>0</v>
      </c>
      <c r="BF796" s="377">
        <f t="shared" si="332"/>
        <v>0</v>
      </c>
      <c r="BG796" s="328"/>
    </row>
    <row r="797" spans="2:59">
      <c r="B797" s="332">
        <v>782</v>
      </c>
      <c r="C797" s="350">
        <v>8002681.3633085741</v>
      </c>
      <c r="D797" s="350">
        <v>49432.34508040901</v>
      </c>
      <c r="E797" s="350">
        <v>47329.735855625586</v>
      </c>
      <c r="F797" s="350">
        <v>45170.548745103391</v>
      </c>
      <c r="G797" s="350">
        <v>42954.894037120313</v>
      </c>
      <c r="H797" s="348">
        <v>8187568.8870268324</v>
      </c>
      <c r="I797" s="369"/>
      <c r="J797" s="350">
        <v>9981170.1384683643</v>
      </c>
      <c r="K797" s="350">
        <v>2052363.2629249778</v>
      </c>
      <c r="L797" s="350">
        <v>2073143.3232930498</v>
      </c>
      <c r="M797" s="350">
        <v>2092251.3820805154</v>
      </c>
      <c r="N797" s="350">
        <v>2109631.7353045866</v>
      </c>
      <c r="O797" s="348">
        <v>18308559.842071496</v>
      </c>
      <c r="P797" s="369"/>
      <c r="Q797" s="350">
        <f t="shared" si="333"/>
        <v>1978488.7751597902</v>
      </c>
      <c r="R797" s="350">
        <f t="shared" si="334"/>
        <v>2002930.9178445688</v>
      </c>
      <c r="S797" s="350">
        <f t="shared" si="335"/>
        <v>2025813.5874374243</v>
      </c>
      <c r="T797" s="350">
        <f t="shared" si="336"/>
        <v>2047080.833335412</v>
      </c>
      <c r="U797" s="350">
        <f t="shared" si="337"/>
        <v>2066676.8412674663</v>
      </c>
      <c r="V797" s="350">
        <f t="shared" si="338"/>
        <v>10120990.955044664</v>
      </c>
      <c r="W797" s="365"/>
      <c r="X797" s="377">
        <f t="shared" si="316"/>
        <v>0</v>
      </c>
      <c r="Y797" s="377">
        <f t="shared" si="317"/>
        <v>0</v>
      </c>
      <c r="Z797" s="377">
        <f t="shared" si="318"/>
        <v>0</v>
      </c>
      <c r="AA797" s="377">
        <f t="shared" si="319"/>
        <v>0</v>
      </c>
      <c r="AB797" s="377">
        <f t="shared" si="320"/>
        <v>0</v>
      </c>
      <c r="AC797" s="377">
        <f t="shared" si="321"/>
        <v>0</v>
      </c>
      <c r="AD797" s="376"/>
      <c r="AE797" s="332">
        <v>782</v>
      </c>
      <c r="AF797" s="350">
        <v>7536225.974212097</v>
      </c>
      <c r="AG797" s="350">
        <v>46551.062831167554</v>
      </c>
      <c r="AH797" s="350">
        <v>44571.009204880211</v>
      </c>
      <c r="AI797" s="350">
        <v>42537.675470003196</v>
      </c>
      <c r="AJ797" s="350">
        <v>40451.165486395119</v>
      </c>
      <c r="AK797" s="348">
        <v>7710336.8872045428</v>
      </c>
      <c r="AL797" s="369"/>
      <c r="AM797" s="350">
        <v>10080376.040253378</v>
      </c>
      <c r="AN797" s="350">
        <v>2622131.4203688726</v>
      </c>
      <c r="AO797" s="350">
        <v>2649576.322843818</v>
      </c>
      <c r="AP797" s="350">
        <v>2674890.6626136922</v>
      </c>
      <c r="AQ797" s="350">
        <v>2698002.7716469942</v>
      </c>
      <c r="AR797" s="348">
        <v>20724977.217726756</v>
      </c>
      <c r="AS797" s="369"/>
      <c r="AT797" s="350">
        <f t="shared" si="339"/>
        <v>2544150.0660412814</v>
      </c>
      <c r="AU797" s="350">
        <f t="shared" si="322"/>
        <v>2575580.357537705</v>
      </c>
      <c r="AV797" s="350">
        <f t="shared" si="323"/>
        <v>2605005.3136389377</v>
      </c>
      <c r="AW797" s="350">
        <f t="shared" si="324"/>
        <v>2632352.9871436888</v>
      </c>
      <c r="AX797" s="350">
        <f t="shared" si="325"/>
        <v>2657551.6061605993</v>
      </c>
      <c r="AY797" s="350">
        <f t="shared" si="326"/>
        <v>13014640.330522213</v>
      </c>
      <c r="AZ797" s="365"/>
      <c r="BA797" s="377">
        <f t="shared" si="327"/>
        <v>0</v>
      </c>
      <c r="BB797" s="377">
        <f t="shared" si="328"/>
        <v>0</v>
      </c>
      <c r="BC797" s="377">
        <f t="shared" si="329"/>
        <v>0</v>
      </c>
      <c r="BD797" s="377">
        <f t="shared" si="330"/>
        <v>0</v>
      </c>
      <c r="BE797" s="377">
        <f t="shared" si="331"/>
        <v>0</v>
      </c>
      <c r="BF797" s="377">
        <f t="shared" si="332"/>
        <v>0</v>
      </c>
      <c r="BG797" s="328"/>
    </row>
    <row r="798" spans="2:59">
      <c r="B798" s="332">
        <v>783</v>
      </c>
      <c r="C798" s="350">
        <v>4173684.8773316322</v>
      </c>
      <c r="D798" s="350">
        <v>25780.737948542257</v>
      </c>
      <c r="E798" s="350">
        <v>24684.151951172134</v>
      </c>
      <c r="F798" s="350">
        <v>23558.058560546429</v>
      </c>
      <c r="G798" s="350">
        <v>22402.5152959468</v>
      </c>
      <c r="H798" s="348">
        <v>4270110.3410878405</v>
      </c>
      <c r="I798" s="369"/>
      <c r="J798" s="350">
        <v>5892386.7259919103</v>
      </c>
      <c r="K798" s="350">
        <v>1765715.3357378412</v>
      </c>
      <c r="L798" s="350">
        <v>1784496.7935410186</v>
      </c>
      <c r="M798" s="350">
        <v>1801845.4346546801</v>
      </c>
      <c r="N798" s="350">
        <v>1817712.8310610231</v>
      </c>
      <c r="O798" s="348">
        <v>13062157.120986471</v>
      </c>
      <c r="P798" s="369"/>
      <c r="Q798" s="350">
        <f t="shared" si="333"/>
        <v>1718701.8486602781</v>
      </c>
      <c r="R798" s="350">
        <f t="shared" si="334"/>
        <v>1739934.597789299</v>
      </c>
      <c r="S798" s="350">
        <f t="shared" si="335"/>
        <v>1759812.6415898465</v>
      </c>
      <c r="T798" s="350">
        <f t="shared" si="336"/>
        <v>1778287.3760941336</v>
      </c>
      <c r="U798" s="350">
        <f t="shared" si="337"/>
        <v>1795310.3157650763</v>
      </c>
      <c r="V798" s="350">
        <f t="shared" si="338"/>
        <v>8792046.7798986305</v>
      </c>
      <c r="W798" s="365"/>
      <c r="X798" s="377">
        <f t="shared" si="316"/>
        <v>0</v>
      </c>
      <c r="Y798" s="377">
        <f t="shared" si="317"/>
        <v>0</v>
      </c>
      <c r="Z798" s="377">
        <f t="shared" si="318"/>
        <v>0</v>
      </c>
      <c r="AA798" s="377">
        <f t="shared" si="319"/>
        <v>0</v>
      </c>
      <c r="AB798" s="377">
        <f t="shared" si="320"/>
        <v>0</v>
      </c>
      <c r="AC798" s="377">
        <f t="shared" si="321"/>
        <v>0</v>
      </c>
      <c r="AD798" s="376"/>
      <c r="AE798" s="332">
        <v>783</v>
      </c>
      <c r="AF798" s="350">
        <v>5745850.5547107141</v>
      </c>
      <c r="AG798" s="350">
        <v>35491.962569341355</v>
      </c>
      <c r="AH798" s="350">
        <v>33982.308763062116</v>
      </c>
      <c r="AI798" s="350">
        <v>32432.032562687527</v>
      </c>
      <c r="AJ798" s="350">
        <v>30841.213154173583</v>
      </c>
      <c r="AK798" s="348">
        <v>5878598.0717599792</v>
      </c>
      <c r="AL798" s="369"/>
      <c r="AM798" s="350">
        <v>8493456.9040774349</v>
      </c>
      <c r="AN798" s="350">
        <v>2817042.0912872497</v>
      </c>
      <c r="AO798" s="350">
        <v>2847310.5142904865</v>
      </c>
      <c r="AP798" s="350">
        <v>2875294.9115219209</v>
      </c>
      <c r="AQ798" s="350">
        <v>2900917.8506610207</v>
      </c>
      <c r="AR798" s="348">
        <v>19934022.27183811</v>
      </c>
      <c r="AS798" s="369"/>
      <c r="AT798" s="350">
        <f t="shared" si="339"/>
        <v>2747606.3493667208</v>
      </c>
      <c r="AU798" s="350">
        <f t="shared" si="322"/>
        <v>2781550.1287179082</v>
      </c>
      <c r="AV798" s="350">
        <f t="shared" si="323"/>
        <v>2813328.2055274243</v>
      </c>
      <c r="AW798" s="350">
        <f t="shared" si="324"/>
        <v>2842862.8789592334</v>
      </c>
      <c r="AX798" s="350">
        <f t="shared" si="325"/>
        <v>2870076.6375068473</v>
      </c>
      <c r="AY798" s="350">
        <f t="shared" si="326"/>
        <v>14055424.20007813</v>
      </c>
      <c r="AZ798" s="365"/>
      <c r="BA798" s="377">
        <f t="shared" si="327"/>
        <v>0</v>
      </c>
      <c r="BB798" s="377">
        <f t="shared" si="328"/>
        <v>0</v>
      </c>
      <c r="BC798" s="377">
        <f t="shared" si="329"/>
        <v>0</v>
      </c>
      <c r="BD798" s="377">
        <f t="shared" si="330"/>
        <v>0</v>
      </c>
      <c r="BE798" s="377">
        <f t="shared" si="331"/>
        <v>0</v>
      </c>
      <c r="BF798" s="377">
        <f t="shared" si="332"/>
        <v>0</v>
      </c>
      <c r="BG798" s="328"/>
    </row>
    <row r="799" spans="2:59">
      <c r="B799" s="332">
        <v>784</v>
      </c>
      <c r="C799" s="350">
        <v>5174245.8718644762</v>
      </c>
      <c r="D799" s="350">
        <v>31961.175993033827</v>
      </c>
      <c r="E799" s="350">
        <v>30601.704509969448</v>
      </c>
      <c r="F799" s="350">
        <v>29205.65180138249</v>
      </c>
      <c r="G799" s="350">
        <v>27773.089175708075</v>
      </c>
      <c r="H799" s="348">
        <v>5293787.4933445696</v>
      </c>
      <c r="I799" s="369"/>
      <c r="J799" s="350">
        <v>6705585.9988289215</v>
      </c>
      <c r="K799" s="350">
        <v>1582219.3955704481</v>
      </c>
      <c r="L799" s="350">
        <v>1598570.9925551738</v>
      </c>
      <c r="M799" s="350">
        <v>1613635.6786905436</v>
      </c>
      <c r="N799" s="350">
        <v>1627370.3253265189</v>
      </c>
      <c r="O799" s="348">
        <v>13127382.390971605</v>
      </c>
      <c r="P799" s="369"/>
      <c r="Q799" s="350">
        <f t="shared" si="333"/>
        <v>1531340.1269644452</v>
      </c>
      <c r="R799" s="350">
        <f t="shared" si="334"/>
        <v>1550258.2195774142</v>
      </c>
      <c r="S799" s="350">
        <f t="shared" si="335"/>
        <v>1567969.2880452045</v>
      </c>
      <c r="T799" s="350">
        <f t="shared" si="336"/>
        <v>1584430.0268891612</v>
      </c>
      <c r="U799" s="350">
        <f t="shared" si="337"/>
        <v>1599597.2361508107</v>
      </c>
      <c r="V799" s="350">
        <f t="shared" si="338"/>
        <v>7833594.8976270352</v>
      </c>
      <c r="W799" s="365"/>
      <c r="X799" s="377">
        <f t="shared" si="316"/>
        <v>0</v>
      </c>
      <c r="Y799" s="377">
        <f t="shared" si="317"/>
        <v>0</v>
      </c>
      <c r="Z799" s="377">
        <f t="shared" si="318"/>
        <v>0</v>
      </c>
      <c r="AA799" s="377">
        <f t="shared" si="319"/>
        <v>0</v>
      </c>
      <c r="AB799" s="377">
        <f t="shared" si="320"/>
        <v>0</v>
      </c>
      <c r="AC799" s="377">
        <f t="shared" si="321"/>
        <v>0</v>
      </c>
      <c r="AD799" s="376"/>
      <c r="AE799" s="332">
        <v>784</v>
      </c>
      <c r="AF799" s="350">
        <v>7059289.9287484577</v>
      </c>
      <c r="AG799" s="350">
        <v>43605.041852656126</v>
      </c>
      <c r="AH799" s="350">
        <v>41750.297492514459</v>
      </c>
      <c r="AI799" s="350">
        <v>39845.644897765771</v>
      </c>
      <c r="AJ799" s="350">
        <v>37891.181355411696</v>
      </c>
      <c r="AK799" s="348">
        <v>7222382.0943468055</v>
      </c>
      <c r="AL799" s="369"/>
      <c r="AM799" s="350">
        <v>9017317.5163596496</v>
      </c>
      <c r="AN799" s="350">
        <v>2025821.995750882</v>
      </c>
      <c r="AO799" s="350">
        <v>2046613.2723859239</v>
      </c>
      <c r="AP799" s="350">
        <v>2065755.9235229897</v>
      </c>
      <c r="AQ799" s="350">
        <v>2083194.809399517</v>
      </c>
      <c r="AR799" s="348">
        <v>17238703.517418962</v>
      </c>
      <c r="AS799" s="369"/>
      <c r="AT799" s="350">
        <f t="shared" si="339"/>
        <v>1958027.5876111919</v>
      </c>
      <c r="AU799" s="350">
        <f t="shared" si="322"/>
        <v>1982216.9538982259</v>
      </c>
      <c r="AV799" s="350">
        <f t="shared" si="323"/>
        <v>2004862.9748934095</v>
      </c>
      <c r="AW799" s="350">
        <f t="shared" si="324"/>
        <v>2025910.278625224</v>
      </c>
      <c r="AX799" s="350">
        <f t="shared" si="325"/>
        <v>2045303.6280441054</v>
      </c>
      <c r="AY799" s="350">
        <f t="shared" si="326"/>
        <v>10016321.423072156</v>
      </c>
      <c r="AZ799" s="365"/>
      <c r="BA799" s="377">
        <f t="shared" si="327"/>
        <v>0</v>
      </c>
      <c r="BB799" s="377">
        <f t="shared" si="328"/>
        <v>0</v>
      </c>
      <c r="BC799" s="377">
        <f t="shared" si="329"/>
        <v>0</v>
      </c>
      <c r="BD799" s="377">
        <f t="shared" si="330"/>
        <v>0</v>
      </c>
      <c r="BE799" s="377">
        <f t="shared" si="331"/>
        <v>0</v>
      </c>
      <c r="BF799" s="377">
        <f t="shared" si="332"/>
        <v>0</v>
      </c>
      <c r="BG799" s="328"/>
    </row>
    <row r="800" spans="2:59">
      <c r="B800" s="332">
        <v>785</v>
      </c>
      <c r="C800" s="350">
        <v>6183583.8090775181</v>
      </c>
      <c r="D800" s="350">
        <v>38195.828973700001</v>
      </c>
      <c r="E800" s="350">
        <v>36571.165967771849</v>
      </c>
      <c r="F800" s="350">
        <v>34902.785852252404</v>
      </c>
      <c r="G800" s="350">
        <v>33190.773845675998</v>
      </c>
      <c r="H800" s="348">
        <v>6326444.363716919</v>
      </c>
      <c r="I800" s="369"/>
      <c r="J800" s="350">
        <v>7857936.2737730648</v>
      </c>
      <c r="K800" s="350">
        <v>1733233.152921682</v>
      </c>
      <c r="L800" s="350">
        <v>1750973.6006571651</v>
      </c>
      <c r="M800" s="350">
        <v>1767303.2329810676</v>
      </c>
      <c r="N800" s="350">
        <v>1782174.9006956876</v>
      </c>
      <c r="O800" s="348">
        <v>14891621.161028666</v>
      </c>
      <c r="P800" s="369"/>
      <c r="Q800" s="350">
        <f t="shared" si="333"/>
        <v>1674352.4646955468</v>
      </c>
      <c r="R800" s="350">
        <f t="shared" si="334"/>
        <v>1695037.3239479819</v>
      </c>
      <c r="S800" s="350">
        <f t="shared" si="335"/>
        <v>1714402.4346893933</v>
      </c>
      <c r="T800" s="350">
        <f t="shared" si="336"/>
        <v>1732400.4471288151</v>
      </c>
      <c r="U800" s="350">
        <f t="shared" si="337"/>
        <v>1748984.1268500115</v>
      </c>
      <c r="V800" s="350">
        <f t="shared" si="338"/>
        <v>8565176.7973117474</v>
      </c>
      <c r="W800" s="365"/>
      <c r="X800" s="377">
        <f t="shared" si="316"/>
        <v>0</v>
      </c>
      <c r="Y800" s="377">
        <f t="shared" si="317"/>
        <v>0</v>
      </c>
      <c r="Z800" s="377">
        <f t="shared" si="318"/>
        <v>0</v>
      </c>
      <c r="AA800" s="377">
        <f t="shared" si="319"/>
        <v>0</v>
      </c>
      <c r="AB800" s="377">
        <f t="shared" si="320"/>
        <v>0</v>
      </c>
      <c r="AC800" s="377">
        <f t="shared" si="321"/>
        <v>0</v>
      </c>
      <c r="AD800" s="376"/>
      <c r="AE800" s="332">
        <v>785</v>
      </c>
      <c r="AF800" s="350">
        <v>5833243.4956375416</v>
      </c>
      <c r="AG800" s="350">
        <v>36031.786388054505</v>
      </c>
      <c r="AH800" s="350">
        <v>34499.171127304609</v>
      </c>
      <c r="AI800" s="350">
        <v>32925.315616066961</v>
      </c>
      <c r="AJ800" s="350">
        <v>31310.300244697246</v>
      </c>
      <c r="AK800" s="348">
        <v>5968010.0690136645</v>
      </c>
      <c r="AL800" s="369"/>
      <c r="AM800" s="350">
        <v>8447764.9797833897</v>
      </c>
      <c r="AN800" s="350">
        <v>2682852.9267008938</v>
      </c>
      <c r="AO800" s="350">
        <v>2711559.1644557752</v>
      </c>
      <c r="AP800" s="350">
        <v>2738089.4215414883</v>
      </c>
      <c r="AQ800" s="350">
        <v>2762370.0212401203</v>
      </c>
      <c r="AR800" s="348">
        <v>19342636.513721667</v>
      </c>
      <c r="AS800" s="369"/>
      <c r="AT800" s="350">
        <f t="shared" si="339"/>
        <v>2614521.4841458481</v>
      </c>
      <c r="AU800" s="350">
        <f t="shared" si="322"/>
        <v>2646821.1403128393</v>
      </c>
      <c r="AV800" s="350">
        <f t="shared" si="323"/>
        <v>2677059.9933284707</v>
      </c>
      <c r="AW800" s="350">
        <f t="shared" si="324"/>
        <v>2705164.1059254212</v>
      </c>
      <c r="AX800" s="350">
        <f t="shared" si="325"/>
        <v>2731059.7209954229</v>
      </c>
      <c r="AY800" s="350">
        <f t="shared" si="326"/>
        <v>13374626.444708003</v>
      </c>
      <c r="AZ800" s="365"/>
      <c r="BA800" s="377">
        <f t="shared" si="327"/>
        <v>0</v>
      </c>
      <c r="BB800" s="377">
        <f t="shared" si="328"/>
        <v>0</v>
      </c>
      <c r="BC800" s="377">
        <f t="shared" si="329"/>
        <v>0</v>
      </c>
      <c r="BD800" s="377">
        <f t="shared" si="330"/>
        <v>0</v>
      </c>
      <c r="BE800" s="377">
        <f t="shared" si="331"/>
        <v>0</v>
      </c>
      <c r="BF800" s="377">
        <f t="shared" si="332"/>
        <v>0</v>
      </c>
      <c r="BG800" s="328"/>
    </row>
    <row r="801" spans="2:59">
      <c r="B801" s="332">
        <v>786</v>
      </c>
      <c r="C801" s="350">
        <v>4692649.797427089</v>
      </c>
      <c r="D801" s="350">
        <v>28986.370142320924</v>
      </c>
      <c r="E801" s="350">
        <v>27753.432292517504</v>
      </c>
      <c r="F801" s="350">
        <v>26487.318036957062</v>
      </c>
      <c r="G801" s="350">
        <v>25188.092046995855</v>
      </c>
      <c r="H801" s="348">
        <v>4801065.0099458797</v>
      </c>
      <c r="I801" s="369"/>
      <c r="J801" s="350">
        <v>6147148.048912026</v>
      </c>
      <c r="K801" s="350">
        <v>1501453.4138912875</v>
      </c>
      <c r="L801" s="350">
        <v>1517042.8120233619</v>
      </c>
      <c r="M801" s="350">
        <v>1531411.4450359659</v>
      </c>
      <c r="N801" s="350">
        <v>1544518.3453941105</v>
      </c>
      <c r="O801" s="348">
        <v>12241574.065256752</v>
      </c>
      <c r="P801" s="369"/>
      <c r="Q801" s="350">
        <f t="shared" si="333"/>
        <v>1454498.251484937</v>
      </c>
      <c r="R801" s="350">
        <f t="shared" si="334"/>
        <v>1472467.0437489667</v>
      </c>
      <c r="S801" s="350">
        <f t="shared" si="335"/>
        <v>1489289.3797308444</v>
      </c>
      <c r="T801" s="350">
        <f t="shared" si="336"/>
        <v>1504924.1269990089</v>
      </c>
      <c r="U801" s="350">
        <f t="shared" si="337"/>
        <v>1519330.2533471147</v>
      </c>
      <c r="V801" s="350">
        <f t="shared" si="338"/>
        <v>7440509.0553108724</v>
      </c>
      <c r="W801" s="365"/>
      <c r="X801" s="377">
        <f t="shared" si="316"/>
        <v>0</v>
      </c>
      <c r="Y801" s="377">
        <f t="shared" si="317"/>
        <v>0</v>
      </c>
      <c r="Z801" s="377">
        <f t="shared" si="318"/>
        <v>0</v>
      </c>
      <c r="AA801" s="377">
        <f t="shared" si="319"/>
        <v>0</v>
      </c>
      <c r="AB801" s="377">
        <f t="shared" si="320"/>
        <v>0</v>
      </c>
      <c r="AC801" s="377">
        <f t="shared" si="321"/>
        <v>0</v>
      </c>
      <c r="AD801" s="376"/>
      <c r="AE801" s="332">
        <v>786</v>
      </c>
      <c r="AF801" s="350">
        <v>7503739.4449185794</v>
      </c>
      <c r="AG801" s="350">
        <v>46350.394423467253</v>
      </c>
      <c r="AH801" s="350">
        <v>44378.87624587294</v>
      </c>
      <c r="AI801" s="350">
        <v>42354.307635100624</v>
      </c>
      <c r="AJ801" s="350">
        <v>40276.792003296126</v>
      </c>
      <c r="AK801" s="348">
        <v>7677099.8152263165</v>
      </c>
      <c r="AL801" s="369"/>
      <c r="AM801" s="350">
        <v>10020902.125889469</v>
      </c>
      <c r="AN801" s="350">
        <v>2594609.9662039233</v>
      </c>
      <c r="AO801" s="350">
        <v>2621751.2752828114</v>
      </c>
      <c r="AP801" s="350">
        <v>2646784.2863629451</v>
      </c>
      <c r="AQ801" s="350">
        <v>2669638.0922942827</v>
      </c>
      <c r="AR801" s="348">
        <v>20553685.746033434</v>
      </c>
      <c r="AS801" s="369"/>
      <c r="AT801" s="350">
        <f t="shared" si="339"/>
        <v>2517162.6809708895</v>
      </c>
      <c r="AU801" s="350">
        <f t="shared" si="322"/>
        <v>2548259.5717804562</v>
      </c>
      <c r="AV801" s="350">
        <f t="shared" si="323"/>
        <v>2577372.3990369383</v>
      </c>
      <c r="AW801" s="350">
        <f t="shared" si="324"/>
        <v>2604429.9787278445</v>
      </c>
      <c r="AX801" s="350">
        <f t="shared" si="325"/>
        <v>2629361.3002909864</v>
      </c>
      <c r="AY801" s="350">
        <f t="shared" si="326"/>
        <v>12876585.930807117</v>
      </c>
      <c r="AZ801" s="365"/>
      <c r="BA801" s="377">
        <f t="shared" si="327"/>
        <v>0</v>
      </c>
      <c r="BB801" s="377">
        <f t="shared" si="328"/>
        <v>0</v>
      </c>
      <c r="BC801" s="377">
        <f t="shared" si="329"/>
        <v>0</v>
      </c>
      <c r="BD801" s="377">
        <f t="shared" si="330"/>
        <v>0</v>
      </c>
      <c r="BE801" s="377">
        <f t="shared" si="331"/>
        <v>0</v>
      </c>
      <c r="BF801" s="377">
        <f t="shared" si="332"/>
        <v>0</v>
      </c>
      <c r="BG801" s="328"/>
    </row>
    <row r="802" spans="2:59">
      <c r="B802" s="332">
        <v>787</v>
      </c>
      <c r="C802" s="350">
        <v>5881191.9611533545</v>
      </c>
      <c r="D802" s="350">
        <v>36327.962755180553</v>
      </c>
      <c r="E802" s="350">
        <v>34782.749606130368</v>
      </c>
      <c r="F802" s="350">
        <v>33195.957217364645</v>
      </c>
      <c r="G802" s="350">
        <v>31567.666640029551</v>
      </c>
      <c r="H802" s="348">
        <v>6017066.2973720599</v>
      </c>
      <c r="I802" s="369"/>
      <c r="J802" s="350">
        <v>7928710.8442550823</v>
      </c>
      <c r="K802" s="350">
        <v>2109141.7827394856</v>
      </c>
      <c r="L802" s="350">
        <v>2131277.6228647251</v>
      </c>
      <c r="M802" s="350">
        <v>2151700.0974045442</v>
      </c>
      <c r="N802" s="350">
        <v>2170351.5257611987</v>
      </c>
      <c r="O802" s="348">
        <v>16491181.873025037</v>
      </c>
      <c r="P802" s="369"/>
      <c r="Q802" s="350">
        <f t="shared" si="333"/>
        <v>2047518.8831017278</v>
      </c>
      <c r="R802" s="350">
        <f t="shared" si="334"/>
        <v>2072813.819984305</v>
      </c>
      <c r="S802" s="350">
        <f t="shared" si="335"/>
        <v>2096494.8732585947</v>
      </c>
      <c r="T802" s="350">
        <f t="shared" si="336"/>
        <v>2118504.1401871797</v>
      </c>
      <c r="U802" s="350">
        <f t="shared" si="337"/>
        <v>2138783.859121169</v>
      </c>
      <c r="V802" s="350">
        <f t="shared" si="338"/>
        <v>10474115.575652977</v>
      </c>
      <c r="W802" s="365"/>
      <c r="X802" s="377">
        <f t="shared" si="316"/>
        <v>0</v>
      </c>
      <c r="Y802" s="377">
        <f t="shared" si="317"/>
        <v>0</v>
      </c>
      <c r="Z802" s="377">
        <f t="shared" si="318"/>
        <v>0</v>
      </c>
      <c r="AA802" s="377">
        <f t="shared" si="319"/>
        <v>0</v>
      </c>
      <c r="AB802" s="377">
        <f t="shared" si="320"/>
        <v>0</v>
      </c>
      <c r="AC802" s="377">
        <f t="shared" si="321"/>
        <v>0</v>
      </c>
      <c r="AD802" s="376"/>
      <c r="AE802" s="332">
        <v>787</v>
      </c>
      <c r="AF802" s="350">
        <v>5959066.2360988464</v>
      </c>
      <c r="AG802" s="350">
        <v>36808.990033069145</v>
      </c>
      <c r="AH802" s="350">
        <v>35243.316345675936</v>
      </c>
      <c r="AI802" s="350">
        <v>33635.512857869755</v>
      </c>
      <c r="AJ802" s="350">
        <v>31985.661694018105</v>
      </c>
      <c r="AK802" s="348">
        <v>6096739.7170294793</v>
      </c>
      <c r="AL802" s="369"/>
      <c r="AM802" s="350">
        <v>7729656.5588249136</v>
      </c>
      <c r="AN802" s="350">
        <v>1829273.0892736712</v>
      </c>
      <c r="AO802" s="350">
        <v>1848185.5875364679</v>
      </c>
      <c r="AP802" s="350">
        <v>1865610.2800884584</v>
      </c>
      <c r="AQ802" s="350">
        <v>1881497.2997141643</v>
      </c>
      <c r="AR802" s="348">
        <v>15154222.815437675</v>
      </c>
      <c r="AS802" s="369"/>
      <c r="AT802" s="350">
        <f t="shared" si="339"/>
        <v>1770590.3227260672</v>
      </c>
      <c r="AU802" s="350">
        <f t="shared" si="322"/>
        <v>1792464.099240602</v>
      </c>
      <c r="AV802" s="350">
        <f t="shared" si="323"/>
        <v>1812942.2711907921</v>
      </c>
      <c r="AW802" s="350">
        <f t="shared" si="324"/>
        <v>1831974.7672305887</v>
      </c>
      <c r="AX802" s="350">
        <f t="shared" si="325"/>
        <v>1849511.6380201462</v>
      </c>
      <c r="AY802" s="350">
        <f t="shared" si="326"/>
        <v>9057483.0984081961</v>
      </c>
      <c r="AZ802" s="365"/>
      <c r="BA802" s="377">
        <f t="shared" si="327"/>
        <v>0</v>
      </c>
      <c r="BB802" s="377">
        <f t="shared" si="328"/>
        <v>0</v>
      </c>
      <c r="BC802" s="377">
        <f t="shared" si="329"/>
        <v>0</v>
      </c>
      <c r="BD802" s="377">
        <f t="shared" si="330"/>
        <v>0</v>
      </c>
      <c r="BE802" s="377">
        <f t="shared" si="331"/>
        <v>0</v>
      </c>
      <c r="BF802" s="377">
        <f t="shared" si="332"/>
        <v>0</v>
      </c>
      <c r="BG802" s="328"/>
    </row>
    <row r="803" spans="2:59">
      <c r="B803" s="332">
        <v>788</v>
      </c>
      <c r="C803" s="350">
        <v>6934327.5749005275</v>
      </c>
      <c r="D803" s="350">
        <v>42833.152792348497</v>
      </c>
      <c r="E803" s="350">
        <v>41011.240802511631</v>
      </c>
      <c r="F803" s="350">
        <v>39140.304045176381</v>
      </c>
      <c r="G803" s="350">
        <v>37220.43808518914</v>
      </c>
      <c r="H803" s="348">
        <v>7094532.7106257528</v>
      </c>
      <c r="I803" s="369"/>
      <c r="J803" s="350">
        <v>9272311.0720784813</v>
      </c>
      <c r="K803" s="350">
        <v>2409699.9708918845</v>
      </c>
      <c r="L803" s="350">
        <v>2434918.5478606699</v>
      </c>
      <c r="M803" s="350">
        <v>2458179.1511778594</v>
      </c>
      <c r="N803" s="350">
        <v>2479415.9205907481</v>
      </c>
      <c r="O803" s="348">
        <v>19054524.662599646</v>
      </c>
      <c r="P803" s="369"/>
      <c r="Q803" s="350">
        <f t="shared" si="333"/>
        <v>2337983.4971779538</v>
      </c>
      <c r="R803" s="350">
        <f t="shared" si="334"/>
        <v>2366866.818099536</v>
      </c>
      <c r="S803" s="350">
        <f t="shared" si="335"/>
        <v>2393907.3070581583</v>
      </c>
      <c r="T803" s="350">
        <f t="shared" si="336"/>
        <v>2419038.8471326828</v>
      </c>
      <c r="U803" s="350">
        <f t="shared" si="337"/>
        <v>2442195.482505559</v>
      </c>
      <c r="V803" s="350">
        <f t="shared" si="338"/>
        <v>11959991.951973893</v>
      </c>
      <c r="W803" s="365"/>
      <c r="X803" s="377">
        <f t="shared" si="316"/>
        <v>0</v>
      </c>
      <c r="Y803" s="377">
        <f t="shared" si="317"/>
        <v>0</v>
      </c>
      <c r="Z803" s="377">
        <f t="shared" si="318"/>
        <v>0</v>
      </c>
      <c r="AA803" s="377">
        <f t="shared" si="319"/>
        <v>0</v>
      </c>
      <c r="AB803" s="377">
        <f t="shared" si="320"/>
        <v>0</v>
      </c>
      <c r="AC803" s="377">
        <f t="shared" si="321"/>
        <v>0</v>
      </c>
      <c r="AD803" s="376"/>
      <c r="AE803" s="332">
        <v>788</v>
      </c>
      <c r="AF803" s="350">
        <v>4141097.9116288722</v>
      </c>
      <c r="AG803" s="350">
        <v>25579.449147875268</v>
      </c>
      <c r="AH803" s="350">
        <v>24491.424987667269</v>
      </c>
      <c r="AI803" s="350">
        <v>23374.123819687629</v>
      </c>
      <c r="AJ803" s="350">
        <v>22227.602714124572</v>
      </c>
      <c r="AK803" s="348">
        <v>4236770.5122982264</v>
      </c>
      <c r="AL803" s="369"/>
      <c r="AM803" s="350">
        <v>5483313.7944142185</v>
      </c>
      <c r="AN803" s="350">
        <v>1384376.9939232776</v>
      </c>
      <c r="AO803" s="350">
        <v>1398812.6780366118</v>
      </c>
      <c r="AP803" s="350">
        <v>1412123.1742793475</v>
      </c>
      <c r="AQ803" s="350">
        <v>1424270.6750635309</v>
      </c>
      <c r="AR803" s="348">
        <v>11102897.315716986</v>
      </c>
      <c r="AS803" s="369"/>
      <c r="AT803" s="350">
        <f t="shared" si="339"/>
        <v>1342215.8827853464</v>
      </c>
      <c r="AU803" s="350">
        <f t="shared" si="322"/>
        <v>1358797.5447754024</v>
      </c>
      <c r="AV803" s="350">
        <f t="shared" si="323"/>
        <v>1374321.2530489445</v>
      </c>
      <c r="AW803" s="350">
        <f t="shared" si="324"/>
        <v>1388749.0504596599</v>
      </c>
      <c r="AX803" s="350">
        <f t="shared" si="325"/>
        <v>1402043.0723494063</v>
      </c>
      <c r="AY803" s="350">
        <f t="shared" si="326"/>
        <v>6866126.8034187593</v>
      </c>
      <c r="AZ803" s="365"/>
      <c r="BA803" s="377">
        <f t="shared" si="327"/>
        <v>0</v>
      </c>
      <c r="BB803" s="377">
        <f t="shared" si="328"/>
        <v>0</v>
      </c>
      <c r="BC803" s="377">
        <f t="shared" si="329"/>
        <v>0</v>
      </c>
      <c r="BD803" s="377">
        <f t="shared" si="330"/>
        <v>0</v>
      </c>
      <c r="BE803" s="377">
        <f t="shared" si="331"/>
        <v>0</v>
      </c>
      <c r="BF803" s="377">
        <f t="shared" si="332"/>
        <v>0</v>
      </c>
      <c r="BG803" s="328"/>
    </row>
    <row r="804" spans="2:59">
      <c r="B804" s="332">
        <v>789</v>
      </c>
      <c r="C804" s="350">
        <v>5570928.6506154295</v>
      </c>
      <c r="D804" s="350">
        <v>34411.474726228247</v>
      </c>
      <c r="E804" s="350">
        <v>32947.779567117082</v>
      </c>
      <c r="F804" s="350">
        <v>31444.698688350149</v>
      </c>
      <c r="G804" s="350">
        <v>29902.308865213872</v>
      </c>
      <c r="H804" s="348">
        <v>5699634.9124623379</v>
      </c>
      <c r="I804" s="369"/>
      <c r="J804" s="350">
        <v>8322059.9211633205</v>
      </c>
      <c r="K804" s="350">
        <v>2819530.0713098003</v>
      </c>
      <c r="L804" s="350">
        <v>2849885.2212515087</v>
      </c>
      <c r="M804" s="350">
        <v>2877954.7040197877</v>
      </c>
      <c r="N804" s="350">
        <v>2903660.9854434384</v>
      </c>
      <c r="O804" s="348">
        <v>19773090.903187856</v>
      </c>
      <c r="P804" s="369"/>
      <c r="Q804" s="350">
        <f t="shared" si="333"/>
        <v>2751131.270547891</v>
      </c>
      <c r="R804" s="350">
        <f t="shared" si="334"/>
        <v>2785118.5965835722</v>
      </c>
      <c r="S804" s="350">
        <f t="shared" si="335"/>
        <v>2816937.4416843918</v>
      </c>
      <c r="T804" s="350">
        <f t="shared" si="336"/>
        <v>2846510.0053314376</v>
      </c>
      <c r="U804" s="350">
        <f t="shared" si="337"/>
        <v>2873758.6765782246</v>
      </c>
      <c r="V804" s="350">
        <f t="shared" si="338"/>
        <v>14073455.990725517</v>
      </c>
      <c r="W804" s="365"/>
      <c r="X804" s="377">
        <f t="shared" si="316"/>
        <v>0</v>
      </c>
      <c r="Y804" s="377">
        <f t="shared" si="317"/>
        <v>0</v>
      </c>
      <c r="Z804" s="377">
        <f t="shared" si="318"/>
        <v>0</v>
      </c>
      <c r="AA804" s="377">
        <f t="shared" si="319"/>
        <v>0</v>
      </c>
      <c r="AB804" s="377">
        <f t="shared" si="320"/>
        <v>0</v>
      </c>
      <c r="AC804" s="377">
        <f t="shared" si="321"/>
        <v>0</v>
      </c>
      <c r="AD804" s="376"/>
      <c r="AE804" s="332">
        <v>789</v>
      </c>
      <c r="AF804" s="350">
        <v>5644589.016093147</v>
      </c>
      <c r="AG804" s="350">
        <v>34866.47279996673</v>
      </c>
      <c r="AH804" s="350">
        <v>33383.424257041006</v>
      </c>
      <c r="AI804" s="350">
        <v>31860.469225543482</v>
      </c>
      <c r="AJ804" s="350">
        <v>30297.685495892194</v>
      </c>
      <c r="AK804" s="348">
        <v>5774997.0678715911</v>
      </c>
      <c r="AL804" s="369"/>
      <c r="AM804" s="350">
        <v>8030860.4922754075</v>
      </c>
      <c r="AN804" s="350">
        <v>2450617.8169692233</v>
      </c>
      <c r="AO804" s="350">
        <v>2476733.7431760645</v>
      </c>
      <c r="AP804" s="350">
        <v>2500861.3871777756</v>
      </c>
      <c r="AQ804" s="350">
        <v>2522933.5087164235</v>
      </c>
      <c r="AR804" s="348">
        <v>17982006.948314894</v>
      </c>
      <c r="AS804" s="369"/>
      <c r="AT804" s="350">
        <f t="shared" si="339"/>
        <v>2386271.4761822606</v>
      </c>
      <c r="AU804" s="350">
        <f t="shared" si="322"/>
        <v>2415751.3441692567</v>
      </c>
      <c r="AV804" s="350">
        <f t="shared" si="323"/>
        <v>2443350.3189190235</v>
      </c>
      <c r="AW804" s="350">
        <f t="shared" si="324"/>
        <v>2469000.9179522321</v>
      </c>
      <c r="AX804" s="350">
        <f t="shared" si="325"/>
        <v>2492635.8232205315</v>
      </c>
      <c r="AY804" s="350">
        <f t="shared" si="326"/>
        <v>12207009.880443303</v>
      </c>
      <c r="AZ804" s="365"/>
      <c r="BA804" s="377">
        <f t="shared" si="327"/>
        <v>0</v>
      </c>
      <c r="BB804" s="377">
        <f t="shared" si="328"/>
        <v>0</v>
      </c>
      <c r="BC804" s="377">
        <f t="shared" si="329"/>
        <v>0</v>
      </c>
      <c r="BD804" s="377">
        <f t="shared" si="330"/>
        <v>0</v>
      </c>
      <c r="BE804" s="377">
        <f t="shared" si="331"/>
        <v>0</v>
      </c>
      <c r="BF804" s="377">
        <f t="shared" si="332"/>
        <v>0</v>
      </c>
      <c r="BG804" s="328"/>
    </row>
    <row r="805" spans="2:59">
      <c r="B805" s="332">
        <v>790</v>
      </c>
      <c r="C805" s="350">
        <v>7277011.1688687028</v>
      </c>
      <c r="D805" s="350">
        <v>44949.900030103934</v>
      </c>
      <c r="E805" s="350">
        <v>43037.952006950516</v>
      </c>
      <c r="F805" s="350">
        <v>41074.556489170471</v>
      </c>
      <c r="G805" s="350">
        <v>39059.813764277795</v>
      </c>
      <c r="H805" s="348">
        <v>7445133.3911592057</v>
      </c>
      <c r="I805" s="369"/>
      <c r="J805" s="350">
        <v>9310969.7529297881</v>
      </c>
      <c r="K805" s="350">
        <v>2104035.8977771946</v>
      </c>
      <c r="L805" s="350">
        <v>2125648.1682530111</v>
      </c>
      <c r="M805" s="350">
        <v>2145548.2767877402</v>
      </c>
      <c r="N805" s="350">
        <v>2163678.9445636021</v>
      </c>
      <c r="O805" s="348">
        <v>17849881.040311333</v>
      </c>
      <c r="P805" s="369"/>
      <c r="Q805" s="350">
        <f t="shared" si="333"/>
        <v>2033958.5840610852</v>
      </c>
      <c r="R805" s="350">
        <f t="shared" si="334"/>
        <v>2059085.9977470906</v>
      </c>
      <c r="S805" s="350">
        <f t="shared" si="335"/>
        <v>2082610.2162460606</v>
      </c>
      <c r="T805" s="350">
        <f t="shared" si="336"/>
        <v>2104473.7202985696</v>
      </c>
      <c r="U805" s="350">
        <f t="shared" si="337"/>
        <v>2124619.1307993243</v>
      </c>
      <c r="V805" s="350">
        <f t="shared" si="338"/>
        <v>10404747.649152126</v>
      </c>
      <c r="W805" s="365"/>
      <c r="X805" s="377">
        <f t="shared" si="316"/>
        <v>0</v>
      </c>
      <c r="Y805" s="377">
        <f t="shared" si="317"/>
        <v>0</v>
      </c>
      <c r="Z805" s="377">
        <f t="shared" si="318"/>
        <v>0</v>
      </c>
      <c r="AA805" s="377">
        <f t="shared" si="319"/>
        <v>0</v>
      </c>
      <c r="AB805" s="377">
        <f t="shared" si="320"/>
        <v>0</v>
      </c>
      <c r="AC805" s="377">
        <f t="shared" si="321"/>
        <v>0</v>
      </c>
      <c r="AD805" s="376"/>
      <c r="AE805" s="332">
        <v>790</v>
      </c>
      <c r="AF805" s="350">
        <v>5851248.5492664594</v>
      </c>
      <c r="AG805" s="350">
        <v>36143.003114521016</v>
      </c>
      <c r="AH805" s="350">
        <v>34605.657240349123</v>
      </c>
      <c r="AI805" s="350">
        <v>33026.943822375411</v>
      </c>
      <c r="AJ805" s="350">
        <v>31406.943499081823</v>
      </c>
      <c r="AK805" s="348">
        <v>5986431.0969427861</v>
      </c>
      <c r="AL805" s="369"/>
      <c r="AM805" s="350">
        <v>7642449.8992437907</v>
      </c>
      <c r="AN805" s="350">
        <v>1849472.7571156661</v>
      </c>
      <c r="AO805" s="350">
        <v>1868651.9647950991</v>
      </c>
      <c r="AP805" s="350">
        <v>1886327.3002456618</v>
      </c>
      <c r="AQ805" s="350">
        <v>1902448.3133174153</v>
      </c>
      <c r="AR805" s="348">
        <v>15149350.234717634</v>
      </c>
      <c r="AS805" s="369"/>
      <c r="AT805" s="350">
        <f t="shared" si="339"/>
        <v>1791201.3499773312</v>
      </c>
      <c r="AU805" s="350">
        <f t="shared" si="322"/>
        <v>1813329.754001145</v>
      </c>
      <c r="AV805" s="350">
        <f t="shared" si="323"/>
        <v>1834046.30755475</v>
      </c>
      <c r="AW805" s="350">
        <f t="shared" si="324"/>
        <v>1853300.3564232863</v>
      </c>
      <c r="AX805" s="350">
        <f t="shared" si="325"/>
        <v>1871041.3698183335</v>
      </c>
      <c r="AY805" s="350">
        <f t="shared" si="326"/>
        <v>9162919.1377748474</v>
      </c>
      <c r="AZ805" s="365"/>
      <c r="BA805" s="377">
        <f t="shared" si="327"/>
        <v>0</v>
      </c>
      <c r="BB805" s="377">
        <f t="shared" si="328"/>
        <v>0</v>
      </c>
      <c r="BC805" s="377">
        <f t="shared" si="329"/>
        <v>0</v>
      </c>
      <c r="BD805" s="377">
        <f t="shared" si="330"/>
        <v>0</v>
      </c>
      <c r="BE805" s="377">
        <f t="shared" si="331"/>
        <v>0</v>
      </c>
      <c r="BF805" s="377">
        <f t="shared" si="332"/>
        <v>0</v>
      </c>
      <c r="BG805" s="328"/>
    </row>
    <row r="806" spans="2:59">
      <c r="B806" s="332">
        <v>791</v>
      </c>
      <c r="C806" s="350">
        <v>9035421.3735998385</v>
      </c>
      <c r="D806" s="350">
        <v>55811.552029859937</v>
      </c>
      <c r="E806" s="350">
        <v>53437.602666208433</v>
      </c>
      <c r="F806" s="350">
        <v>50999.774083221215</v>
      </c>
      <c r="G806" s="350">
        <v>48498.190801795165</v>
      </c>
      <c r="H806" s="348">
        <v>9244168.4931809232</v>
      </c>
      <c r="I806" s="369"/>
      <c r="J806" s="350">
        <v>11823801.028084414</v>
      </c>
      <c r="K806" s="350">
        <v>2878638.6970587005</v>
      </c>
      <c r="L806" s="350">
        <v>2908514.3975965786</v>
      </c>
      <c r="M806" s="350">
        <v>2936049.5243891301</v>
      </c>
      <c r="N806" s="350">
        <v>2961165.5402130848</v>
      </c>
      <c r="O806" s="348">
        <v>23508169.187341906</v>
      </c>
      <c r="P806" s="369"/>
      <c r="Q806" s="350">
        <f t="shared" si="333"/>
        <v>2788379.6544845756</v>
      </c>
      <c r="R806" s="350">
        <f t="shared" si="334"/>
        <v>2822827.1450288408</v>
      </c>
      <c r="S806" s="350">
        <f t="shared" si="335"/>
        <v>2855076.7949303701</v>
      </c>
      <c r="T806" s="350">
        <f t="shared" si="336"/>
        <v>2885049.7503059087</v>
      </c>
      <c r="U806" s="350">
        <f t="shared" si="337"/>
        <v>2912667.3494112897</v>
      </c>
      <c r="V806" s="350">
        <f t="shared" si="338"/>
        <v>14264000.694160983</v>
      </c>
      <c r="W806" s="365"/>
      <c r="X806" s="377">
        <f t="shared" si="316"/>
        <v>0</v>
      </c>
      <c r="Y806" s="377">
        <f t="shared" si="317"/>
        <v>0</v>
      </c>
      <c r="Z806" s="377">
        <f t="shared" si="318"/>
        <v>0</v>
      </c>
      <c r="AA806" s="377">
        <f t="shared" si="319"/>
        <v>0</v>
      </c>
      <c r="AB806" s="377">
        <f t="shared" si="320"/>
        <v>0</v>
      </c>
      <c r="AC806" s="377">
        <f t="shared" si="321"/>
        <v>0</v>
      </c>
      <c r="AD806" s="376"/>
      <c r="AE806" s="332">
        <v>791</v>
      </c>
      <c r="AF806" s="350">
        <v>5144794.4587473115</v>
      </c>
      <c r="AG806" s="350">
        <v>31779.2554153901</v>
      </c>
      <c r="AH806" s="350">
        <v>30427.521940386832</v>
      </c>
      <c r="AI806" s="350">
        <v>29039.415457409614</v>
      </c>
      <c r="AJ806" s="350">
        <v>27615.006869008233</v>
      </c>
      <c r="AK806" s="348">
        <v>5263655.6584295062</v>
      </c>
      <c r="AL806" s="369"/>
      <c r="AM806" s="350">
        <v>7111351.933683672</v>
      </c>
      <c r="AN806" s="350">
        <v>2022631.4744027173</v>
      </c>
      <c r="AO806" s="350">
        <v>2044024.4163078885</v>
      </c>
      <c r="AP806" s="350">
        <v>2063775.3033421319</v>
      </c>
      <c r="AQ806" s="350">
        <v>2081828.7287255614</v>
      </c>
      <c r="AR806" s="348">
        <v>15323611.856461972</v>
      </c>
      <c r="AS806" s="369"/>
      <c r="AT806" s="350">
        <f t="shared" si="339"/>
        <v>1966557.4749363605</v>
      </c>
      <c r="AU806" s="350">
        <f t="shared" si="322"/>
        <v>1990852.2189873273</v>
      </c>
      <c r="AV806" s="350">
        <f t="shared" si="323"/>
        <v>2013596.8943675016</v>
      </c>
      <c r="AW806" s="350">
        <f t="shared" si="324"/>
        <v>2034735.8878847223</v>
      </c>
      <c r="AX806" s="350">
        <f t="shared" si="325"/>
        <v>2054213.7218565531</v>
      </c>
      <c r="AY806" s="350">
        <f t="shared" si="326"/>
        <v>10059956.198032465</v>
      </c>
      <c r="AZ806" s="365"/>
      <c r="BA806" s="377">
        <f t="shared" si="327"/>
        <v>0</v>
      </c>
      <c r="BB806" s="377">
        <f t="shared" si="328"/>
        <v>0</v>
      </c>
      <c r="BC806" s="377">
        <f t="shared" si="329"/>
        <v>0</v>
      </c>
      <c r="BD806" s="377">
        <f t="shared" si="330"/>
        <v>0</v>
      </c>
      <c r="BE806" s="377">
        <f t="shared" si="331"/>
        <v>0</v>
      </c>
      <c r="BF806" s="377">
        <f t="shared" si="332"/>
        <v>0</v>
      </c>
      <c r="BG806" s="328"/>
    </row>
    <row r="807" spans="2:59">
      <c r="B807" s="332">
        <v>792</v>
      </c>
      <c r="C807" s="350">
        <v>5446404.3721787389</v>
      </c>
      <c r="D807" s="350">
        <v>33642.291645819416</v>
      </c>
      <c r="E807" s="350">
        <v>32211.313757913125</v>
      </c>
      <c r="F807" s="350">
        <v>30741.830520332041</v>
      </c>
      <c r="G807" s="350">
        <v>29233.91699223196</v>
      </c>
      <c r="H807" s="348">
        <v>5572233.7250950355</v>
      </c>
      <c r="I807" s="369"/>
      <c r="J807" s="350">
        <v>7035256.0103371758</v>
      </c>
      <c r="K807" s="350">
        <v>1642122.5164974919</v>
      </c>
      <c r="L807" s="350">
        <v>1659067.7697636422</v>
      </c>
      <c r="M807" s="350">
        <v>1674677.2302675592</v>
      </c>
      <c r="N807" s="350">
        <v>1688906.150678128</v>
      </c>
      <c r="O807" s="348">
        <v>13700029.677543998</v>
      </c>
      <c r="P807" s="369"/>
      <c r="Q807" s="350">
        <f t="shared" si="333"/>
        <v>1588851.6381584369</v>
      </c>
      <c r="R807" s="350">
        <f t="shared" si="334"/>
        <v>1608480.2248516725</v>
      </c>
      <c r="S807" s="350">
        <f t="shared" si="335"/>
        <v>1626856.456005729</v>
      </c>
      <c r="T807" s="350">
        <f t="shared" si="336"/>
        <v>1643935.3997472271</v>
      </c>
      <c r="U807" s="350">
        <f t="shared" si="337"/>
        <v>1659672.233685896</v>
      </c>
      <c r="V807" s="350">
        <f t="shared" si="338"/>
        <v>8127795.9524489623</v>
      </c>
      <c r="W807" s="365"/>
      <c r="X807" s="377">
        <f t="shared" si="316"/>
        <v>0</v>
      </c>
      <c r="Y807" s="377">
        <f t="shared" si="317"/>
        <v>0</v>
      </c>
      <c r="Z807" s="377">
        <f t="shared" si="318"/>
        <v>0</v>
      </c>
      <c r="AA807" s="377">
        <f t="shared" si="319"/>
        <v>0</v>
      </c>
      <c r="AB807" s="377">
        <f t="shared" si="320"/>
        <v>0</v>
      </c>
      <c r="AC807" s="377">
        <f t="shared" si="321"/>
        <v>0</v>
      </c>
      <c r="AD807" s="376"/>
      <c r="AE807" s="332">
        <v>792</v>
      </c>
      <c r="AF807" s="350">
        <v>6143573.6814941438</v>
      </c>
      <c r="AG807" s="350">
        <v>37948.687504031113</v>
      </c>
      <c r="AH807" s="350">
        <v>36334.536682650018</v>
      </c>
      <c r="AI807" s="350">
        <v>34676.951617918909</v>
      </c>
      <c r="AJ807" s="350">
        <v>32976.016976978746</v>
      </c>
      <c r="AK807" s="348">
        <v>6285509.8742757225</v>
      </c>
      <c r="AL807" s="369"/>
      <c r="AM807" s="350">
        <v>8015089.4200378098</v>
      </c>
      <c r="AN807" s="350">
        <v>1932585.0296581974</v>
      </c>
      <c r="AO807" s="350">
        <v>1952616.3270297004</v>
      </c>
      <c r="AP807" s="350">
        <v>1971076.1092774787</v>
      </c>
      <c r="AQ807" s="350">
        <v>1987911.6645665849</v>
      </c>
      <c r="AR807" s="348">
        <v>15859278.550569773</v>
      </c>
      <c r="AS807" s="369"/>
      <c r="AT807" s="350">
        <f t="shared" si="339"/>
        <v>1871515.738543666</v>
      </c>
      <c r="AU807" s="350">
        <f t="shared" si="322"/>
        <v>1894636.3421541662</v>
      </c>
      <c r="AV807" s="350">
        <f t="shared" si="323"/>
        <v>1916281.7903470504</v>
      </c>
      <c r="AW807" s="350">
        <f t="shared" si="324"/>
        <v>1936399.1576595597</v>
      </c>
      <c r="AX807" s="350">
        <f t="shared" si="325"/>
        <v>1954935.6475896062</v>
      </c>
      <c r="AY807" s="350">
        <f t="shared" si="326"/>
        <v>9573768.6762940511</v>
      </c>
      <c r="AZ807" s="365"/>
      <c r="BA807" s="377">
        <f t="shared" si="327"/>
        <v>0</v>
      </c>
      <c r="BB807" s="377">
        <f t="shared" si="328"/>
        <v>0</v>
      </c>
      <c r="BC807" s="377">
        <f t="shared" si="329"/>
        <v>0</v>
      </c>
      <c r="BD807" s="377">
        <f t="shared" si="330"/>
        <v>0</v>
      </c>
      <c r="BE807" s="377">
        <f t="shared" si="331"/>
        <v>0</v>
      </c>
      <c r="BF807" s="377">
        <f t="shared" si="332"/>
        <v>0</v>
      </c>
      <c r="BG807" s="328"/>
    </row>
    <row r="808" spans="2:59">
      <c r="B808" s="332">
        <v>793</v>
      </c>
      <c r="C808" s="350">
        <v>4994133.4624276459</v>
      </c>
      <c r="D808" s="350">
        <v>30848.626539626159</v>
      </c>
      <c r="E808" s="350">
        <v>29536.477447194145</v>
      </c>
      <c r="F808" s="350">
        <v>28189.020499858634</v>
      </c>
      <c r="G808" s="350">
        <v>26806.324523849285</v>
      </c>
      <c r="H808" s="348">
        <v>5109513.9114381745</v>
      </c>
      <c r="I808" s="369"/>
      <c r="J808" s="350">
        <v>6821043.4566191165</v>
      </c>
      <c r="K808" s="350">
        <v>1880328.1674027329</v>
      </c>
      <c r="L808" s="350">
        <v>1900145.5684486844</v>
      </c>
      <c r="M808" s="350">
        <v>1918436.0010702808</v>
      </c>
      <c r="N808" s="350">
        <v>1935147.9959445829</v>
      </c>
      <c r="O808" s="348">
        <v>14455101.189485397</v>
      </c>
      <c r="P808" s="369"/>
      <c r="Q808" s="350">
        <f t="shared" si="333"/>
        <v>1826909.9941914706</v>
      </c>
      <c r="R808" s="350">
        <f t="shared" si="334"/>
        <v>1849479.5408631067</v>
      </c>
      <c r="S808" s="350">
        <f t="shared" si="335"/>
        <v>1870609.0910014904</v>
      </c>
      <c r="T808" s="350">
        <f t="shared" si="336"/>
        <v>1890246.9805704223</v>
      </c>
      <c r="U808" s="350">
        <f t="shared" si="337"/>
        <v>1908341.6714207337</v>
      </c>
      <c r="V808" s="350">
        <f t="shared" si="338"/>
        <v>9345587.2780472226</v>
      </c>
      <c r="W808" s="365"/>
      <c r="X808" s="377">
        <f t="shared" si="316"/>
        <v>0</v>
      </c>
      <c r="Y808" s="377">
        <f t="shared" si="317"/>
        <v>0</v>
      </c>
      <c r="Z808" s="377">
        <f t="shared" si="318"/>
        <v>0</v>
      </c>
      <c r="AA808" s="377">
        <f t="shared" si="319"/>
        <v>0</v>
      </c>
      <c r="AB808" s="377">
        <f t="shared" si="320"/>
        <v>0</v>
      </c>
      <c r="AC808" s="377">
        <f t="shared" si="321"/>
        <v>0</v>
      </c>
      <c r="AD808" s="376"/>
      <c r="AE808" s="332">
        <v>793</v>
      </c>
      <c r="AF808" s="350">
        <v>5139303.5970436167</v>
      </c>
      <c r="AG808" s="350">
        <v>31745.338512017686</v>
      </c>
      <c r="AH808" s="350">
        <v>30395.047695535988</v>
      </c>
      <c r="AI808" s="350">
        <v>29008.42269073748</v>
      </c>
      <c r="AJ808" s="350">
        <v>27585.534324501456</v>
      </c>
      <c r="AK808" s="348">
        <v>5258037.940266409</v>
      </c>
      <c r="AL808" s="369"/>
      <c r="AM808" s="350">
        <v>7958463.775895508</v>
      </c>
      <c r="AN808" s="350">
        <v>2885733.2688315324</v>
      </c>
      <c r="AO808" s="350">
        <v>2916988.6271912968</v>
      </c>
      <c r="AP808" s="350">
        <v>2945905.8247313653</v>
      </c>
      <c r="AQ808" s="350">
        <v>2972405.4021987095</v>
      </c>
      <c r="AR808" s="348">
        <v>19679496.898848411</v>
      </c>
      <c r="AS808" s="369"/>
      <c r="AT808" s="350">
        <f t="shared" si="339"/>
        <v>2819160.1788518913</v>
      </c>
      <c r="AU808" s="350">
        <f t="shared" si="322"/>
        <v>2853987.9303195146</v>
      </c>
      <c r="AV808" s="350">
        <f t="shared" si="323"/>
        <v>2886593.5794957606</v>
      </c>
      <c r="AW808" s="350">
        <f t="shared" si="324"/>
        <v>2916897.4020406278</v>
      </c>
      <c r="AX808" s="350">
        <f t="shared" si="325"/>
        <v>2944819.8678742079</v>
      </c>
      <c r="AY808" s="350">
        <f t="shared" si="326"/>
        <v>14421458.958582003</v>
      </c>
      <c r="AZ808" s="365"/>
      <c r="BA808" s="377">
        <f t="shared" si="327"/>
        <v>0</v>
      </c>
      <c r="BB808" s="377">
        <f t="shared" si="328"/>
        <v>0</v>
      </c>
      <c r="BC808" s="377">
        <f t="shared" si="329"/>
        <v>0</v>
      </c>
      <c r="BD808" s="377">
        <f t="shared" si="330"/>
        <v>0</v>
      </c>
      <c r="BE808" s="377">
        <f t="shared" si="331"/>
        <v>0</v>
      </c>
      <c r="BF808" s="377">
        <f t="shared" si="332"/>
        <v>0</v>
      </c>
      <c r="BG808" s="328"/>
    </row>
    <row r="809" spans="2:59">
      <c r="B809" s="332">
        <v>794</v>
      </c>
      <c r="C809" s="350">
        <v>5326690.5708550988</v>
      </c>
      <c r="D809" s="350">
        <v>32902.822751673782</v>
      </c>
      <c r="E809" s="350">
        <v>31503.298239402593</v>
      </c>
      <c r="F809" s="350">
        <v>30066.114738000397</v>
      </c>
      <c r="G809" s="350">
        <v>28591.345656802892</v>
      </c>
      <c r="H809" s="348">
        <v>5449754.1522409786</v>
      </c>
      <c r="I809" s="369"/>
      <c r="J809" s="350">
        <v>7098285.7447497165</v>
      </c>
      <c r="K809" s="350">
        <v>1826384.1870374926</v>
      </c>
      <c r="L809" s="350">
        <v>1845474.456314045</v>
      </c>
      <c r="M809" s="350">
        <v>1863080.5702363844</v>
      </c>
      <c r="N809" s="350">
        <v>1879152.6245265901</v>
      </c>
      <c r="O809" s="348">
        <v>14512377.582864229</v>
      </c>
      <c r="P809" s="369"/>
      <c r="Q809" s="350">
        <f t="shared" si="333"/>
        <v>1771595.1738946177</v>
      </c>
      <c r="R809" s="350">
        <f t="shared" si="334"/>
        <v>1793481.3642858188</v>
      </c>
      <c r="S809" s="350">
        <f t="shared" si="335"/>
        <v>1813971.1580746423</v>
      </c>
      <c r="T809" s="350">
        <f t="shared" si="336"/>
        <v>1833014.4554983841</v>
      </c>
      <c r="U809" s="350">
        <f t="shared" si="337"/>
        <v>1850561.2788697872</v>
      </c>
      <c r="V809" s="350">
        <f t="shared" si="338"/>
        <v>9062623.4306232501</v>
      </c>
      <c r="W809" s="365"/>
      <c r="X809" s="377">
        <f t="shared" si="316"/>
        <v>0</v>
      </c>
      <c r="Y809" s="377">
        <f t="shared" si="317"/>
        <v>0</v>
      </c>
      <c r="Z809" s="377">
        <f t="shared" si="318"/>
        <v>0</v>
      </c>
      <c r="AA809" s="377">
        <f t="shared" si="319"/>
        <v>0</v>
      </c>
      <c r="AB809" s="377">
        <f t="shared" si="320"/>
        <v>0</v>
      </c>
      <c r="AC809" s="377">
        <f t="shared" si="321"/>
        <v>0</v>
      </c>
      <c r="AD809" s="376"/>
      <c r="AE809" s="332">
        <v>794</v>
      </c>
      <c r="AF809" s="350">
        <v>5584862.4083421025</v>
      </c>
      <c r="AG809" s="350">
        <v>34497.543168659518</v>
      </c>
      <c r="AH809" s="350">
        <v>33030.187080642485</v>
      </c>
      <c r="AI809" s="350">
        <v>31523.346763166686</v>
      </c>
      <c r="AJ809" s="350">
        <v>29977.099183547532</v>
      </c>
      <c r="AK809" s="348">
        <v>5713890.584538118</v>
      </c>
      <c r="AL809" s="369"/>
      <c r="AM809" s="350">
        <v>7182597.5416894741</v>
      </c>
      <c r="AN809" s="350">
        <v>1651971.0094255062</v>
      </c>
      <c r="AO809" s="350">
        <v>1668982.6286100829</v>
      </c>
      <c r="AP809" s="350">
        <v>1684650.2228344476</v>
      </c>
      <c r="AQ809" s="350">
        <v>1698928.7960673056</v>
      </c>
      <c r="AR809" s="348">
        <v>13887130.198626814</v>
      </c>
      <c r="AS809" s="369"/>
      <c r="AT809" s="350">
        <f t="shared" si="339"/>
        <v>1597735.1333473716</v>
      </c>
      <c r="AU809" s="350">
        <f t="shared" si="322"/>
        <v>1617473.4662568467</v>
      </c>
      <c r="AV809" s="350">
        <f t="shared" si="323"/>
        <v>1635952.4415294405</v>
      </c>
      <c r="AW809" s="350">
        <f t="shared" si="324"/>
        <v>1653126.876071281</v>
      </c>
      <c r="AX809" s="350">
        <f t="shared" si="325"/>
        <v>1668951.6968837581</v>
      </c>
      <c r="AY809" s="350">
        <f t="shared" si="326"/>
        <v>8173239.6140886964</v>
      </c>
      <c r="AZ809" s="365"/>
      <c r="BA809" s="377">
        <f t="shared" si="327"/>
        <v>0</v>
      </c>
      <c r="BB809" s="377">
        <f t="shared" si="328"/>
        <v>0</v>
      </c>
      <c r="BC809" s="377">
        <f t="shared" si="329"/>
        <v>0</v>
      </c>
      <c r="BD809" s="377">
        <f t="shared" si="330"/>
        <v>0</v>
      </c>
      <c r="BE809" s="377">
        <f t="shared" si="331"/>
        <v>0</v>
      </c>
      <c r="BF809" s="377">
        <f t="shared" si="332"/>
        <v>0</v>
      </c>
      <c r="BG809" s="328"/>
    </row>
    <row r="810" spans="2:59">
      <c r="B810" s="332">
        <v>795</v>
      </c>
      <c r="C810" s="350">
        <v>6917954.8708831556</v>
      </c>
      <c r="D810" s="350">
        <v>42732.019045026886</v>
      </c>
      <c r="E810" s="350">
        <v>40914.408788190565</v>
      </c>
      <c r="F810" s="350">
        <v>39047.889516678079</v>
      </c>
      <c r="G810" s="350">
        <v>37132.556569703207</v>
      </c>
      <c r="H810" s="348">
        <v>7077781.7448027534</v>
      </c>
      <c r="I810" s="369"/>
      <c r="J810" s="350">
        <v>9297809.5448858589</v>
      </c>
      <c r="K810" s="350">
        <v>2451987.2882097224</v>
      </c>
      <c r="L810" s="350">
        <v>2477694.4376927111</v>
      </c>
      <c r="M810" s="350">
        <v>2501409.5417232579</v>
      </c>
      <c r="N810" s="350">
        <v>2523065.5586138018</v>
      </c>
      <c r="O810" s="348">
        <v>19251966.371125352</v>
      </c>
      <c r="P810" s="369"/>
      <c r="Q810" s="350">
        <f t="shared" si="333"/>
        <v>2379854.6740027033</v>
      </c>
      <c r="R810" s="350">
        <f t="shared" si="334"/>
        <v>2409255.2691646954</v>
      </c>
      <c r="S810" s="350">
        <f t="shared" si="335"/>
        <v>2436780.0289045204</v>
      </c>
      <c r="T810" s="350">
        <f t="shared" si="336"/>
        <v>2462361.6522065797</v>
      </c>
      <c r="U810" s="350">
        <f t="shared" si="337"/>
        <v>2485933.0020440985</v>
      </c>
      <c r="V810" s="350">
        <f t="shared" si="338"/>
        <v>12174184.626322597</v>
      </c>
      <c r="W810" s="365"/>
      <c r="X810" s="377">
        <f t="shared" si="316"/>
        <v>0</v>
      </c>
      <c r="Y810" s="377">
        <f t="shared" si="317"/>
        <v>0</v>
      </c>
      <c r="Z810" s="377">
        <f t="shared" si="318"/>
        <v>0</v>
      </c>
      <c r="AA810" s="377">
        <f t="shared" si="319"/>
        <v>0</v>
      </c>
      <c r="AB810" s="377">
        <f t="shared" si="320"/>
        <v>0</v>
      </c>
      <c r="AC810" s="377">
        <f t="shared" si="321"/>
        <v>0</v>
      </c>
      <c r="AD810" s="376"/>
      <c r="AE810" s="332">
        <v>795</v>
      </c>
      <c r="AF810" s="350">
        <v>5796257.7883567391</v>
      </c>
      <c r="AG810" s="350">
        <v>35803.326680321799</v>
      </c>
      <c r="AH810" s="350">
        <v>34280.428973697752</v>
      </c>
      <c r="AI810" s="350">
        <v>32716.552500586848</v>
      </c>
      <c r="AJ810" s="350">
        <v>31111.777141626124</v>
      </c>
      <c r="AK810" s="348">
        <v>5930169.8736529723</v>
      </c>
      <c r="AL810" s="369"/>
      <c r="AM810" s="350">
        <v>7556448.1896496024</v>
      </c>
      <c r="AN810" s="350">
        <v>1817739.0244241639</v>
      </c>
      <c r="AO810" s="350">
        <v>1836574.0159706855</v>
      </c>
      <c r="AP810" s="350">
        <v>1853930.8443110506</v>
      </c>
      <c r="AQ810" s="350">
        <v>1869759.9333736256</v>
      </c>
      <c r="AR810" s="348">
        <v>14934452.007729128</v>
      </c>
      <c r="AS810" s="369"/>
      <c r="AT810" s="350">
        <f t="shared" si="339"/>
        <v>1760190.4012928633</v>
      </c>
      <c r="AU810" s="350">
        <f t="shared" si="322"/>
        <v>1781935.6977438421</v>
      </c>
      <c r="AV810" s="350">
        <f t="shared" si="323"/>
        <v>1802293.5869969877</v>
      </c>
      <c r="AW810" s="350">
        <f t="shared" si="324"/>
        <v>1821214.2918104636</v>
      </c>
      <c r="AX810" s="350">
        <f t="shared" si="325"/>
        <v>1838648.1562319994</v>
      </c>
      <c r="AY810" s="350">
        <f t="shared" si="326"/>
        <v>9004282.1340761557</v>
      </c>
      <c r="AZ810" s="365"/>
      <c r="BA810" s="377">
        <f t="shared" si="327"/>
        <v>0</v>
      </c>
      <c r="BB810" s="377">
        <f t="shared" si="328"/>
        <v>0</v>
      </c>
      <c r="BC810" s="377">
        <f t="shared" si="329"/>
        <v>0</v>
      </c>
      <c r="BD810" s="377">
        <f t="shared" si="330"/>
        <v>0</v>
      </c>
      <c r="BE810" s="377">
        <f t="shared" si="331"/>
        <v>0</v>
      </c>
      <c r="BF810" s="377">
        <f t="shared" si="332"/>
        <v>0</v>
      </c>
      <c r="BG810" s="328"/>
    </row>
    <row r="811" spans="2:59">
      <c r="B811" s="332">
        <v>796</v>
      </c>
      <c r="C811" s="350">
        <v>5418407.4026205251</v>
      </c>
      <c r="D811" s="350">
        <v>33469.355126473092</v>
      </c>
      <c r="E811" s="350">
        <v>32045.733108904573</v>
      </c>
      <c r="F811" s="350">
        <v>30583.803676486234</v>
      </c>
      <c r="G811" s="350">
        <v>29083.641502538394</v>
      </c>
      <c r="H811" s="348">
        <v>5543589.9360349271</v>
      </c>
      <c r="I811" s="369"/>
      <c r="J811" s="350">
        <v>7160662.396722056</v>
      </c>
      <c r="K811" s="350">
        <v>1797248.0726343521</v>
      </c>
      <c r="L811" s="350">
        <v>1815974.9037692419</v>
      </c>
      <c r="M811" s="350">
        <v>1833240.8871972663</v>
      </c>
      <c r="N811" s="350">
        <v>1848996.9476073049</v>
      </c>
      <c r="O811" s="348">
        <v>14456123.207930222</v>
      </c>
      <c r="P811" s="369"/>
      <c r="Q811" s="350">
        <f t="shared" si="333"/>
        <v>1742254.9941015309</v>
      </c>
      <c r="R811" s="350">
        <f t="shared" si="334"/>
        <v>1763778.717507879</v>
      </c>
      <c r="S811" s="350">
        <f t="shared" si="335"/>
        <v>1783929.1706603372</v>
      </c>
      <c r="T811" s="350">
        <f t="shared" si="336"/>
        <v>1802657.0835207801</v>
      </c>
      <c r="U811" s="350">
        <f t="shared" si="337"/>
        <v>1819913.3061047664</v>
      </c>
      <c r="V811" s="350">
        <f t="shared" si="338"/>
        <v>8912533.271895295</v>
      </c>
      <c r="W811" s="365"/>
      <c r="X811" s="377">
        <f t="shared" si="316"/>
        <v>0</v>
      </c>
      <c r="Y811" s="377">
        <f t="shared" si="317"/>
        <v>0</v>
      </c>
      <c r="Z811" s="377">
        <f t="shared" si="318"/>
        <v>0</v>
      </c>
      <c r="AA811" s="377">
        <f t="shared" si="319"/>
        <v>0</v>
      </c>
      <c r="AB811" s="377">
        <f t="shared" si="320"/>
        <v>0</v>
      </c>
      <c r="AC811" s="377">
        <f t="shared" si="321"/>
        <v>0</v>
      </c>
      <c r="AD811" s="376"/>
      <c r="AE811" s="332">
        <v>796</v>
      </c>
      <c r="AF811" s="350">
        <v>4745479.5920466827</v>
      </c>
      <c r="AG811" s="350">
        <v>29312.698346534235</v>
      </c>
      <c r="AH811" s="350">
        <v>28065.880097338053</v>
      </c>
      <c r="AI811" s="350">
        <v>26785.511942814566</v>
      </c>
      <c r="AJ811" s="350">
        <v>25471.659282384462</v>
      </c>
      <c r="AK811" s="348">
        <v>4855115.3417157531</v>
      </c>
      <c r="AL811" s="369"/>
      <c r="AM811" s="350">
        <v>6396643.6282565687</v>
      </c>
      <c r="AN811" s="350">
        <v>1700875.1252249554</v>
      </c>
      <c r="AO811" s="350">
        <v>1718725.2265835749</v>
      </c>
      <c r="AP811" s="350">
        <v>1735193.6129415231</v>
      </c>
      <c r="AQ811" s="350">
        <v>1750233.7694404724</v>
      </c>
      <c r="AR811" s="348">
        <v>13301671.362447094</v>
      </c>
      <c r="AS811" s="369"/>
      <c r="AT811" s="350">
        <f t="shared" si="339"/>
        <v>1651164.036209886</v>
      </c>
      <c r="AU811" s="350">
        <f t="shared" si="322"/>
        <v>1671562.4268784211</v>
      </c>
      <c r="AV811" s="350">
        <f t="shared" si="323"/>
        <v>1690659.3464862369</v>
      </c>
      <c r="AW811" s="350">
        <f t="shared" si="324"/>
        <v>1708408.1009987085</v>
      </c>
      <c r="AX811" s="350">
        <f t="shared" si="325"/>
        <v>1724762.1101580879</v>
      </c>
      <c r="AY811" s="350">
        <f t="shared" si="326"/>
        <v>8446556.0207313411</v>
      </c>
      <c r="AZ811" s="365"/>
      <c r="BA811" s="377">
        <f t="shared" si="327"/>
        <v>0</v>
      </c>
      <c r="BB811" s="377">
        <f t="shared" si="328"/>
        <v>0</v>
      </c>
      <c r="BC811" s="377">
        <f t="shared" si="329"/>
        <v>0</v>
      </c>
      <c r="BD811" s="377">
        <f t="shared" si="330"/>
        <v>0</v>
      </c>
      <c r="BE811" s="377">
        <f t="shared" si="331"/>
        <v>0</v>
      </c>
      <c r="BF811" s="377">
        <f t="shared" si="332"/>
        <v>0</v>
      </c>
      <c r="BG811" s="328"/>
    </row>
    <row r="812" spans="2:59">
      <c r="B812" s="332">
        <v>797</v>
      </c>
      <c r="C812" s="350">
        <v>5234424.0794224655</v>
      </c>
      <c r="D812" s="350">
        <v>32332.895144064132</v>
      </c>
      <c r="E812" s="350">
        <v>30957.612553620951</v>
      </c>
      <c r="F812" s="350">
        <v>29545.323285786675</v>
      </c>
      <c r="G812" s="350">
        <v>28096.099478335876</v>
      </c>
      <c r="H812" s="348">
        <v>5355356.0098842727</v>
      </c>
      <c r="I812" s="369"/>
      <c r="J812" s="350">
        <v>7145379.01614381</v>
      </c>
      <c r="K812" s="350">
        <v>1966895.6651844312</v>
      </c>
      <c r="L812" s="350">
        <v>1987621.9739564632</v>
      </c>
      <c r="M812" s="350">
        <v>2006750.9933124008</v>
      </c>
      <c r="N812" s="350">
        <v>2024228.8862861758</v>
      </c>
      <c r="O812" s="348">
        <v>15130876.534883283</v>
      </c>
      <c r="P812" s="369"/>
      <c r="Q812" s="350">
        <f t="shared" si="333"/>
        <v>1910954.9367213445</v>
      </c>
      <c r="R812" s="350">
        <f t="shared" si="334"/>
        <v>1934562.770040367</v>
      </c>
      <c r="S812" s="350">
        <f t="shared" si="335"/>
        <v>1956664.3614028422</v>
      </c>
      <c r="T812" s="350">
        <f t="shared" si="336"/>
        <v>1977205.6700266141</v>
      </c>
      <c r="U812" s="350">
        <f t="shared" si="337"/>
        <v>1996132.78680784</v>
      </c>
      <c r="V812" s="350">
        <f t="shared" si="338"/>
        <v>9775520.5249990113</v>
      </c>
      <c r="W812" s="365"/>
      <c r="X812" s="377">
        <f t="shared" si="316"/>
        <v>0</v>
      </c>
      <c r="Y812" s="377">
        <f t="shared" si="317"/>
        <v>0</v>
      </c>
      <c r="Z812" s="377">
        <f t="shared" si="318"/>
        <v>0</v>
      </c>
      <c r="AA812" s="377">
        <f t="shared" si="319"/>
        <v>0</v>
      </c>
      <c r="AB812" s="377">
        <f t="shared" si="320"/>
        <v>0</v>
      </c>
      <c r="AC812" s="377">
        <f t="shared" si="321"/>
        <v>0</v>
      </c>
      <c r="AD812" s="376"/>
      <c r="AE812" s="332">
        <v>797</v>
      </c>
      <c r="AF812" s="350">
        <v>6940188.1392154153</v>
      </c>
      <c r="AG812" s="350">
        <v>42869.353338693472</v>
      </c>
      <c r="AH812" s="350">
        <v>41045.901555376702</v>
      </c>
      <c r="AI812" s="350">
        <v>39173.383571154387</v>
      </c>
      <c r="AJ812" s="350">
        <v>37251.895031644723</v>
      </c>
      <c r="AK812" s="348">
        <v>7100528.6727122851</v>
      </c>
      <c r="AL812" s="369"/>
      <c r="AM812" s="350">
        <v>9541325.39901153</v>
      </c>
      <c r="AN812" s="350">
        <v>2676140.9213223802</v>
      </c>
      <c r="AO812" s="350">
        <v>2704401.5242119399</v>
      </c>
      <c r="AP812" s="350">
        <v>2730489.2486172817</v>
      </c>
      <c r="AQ812" s="350">
        <v>2754330.810652175</v>
      </c>
      <c r="AR812" s="348">
        <v>20406687.903815303</v>
      </c>
      <c r="AS812" s="369"/>
      <c r="AT812" s="350">
        <f t="shared" si="339"/>
        <v>2601137.2597961146</v>
      </c>
      <c r="AU812" s="350">
        <f t="shared" si="322"/>
        <v>2633271.5679836869</v>
      </c>
      <c r="AV812" s="350">
        <f t="shared" si="323"/>
        <v>2663355.6226565633</v>
      </c>
      <c r="AW812" s="350">
        <f t="shared" si="324"/>
        <v>2691315.8650461272</v>
      </c>
      <c r="AX812" s="350">
        <f t="shared" si="325"/>
        <v>2717078.9156205305</v>
      </c>
      <c r="AY812" s="350">
        <f t="shared" si="326"/>
        <v>13306159.231103018</v>
      </c>
      <c r="AZ812" s="365"/>
      <c r="BA812" s="377">
        <f t="shared" si="327"/>
        <v>0</v>
      </c>
      <c r="BB812" s="377">
        <f t="shared" si="328"/>
        <v>0</v>
      </c>
      <c r="BC812" s="377">
        <f t="shared" si="329"/>
        <v>0</v>
      </c>
      <c r="BD812" s="377">
        <f t="shared" si="330"/>
        <v>0</v>
      </c>
      <c r="BE812" s="377">
        <f t="shared" si="331"/>
        <v>0</v>
      </c>
      <c r="BF812" s="377">
        <f t="shared" si="332"/>
        <v>0</v>
      </c>
      <c r="BG812" s="328"/>
    </row>
    <row r="813" spans="2:59">
      <c r="B813" s="332">
        <v>798</v>
      </c>
      <c r="C813" s="350">
        <v>6825167.1211230326</v>
      </c>
      <c r="D813" s="350">
        <v>42158.871638908335</v>
      </c>
      <c r="E813" s="350">
        <v>40365.640258317544</v>
      </c>
      <c r="F813" s="350">
        <v>38524.155860018669</v>
      </c>
      <c r="G813" s="350">
        <v>36634.512504477687</v>
      </c>
      <c r="H813" s="348">
        <v>6982850.3013847554</v>
      </c>
      <c r="I813" s="369"/>
      <c r="J813" s="350">
        <v>8547417.4419331662</v>
      </c>
      <c r="K813" s="350">
        <v>1785685.7792099409</v>
      </c>
      <c r="L813" s="350">
        <v>1803811.6323053809</v>
      </c>
      <c r="M813" s="350">
        <v>1820483.0257815581</v>
      </c>
      <c r="N813" s="350">
        <v>1835651.4680574895</v>
      </c>
      <c r="O813" s="348">
        <v>15793049.347287536</v>
      </c>
      <c r="P813" s="369"/>
      <c r="Q813" s="350">
        <f t="shared" si="333"/>
        <v>1722250.3208101336</v>
      </c>
      <c r="R813" s="350">
        <f t="shared" si="334"/>
        <v>1743526.9075710326</v>
      </c>
      <c r="S813" s="350">
        <f t="shared" si="335"/>
        <v>1763445.9920470633</v>
      </c>
      <c r="T813" s="350">
        <f t="shared" si="336"/>
        <v>1781958.8699215394</v>
      </c>
      <c r="U813" s="350">
        <f t="shared" si="337"/>
        <v>1799016.9555530117</v>
      </c>
      <c r="V813" s="350">
        <f t="shared" si="338"/>
        <v>8810199.0459027812</v>
      </c>
      <c r="W813" s="365"/>
      <c r="X813" s="377">
        <f t="shared" si="316"/>
        <v>0</v>
      </c>
      <c r="Y813" s="377">
        <f t="shared" si="317"/>
        <v>0</v>
      </c>
      <c r="Z813" s="377">
        <f t="shared" si="318"/>
        <v>0</v>
      </c>
      <c r="AA813" s="377">
        <f t="shared" si="319"/>
        <v>0</v>
      </c>
      <c r="AB813" s="377">
        <f t="shared" si="320"/>
        <v>0</v>
      </c>
      <c r="AC813" s="377">
        <f t="shared" si="321"/>
        <v>0</v>
      </c>
      <c r="AD813" s="376"/>
      <c r="AE813" s="332">
        <v>798</v>
      </c>
      <c r="AF813" s="350">
        <v>4633972.4932107665</v>
      </c>
      <c r="AG813" s="350">
        <v>28623.922030404075</v>
      </c>
      <c r="AH813" s="350">
        <v>27406.40094349928</v>
      </c>
      <c r="AI813" s="350">
        <v>26156.118291520019</v>
      </c>
      <c r="AJ813" s="350">
        <v>24873.137937170253</v>
      </c>
      <c r="AK813" s="348">
        <v>4741032.0724133598</v>
      </c>
      <c r="AL813" s="369"/>
      <c r="AM813" s="350">
        <v>6049391.2179755205</v>
      </c>
      <c r="AN813" s="350">
        <v>1461528.6527122837</v>
      </c>
      <c r="AO813" s="350">
        <v>1476681.4843011051</v>
      </c>
      <c r="AP813" s="350">
        <v>1490645.8737999732</v>
      </c>
      <c r="AQ813" s="350">
        <v>1503381.9553204773</v>
      </c>
      <c r="AR813" s="348">
        <v>11981629.18410936</v>
      </c>
      <c r="AS813" s="369"/>
      <c r="AT813" s="350">
        <f t="shared" si="339"/>
        <v>1415418.7247647541</v>
      </c>
      <c r="AU813" s="350">
        <f t="shared" si="322"/>
        <v>1432904.7306818797</v>
      </c>
      <c r="AV813" s="350">
        <f t="shared" si="323"/>
        <v>1449275.0833576059</v>
      </c>
      <c r="AW813" s="350">
        <f t="shared" si="324"/>
        <v>1464489.7555084531</v>
      </c>
      <c r="AX813" s="350">
        <f t="shared" si="325"/>
        <v>1478508.817383307</v>
      </c>
      <c r="AY813" s="350">
        <f t="shared" si="326"/>
        <v>7240597.1116960002</v>
      </c>
      <c r="AZ813" s="365"/>
      <c r="BA813" s="377">
        <f t="shared" si="327"/>
        <v>0</v>
      </c>
      <c r="BB813" s="377">
        <f t="shared" si="328"/>
        <v>0</v>
      </c>
      <c r="BC813" s="377">
        <f t="shared" si="329"/>
        <v>0</v>
      </c>
      <c r="BD813" s="377">
        <f t="shared" si="330"/>
        <v>0</v>
      </c>
      <c r="BE813" s="377">
        <f t="shared" si="331"/>
        <v>0</v>
      </c>
      <c r="BF813" s="377">
        <f t="shared" si="332"/>
        <v>0</v>
      </c>
      <c r="BG813" s="328"/>
    </row>
    <row r="814" spans="2:59">
      <c r="B814" s="332">
        <v>799</v>
      </c>
      <c r="C814" s="350">
        <v>6456431.8644291786</v>
      </c>
      <c r="D814" s="350">
        <v>39881.203989190544</v>
      </c>
      <c r="E814" s="350">
        <v>38184.853406052243</v>
      </c>
      <c r="F814" s="350">
        <v>36442.856714097405</v>
      </c>
      <c r="G814" s="350">
        <v>34655.302892101376</v>
      </c>
      <c r="H814" s="348">
        <v>6605596.0814306205</v>
      </c>
      <c r="I814" s="369"/>
      <c r="J814" s="350">
        <v>7917027.0240990184</v>
      </c>
      <c r="K814" s="350">
        <v>1518520.4767950613</v>
      </c>
      <c r="L814" s="350">
        <v>1533716.977395751</v>
      </c>
      <c r="M814" s="350">
        <v>1547675.2650865561</v>
      </c>
      <c r="N814" s="350">
        <v>1560354.2246427308</v>
      </c>
      <c r="O814" s="348">
        <v>14077293.968019117</v>
      </c>
      <c r="P814" s="369"/>
      <c r="Q814" s="350">
        <f t="shared" si="333"/>
        <v>1460595.1596698398</v>
      </c>
      <c r="R814" s="350">
        <f t="shared" si="334"/>
        <v>1478639.2728058707</v>
      </c>
      <c r="S814" s="350">
        <f t="shared" si="335"/>
        <v>1495532.1239896987</v>
      </c>
      <c r="T814" s="350">
        <f t="shared" si="336"/>
        <v>1511232.4083724588</v>
      </c>
      <c r="U814" s="350">
        <f t="shared" si="337"/>
        <v>1525698.9217506293</v>
      </c>
      <c r="V814" s="350">
        <f t="shared" si="338"/>
        <v>7471697.8865884962</v>
      </c>
      <c r="W814" s="365"/>
      <c r="X814" s="377">
        <f t="shared" si="316"/>
        <v>0</v>
      </c>
      <c r="Y814" s="377">
        <f t="shared" si="317"/>
        <v>0</v>
      </c>
      <c r="Z814" s="377">
        <f t="shared" si="318"/>
        <v>0</v>
      </c>
      <c r="AA814" s="377">
        <f t="shared" si="319"/>
        <v>0</v>
      </c>
      <c r="AB814" s="377">
        <f t="shared" si="320"/>
        <v>0</v>
      </c>
      <c r="AC814" s="377">
        <f t="shared" si="321"/>
        <v>0</v>
      </c>
      <c r="AD814" s="376"/>
      <c r="AE814" s="332">
        <v>799</v>
      </c>
      <c r="AF814" s="350">
        <v>6881543.8506861981</v>
      </c>
      <c r="AG814" s="350">
        <v>42507.109163776542</v>
      </c>
      <c r="AH814" s="350">
        <v>40699.065468880028</v>
      </c>
      <c r="AI814" s="350">
        <v>38842.370180346617</v>
      </c>
      <c r="AJ814" s="350">
        <v>36937.118135590528</v>
      </c>
      <c r="AK814" s="348">
        <v>7040529.5136347925</v>
      </c>
      <c r="AL814" s="369"/>
      <c r="AM814" s="350">
        <v>9056226.3740221299</v>
      </c>
      <c r="AN814" s="350">
        <v>2244055.5420751506</v>
      </c>
      <c r="AO814" s="350">
        <v>2267399.2921511494</v>
      </c>
      <c r="AP814" s="350">
        <v>2288918.7759719002</v>
      </c>
      <c r="AQ814" s="350">
        <v>2308552.7393687638</v>
      </c>
      <c r="AR814" s="348">
        <v>18165152.723589092</v>
      </c>
      <c r="AS814" s="369"/>
      <c r="AT814" s="350">
        <f t="shared" si="339"/>
        <v>2174682.5233359318</v>
      </c>
      <c r="AU814" s="350">
        <f t="shared" si="322"/>
        <v>2201548.4329113741</v>
      </c>
      <c r="AV814" s="350">
        <f t="shared" si="323"/>
        <v>2226700.2266822695</v>
      </c>
      <c r="AW814" s="350">
        <f t="shared" si="324"/>
        <v>2250076.4057915537</v>
      </c>
      <c r="AX814" s="350">
        <f t="shared" si="325"/>
        <v>2271615.6212331732</v>
      </c>
      <c r="AY814" s="350">
        <f t="shared" si="326"/>
        <v>11124623.209954299</v>
      </c>
      <c r="AZ814" s="365"/>
      <c r="BA814" s="377">
        <f t="shared" si="327"/>
        <v>0</v>
      </c>
      <c r="BB814" s="377">
        <f t="shared" si="328"/>
        <v>0</v>
      </c>
      <c r="BC814" s="377">
        <f t="shared" si="329"/>
        <v>0</v>
      </c>
      <c r="BD814" s="377">
        <f t="shared" si="330"/>
        <v>0</v>
      </c>
      <c r="BE814" s="377">
        <f t="shared" si="331"/>
        <v>0</v>
      </c>
      <c r="BF814" s="377">
        <f t="shared" si="332"/>
        <v>0</v>
      </c>
      <c r="BG814" s="328"/>
    </row>
    <row r="815" spans="2:59">
      <c r="B815" s="332">
        <v>800</v>
      </c>
      <c r="C815" s="350">
        <v>4381863.7842226271</v>
      </c>
      <c r="D815" s="350">
        <v>27066.653393218123</v>
      </c>
      <c r="E815" s="350">
        <v>25915.370867251862</v>
      </c>
      <c r="F815" s="350">
        <v>24733.109151031353</v>
      </c>
      <c r="G815" s="350">
        <v>23519.928632840103</v>
      </c>
      <c r="H815" s="348">
        <v>4483098.8462669682</v>
      </c>
      <c r="I815" s="369"/>
      <c r="J815" s="350">
        <v>5549161.7024729224</v>
      </c>
      <c r="K815" s="350">
        <v>1208785.306616456</v>
      </c>
      <c r="L815" s="350">
        <v>1221134.6781832026</v>
      </c>
      <c r="M815" s="350">
        <v>1232499.9791195095</v>
      </c>
      <c r="N815" s="350">
        <v>1242848.3396887863</v>
      </c>
      <c r="O815" s="348">
        <v>10454430.006080877</v>
      </c>
      <c r="P815" s="369"/>
      <c r="Q815" s="350">
        <f t="shared" si="333"/>
        <v>1167297.9182502953</v>
      </c>
      <c r="R815" s="350">
        <f t="shared" si="334"/>
        <v>1181718.653223238</v>
      </c>
      <c r="S815" s="350">
        <f t="shared" si="335"/>
        <v>1195219.3073159507</v>
      </c>
      <c r="T815" s="350">
        <f t="shared" si="336"/>
        <v>1207766.8699684781</v>
      </c>
      <c r="U815" s="350">
        <f t="shared" si="337"/>
        <v>1219328.4110559463</v>
      </c>
      <c r="V815" s="350">
        <f t="shared" si="338"/>
        <v>5971331.1598139089</v>
      </c>
      <c r="W815" s="365"/>
      <c r="X815" s="377">
        <f t="shared" si="316"/>
        <v>0</v>
      </c>
      <c r="Y815" s="377">
        <f t="shared" si="317"/>
        <v>0</v>
      </c>
      <c r="Z815" s="377">
        <f t="shared" si="318"/>
        <v>0</v>
      </c>
      <c r="AA815" s="377">
        <f t="shared" si="319"/>
        <v>0</v>
      </c>
      <c r="AB815" s="377">
        <f t="shared" si="320"/>
        <v>0</v>
      </c>
      <c r="AC815" s="377">
        <f t="shared" si="321"/>
        <v>0</v>
      </c>
      <c r="AD815" s="376"/>
      <c r="AE815" s="332">
        <v>800</v>
      </c>
      <c r="AF815" s="350">
        <v>7325124.3965768199</v>
      </c>
      <c r="AG815" s="350">
        <v>45247.094128811106</v>
      </c>
      <c r="AH815" s="350">
        <v>43322.504928054434</v>
      </c>
      <c r="AI815" s="350">
        <v>41346.128078591777</v>
      </c>
      <c r="AJ815" s="350">
        <v>39318.064531009237</v>
      </c>
      <c r="AK815" s="348">
        <v>7494358.1882432867</v>
      </c>
      <c r="AL815" s="369"/>
      <c r="AM815" s="350">
        <v>9352337.2112556323</v>
      </c>
      <c r="AN815" s="350">
        <v>2097503.9856256936</v>
      </c>
      <c r="AO815" s="350">
        <v>2119025.5951676862</v>
      </c>
      <c r="AP815" s="350">
        <v>2138840.2104929676</v>
      </c>
      <c r="AQ815" s="350">
        <v>2156890.7437487473</v>
      </c>
      <c r="AR815" s="348">
        <v>17864597.746290728</v>
      </c>
      <c r="AS815" s="369"/>
      <c r="AT815" s="350">
        <f t="shared" si="339"/>
        <v>2027212.8146788124</v>
      </c>
      <c r="AU815" s="350">
        <f t="shared" si="322"/>
        <v>2052256.8914968825</v>
      </c>
      <c r="AV815" s="350">
        <f t="shared" si="323"/>
        <v>2075703.0902396317</v>
      </c>
      <c r="AW815" s="350">
        <f t="shared" si="324"/>
        <v>2097494.0824143756</v>
      </c>
      <c r="AX815" s="350">
        <f t="shared" si="325"/>
        <v>2117572.6792177381</v>
      </c>
      <c r="AY815" s="350">
        <f t="shared" si="326"/>
        <v>10370239.558047442</v>
      </c>
      <c r="AZ815" s="365"/>
      <c r="BA815" s="377">
        <f t="shared" si="327"/>
        <v>0</v>
      </c>
      <c r="BB815" s="377">
        <f t="shared" si="328"/>
        <v>0</v>
      </c>
      <c r="BC815" s="377">
        <f t="shared" si="329"/>
        <v>0</v>
      </c>
      <c r="BD815" s="377">
        <f t="shared" si="330"/>
        <v>0</v>
      </c>
      <c r="BE815" s="377">
        <f t="shared" si="331"/>
        <v>0</v>
      </c>
      <c r="BF815" s="377">
        <f t="shared" si="332"/>
        <v>0</v>
      </c>
      <c r="BG815" s="328"/>
    </row>
    <row r="816" spans="2:59">
      <c r="B816" s="332">
        <v>801</v>
      </c>
      <c r="C816" s="350">
        <v>6070426.5112455012</v>
      </c>
      <c r="D816" s="350">
        <v>37496.8594232619</v>
      </c>
      <c r="E816" s="350">
        <v>35901.927149759387</v>
      </c>
      <c r="F816" s="350">
        <v>34264.077773604542</v>
      </c>
      <c r="G816" s="350">
        <v>32583.394953872317</v>
      </c>
      <c r="H816" s="348">
        <v>6210672.7705459995</v>
      </c>
      <c r="I816" s="369"/>
      <c r="J816" s="350">
        <v>8410445.549324017</v>
      </c>
      <c r="K816" s="350">
        <v>2406424.3653848963</v>
      </c>
      <c r="L816" s="350">
        <v>2431893.464589166</v>
      </c>
      <c r="M816" s="350">
        <v>2455409.03580028</v>
      </c>
      <c r="N816" s="350">
        <v>2476905.1494360361</v>
      </c>
      <c r="O816" s="348">
        <v>18181077.564534396</v>
      </c>
      <c r="P816" s="369"/>
      <c r="Q816" s="350">
        <f t="shared" si="333"/>
        <v>2340019.0380785158</v>
      </c>
      <c r="R816" s="350">
        <f t="shared" si="334"/>
        <v>2368927.5059616342</v>
      </c>
      <c r="S816" s="350">
        <f t="shared" si="335"/>
        <v>2395991.5374394064</v>
      </c>
      <c r="T816" s="350">
        <f t="shared" si="336"/>
        <v>2421144.9580266755</v>
      </c>
      <c r="U816" s="350">
        <f t="shared" si="337"/>
        <v>2444321.7544821636</v>
      </c>
      <c r="V816" s="350">
        <f t="shared" si="338"/>
        <v>11970404.793988395</v>
      </c>
      <c r="W816" s="365"/>
      <c r="X816" s="377">
        <f t="shared" si="316"/>
        <v>0</v>
      </c>
      <c r="Y816" s="377">
        <f t="shared" si="317"/>
        <v>0</v>
      </c>
      <c r="Z816" s="377">
        <f t="shared" si="318"/>
        <v>0</v>
      </c>
      <c r="AA816" s="377">
        <f t="shared" si="319"/>
        <v>0</v>
      </c>
      <c r="AB816" s="377">
        <f t="shared" si="320"/>
        <v>0</v>
      </c>
      <c r="AC816" s="377">
        <f t="shared" si="321"/>
        <v>0</v>
      </c>
      <c r="AD816" s="376"/>
      <c r="AE816" s="332">
        <v>801</v>
      </c>
      <c r="AF816" s="350">
        <v>4922223.6530130375</v>
      </c>
      <c r="AG816" s="350">
        <v>30404.441603069368</v>
      </c>
      <c r="AH816" s="350">
        <v>29111.185956690289</v>
      </c>
      <c r="AI816" s="350">
        <v>27783.130848134464</v>
      </c>
      <c r="AJ816" s="350">
        <v>26420.344112609098</v>
      </c>
      <c r="AK816" s="348">
        <v>5035942.7555335416</v>
      </c>
      <c r="AL816" s="369"/>
      <c r="AM816" s="350">
        <v>6988410.5154606821</v>
      </c>
      <c r="AN816" s="350">
        <v>2122116.864134463</v>
      </c>
      <c r="AO816" s="350">
        <v>2144720.5705957739</v>
      </c>
      <c r="AP816" s="350">
        <v>2165602.4489609725</v>
      </c>
      <c r="AQ816" s="350">
        <v>2184704.2787822713</v>
      </c>
      <c r="AR816" s="348">
        <v>15605554.677934164</v>
      </c>
      <c r="AS816" s="369"/>
      <c r="AT816" s="350">
        <f t="shared" si="339"/>
        <v>2066186.8624476446</v>
      </c>
      <c r="AU816" s="350">
        <f t="shared" si="322"/>
        <v>2091712.4225313936</v>
      </c>
      <c r="AV816" s="350">
        <f t="shared" si="323"/>
        <v>2115609.3846390834</v>
      </c>
      <c r="AW816" s="350">
        <f t="shared" si="324"/>
        <v>2137819.3181128381</v>
      </c>
      <c r="AX816" s="350">
        <f t="shared" si="325"/>
        <v>2158283.9346696623</v>
      </c>
      <c r="AY816" s="350">
        <f t="shared" si="326"/>
        <v>10569611.922400624</v>
      </c>
      <c r="AZ816" s="365"/>
      <c r="BA816" s="377">
        <f t="shared" si="327"/>
        <v>0</v>
      </c>
      <c r="BB816" s="377">
        <f t="shared" si="328"/>
        <v>0</v>
      </c>
      <c r="BC816" s="377">
        <f t="shared" si="329"/>
        <v>0</v>
      </c>
      <c r="BD816" s="377">
        <f t="shared" si="330"/>
        <v>0</v>
      </c>
      <c r="BE816" s="377">
        <f t="shared" si="331"/>
        <v>0</v>
      </c>
      <c r="BF816" s="377">
        <f t="shared" si="332"/>
        <v>0</v>
      </c>
      <c r="BG816" s="328"/>
    </row>
    <row r="817" spans="2:59">
      <c r="B817" s="332">
        <v>802</v>
      </c>
      <c r="C817" s="350">
        <v>5818785.4043418132</v>
      </c>
      <c r="D817" s="350">
        <v>35942.479151430249</v>
      </c>
      <c r="E817" s="350">
        <v>34413.662581988443</v>
      </c>
      <c r="F817" s="350">
        <v>32843.707978828737</v>
      </c>
      <c r="G817" s="350">
        <v>31232.69553305145</v>
      </c>
      <c r="H817" s="348">
        <v>5953217.9495871123</v>
      </c>
      <c r="I817" s="369"/>
      <c r="J817" s="350">
        <v>8420801.8411692828</v>
      </c>
      <c r="K817" s="350">
        <v>2670104.0854716841</v>
      </c>
      <c r="L817" s="350">
        <v>2698669.4919004454</v>
      </c>
      <c r="M817" s="350">
        <v>2725069.2301696399</v>
      </c>
      <c r="N817" s="350">
        <v>2749229.9761364339</v>
      </c>
      <c r="O817" s="348">
        <v>19263874.624847487</v>
      </c>
      <c r="P817" s="369"/>
      <c r="Q817" s="350">
        <f t="shared" si="333"/>
        <v>2602016.4368274696</v>
      </c>
      <c r="R817" s="350">
        <f t="shared" si="334"/>
        <v>2634161.606320254</v>
      </c>
      <c r="S817" s="350">
        <f t="shared" si="335"/>
        <v>2664255.8293184568</v>
      </c>
      <c r="T817" s="350">
        <f t="shared" si="336"/>
        <v>2692225.5221908111</v>
      </c>
      <c r="U817" s="350">
        <f t="shared" si="337"/>
        <v>2717997.2806033823</v>
      </c>
      <c r="V817" s="350">
        <f t="shared" si="338"/>
        <v>13310656.675260374</v>
      </c>
      <c r="W817" s="365"/>
      <c r="X817" s="377">
        <f t="shared" si="316"/>
        <v>0</v>
      </c>
      <c r="Y817" s="377">
        <f t="shared" si="317"/>
        <v>0</v>
      </c>
      <c r="Z817" s="377">
        <f t="shared" si="318"/>
        <v>0</v>
      </c>
      <c r="AA817" s="377">
        <f t="shared" si="319"/>
        <v>0</v>
      </c>
      <c r="AB817" s="377">
        <f t="shared" si="320"/>
        <v>0</v>
      </c>
      <c r="AC817" s="377">
        <f t="shared" si="321"/>
        <v>0</v>
      </c>
      <c r="AD817" s="376"/>
      <c r="AE817" s="332">
        <v>802</v>
      </c>
      <c r="AF817" s="350">
        <v>5630932.8759367531</v>
      </c>
      <c r="AG817" s="350">
        <v>34782.11919371441</v>
      </c>
      <c r="AH817" s="350">
        <v>33302.658638987152</v>
      </c>
      <c r="AI817" s="350">
        <v>31783.388142764128</v>
      </c>
      <c r="AJ817" s="350">
        <v>30224.385307277225</v>
      </c>
      <c r="AK817" s="348">
        <v>5761025.4272194961</v>
      </c>
      <c r="AL817" s="369"/>
      <c r="AM817" s="350">
        <v>8184839.5798843503</v>
      </c>
      <c r="AN817" s="350">
        <v>2620239.6476115985</v>
      </c>
      <c r="AO817" s="350">
        <v>2648297.985810719</v>
      </c>
      <c r="AP817" s="350">
        <v>2674231.2652381007</v>
      </c>
      <c r="AQ817" s="350">
        <v>2697967.5163644413</v>
      </c>
      <c r="AR817" s="348">
        <v>18825575.994909212</v>
      </c>
      <c r="AS817" s="369"/>
      <c r="AT817" s="350">
        <f t="shared" si="339"/>
        <v>2553906.7039475972</v>
      </c>
      <c r="AU817" s="350">
        <f t="shared" si="322"/>
        <v>2585457.5284178839</v>
      </c>
      <c r="AV817" s="350">
        <f t="shared" si="323"/>
        <v>2614995.3271717317</v>
      </c>
      <c r="AW817" s="350">
        <f t="shared" si="324"/>
        <v>2642447.8770953366</v>
      </c>
      <c r="AX817" s="350">
        <f t="shared" si="325"/>
        <v>2667743.1310571642</v>
      </c>
      <c r="AY817" s="350">
        <f t="shared" si="326"/>
        <v>13064550.567689717</v>
      </c>
      <c r="AZ817" s="365"/>
      <c r="BA817" s="377">
        <f t="shared" si="327"/>
        <v>0</v>
      </c>
      <c r="BB817" s="377">
        <f t="shared" si="328"/>
        <v>0</v>
      </c>
      <c r="BC817" s="377">
        <f t="shared" si="329"/>
        <v>0</v>
      </c>
      <c r="BD817" s="377">
        <f t="shared" si="330"/>
        <v>0</v>
      </c>
      <c r="BE817" s="377">
        <f t="shared" si="331"/>
        <v>0</v>
      </c>
      <c r="BF817" s="377">
        <f t="shared" si="332"/>
        <v>0</v>
      </c>
      <c r="BG817" s="328"/>
    </row>
    <row r="818" spans="2:59">
      <c r="B818" s="332">
        <v>803</v>
      </c>
      <c r="C818" s="350">
        <v>7617676.7345865024</v>
      </c>
      <c r="D818" s="350">
        <v>47054.1819622572</v>
      </c>
      <c r="E818" s="350">
        <v>45052.728118674058</v>
      </c>
      <c r="F818" s="350">
        <v>42997.418320529156</v>
      </c>
      <c r="G818" s="350">
        <v>40888.357550189066</v>
      </c>
      <c r="H818" s="348">
        <v>7793669.4205381516</v>
      </c>
      <c r="I818" s="369"/>
      <c r="J818" s="350">
        <v>9487552.9398762845</v>
      </c>
      <c r="K818" s="350">
        <v>1940030.7361579242</v>
      </c>
      <c r="L818" s="350">
        <v>1959655.7681061195</v>
      </c>
      <c r="M818" s="350">
        <v>1977700.2018880118</v>
      </c>
      <c r="N818" s="350">
        <v>1994111.3922360332</v>
      </c>
      <c r="O818" s="348">
        <v>17359051.038264371</v>
      </c>
      <c r="P818" s="369"/>
      <c r="Q818" s="350">
        <f t="shared" si="333"/>
        <v>1869876.205289782</v>
      </c>
      <c r="R818" s="350">
        <f t="shared" si="334"/>
        <v>1892976.5541956669</v>
      </c>
      <c r="S818" s="350">
        <f t="shared" si="335"/>
        <v>1914603.0399874453</v>
      </c>
      <c r="T818" s="350">
        <f t="shared" si="336"/>
        <v>1934702.7835674826</v>
      </c>
      <c r="U818" s="350">
        <f t="shared" si="337"/>
        <v>1953223.0346858441</v>
      </c>
      <c r="V818" s="350">
        <f t="shared" si="338"/>
        <v>9565381.6177262198</v>
      </c>
      <c r="W818" s="365"/>
      <c r="X818" s="377">
        <f t="shared" si="316"/>
        <v>0</v>
      </c>
      <c r="Y818" s="377">
        <f t="shared" si="317"/>
        <v>0</v>
      </c>
      <c r="Z818" s="377">
        <f t="shared" si="318"/>
        <v>0</v>
      </c>
      <c r="AA818" s="377">
        <f t="shared" si="319"/>
        <v>0</v>
      </c>
      <c r="AB818" s="377">
        <f t="shared" si="320"/>
        <v>0</v>
      </c>
      <c r="AC818" s="377">
        <f t="shared" si="321"/>
        <v>0</v>
      </c>
      <c r="AD818" s="376"/>
      <c r="AE818" s="332">
        <v>803</v>
      </c>
      <c r="AF818" s="350">
        <v>7285812.2814123286</v>
      </c>
      <c r="AG818" s="350">
        <v>45004.264262865428</v>
      </c>
      <c r="AH818" s="350">
        <v>43090.003852201873</v>
      </c>
      <c r="AI818" s="350">
        <v>41124.233724226382</v>
      </c>
      <c r="AJ818" s="350">
        <v>39107.054287742903</v>
      </c>
      <c r="AK818" s="348">
        <v>7454137.8375393646</v>
      </c>
      <c r="AL818" s="369"/>
      <c r="AM818" s="350">
        <v>10414665.870724415</v>
      </c>
      <c r="AN818" s="350">
        <v>3212511.5405859249</v>
      </c>
      <c r="AO818" s="350">
        <v>3246784.7601284189</v>
      </c>
      <c r="AP818" s="350">
        <v>3278451.7805920076</v>
      </c>
      <c r="AQ818" s="350">
        <v>3307424.4356818469</v>
      </c>
      <c r="AR818" s="348">
        <v>23459838.387712616</v>
      </c>
      <c r="AS818" s="369"/>
      <c r="AT818" s="350">
        <f t="shared" si="339"/>
        <v>3128853.5893120868</v>
      </c>
      <c r="AU818" s="350">
        <f t="shared" si="322"/>
        <v>3167507.2763230596</v>
      </c>
      <c r="AV818" s="350">
        <f t="shared" si="323"/>
        <v>3203694.7562762168</v>
      </c>
      <c r="AW818" s="350">
        <f t="shared" si="324"/>
        <v>3237327.5468677813</v>
      </c>
      <c r="AX818" s="350">
        <f t="shared" si="325"/>
        <v>3268317.3813941041</v>
      </c>
      <c r="AY818" s="350">
        <f t="shared" si="326"/>
        <v>16005700.550173253</v>
      </c>
      <c r="AZ818" s="365"/>
      <c r="BA818" s="377">
        <f t="shared" si="327"/>
        <v>0</v>
      </c>
      <c r="BB818" s="377">
        <f t="shared" si="328"/>
        <v>0</v>
      </c>
      <c r="BC818" s="377">
        <f t="shared" si="329"/>
        <v>0</v>
      </c>
      <c r="BD818" s="377">
        <f t="shared" si="330"/>
        <v>0</v>
      </c>
      <c r="BE818" s="377">
        <f t="shared" si="331"/>
        <v>0</v>
      </c>
      <c r="BF818" s="377">
        <f t="shared" si="332"/>
        <v>0</v>
      </c>
      <c r="BG818" s="328"/>
    </row>
    <row r="819" spans="2:59">
      <c r="B819" s="332">
        <v>804</v>
      </c>
      <c r="C819" s="350">
        <v>5474075.6971371919</v>
      </c>
      <c r="D819" s="350">
        <v>33813.216667331813</v>
      </c>
      <c r="E819" s="350">
        <v>32374.968468329109</v>
      </c>
      <c r="F819" s="350">
        <v>30898.019287086387</v>
      </c>
      <c r="G819" s="350">
        <v>29382.444564116722</v>
      </c>
      <c r="H819" s="348">
        <v>5600544.3461240558</v>
      </c>
      <c r="I819" s="369"/>
      <c r="J819" s="350">
        <v>7817605.6516914852</v>
      </c>
      <c r="K819" s="350">
        <v>2406295.0127758691</v>
      </c>
      <c r="L819" s="350">
        <v>2431961.4023712813</v>
      </c>
      <c r="M819" s="350">
        <v>2455675.6134526366</v>
      </c>
      <c r="N819" s="350">
        <v>2477371.6091742609</v>
      </c>
      <c r="O819" s="348">
        <v>17588909.289465532</v>
      </c>
      <c r="P819" s="369"/>
      <c r="Q819" s="350">
        <f t="shared" si="333"/>
        <v>2343529.9545542933</v>
      </c>
      <c r="R819" s="350">
        <f t="shared" si="334"/>
        <v>2372481.7961085374</v>
      </c>
      <c r="S819" s="350">
        <f t="shared" si="335"/>
        <v>2399586.4339029524</v>
      </c>
      <c r="T819" s="350">
        <f t="shared" si="336"/>
        <v>2424777.5941655501</v>
      </c>
      <c r="U819" s="350">
        <f t="shared" si="337"/>
        <v>2447989.1646101442</v>
      </c>
      <c r="V819" s="350">
        <f t="shared" si="338"/>
        <v>11988364.943341475</v>
      </c>
      <c r="W819" s="365"/>
      <c r="X819" s="377">
        <f t="shared" si="316"/>
        <v>0</v>
      </c>
      <c r="Y819" s="377">
        <f t="shared" si="317"/>
        <v>0</v>
      </c>
      <c r="Z819" s="377">
        <f t="shared" si="318"/>
        <v>0</v>
      </c>
      <c r="AA819" s="377">
        <f t="shared" si="319"/>
        <v>0</v>
      </c>
      <c r="AB819" s="377">
        <f t="shared" si="320"/>
        <v>0</v>
      </c>
      <c r="AC819" s="377">
        <f t="shared" si="321"/>
        <v>0</v>
      </c>
      <c r="AD819" s="376"/>
      <c r="AE819" s="332">
        <v>804</v>
      </c>
      <c r="AF819" s="350">
        <v>8152166.5489937374</v>
      </c>
      <c r="AG819" s="350">
        <v>50355.711005868216</v>
      </c>
      <c r="AH819" s="350">
        <v>48213.826328756106</v>
      </c>
      <c r="AI819" s="350">
        <v>46014.30692565877</v>
      </c>
      <c r="AJ819" s="350">
        <v>43757.265144968158</v>
      </c>
      <c r="AK819" s="348">
        <v>8340507.6583989896</v>
      </c>
      <c r="AL819" s="369"/>
      <c r="AM819" s="350">
        <v>10986291.096776914</v>
      </c>
      <c r="AN819" s="350">
        <v>2919492.8792562792</v>
      </c>
      <c r="AO819" s="350">
        <v>2950129.7176258424</v>
      </c>
      <c r="AP819" s="350">
        <v>2978394.876324526</v>
      </c>
      <c r="AQ819" s="350">
        <v>3004208.5154676167</v>
      </c>
      <c r="AR819" s="348">
        <v>22838517.085451178</v>
      </c>
      <c r="AS819" s="369"/>
      <c r="AT819" s="350">
        <f t="shared" si="339"/>
        <v>2834124.5477831764</v>
      </c>
      <c r="AU819" s="350">
        <f t="shared" si="322"/>
        <v>2869137.1682504108</v>
      </c>
      <c r="AV819" s="350">
        <f t="shared" si="323"/>
        <v>2901915.8912970861</v>
      </c>
      <c r="AW819" s="350">
        <f t="shared" si="324"/>
        <v>2932380.5693988674</v>
      </c>
      <c r="AX819" s="350">
        <f t="shared" si="325"/>
        <v>2960451.2503226488</v>
      </c>
      <c r="AY819" s="350">
        <f t="shared" si="326"/>
        <v>14498009.427052189</v>
      </c>
      <c r="AZ819" s="365"/>
      <c r="BA819" s="377">
        <f t="shared" si="327"/>
        <v>0</v>
      </c>
      <c r="BB819" s="377">
        <f t="shared" si="328"/>
        <v>0</v>
      </c>
      <c r="BC819" s="377">
        <f t="shared" si="329"/>
        <v>0</v>
      </c>
      <c r="BD819" s="377">
        <f t="shared" si="330"/>
        <v>0</v>
      </c>
      <c r="BE819" s="377">
        <f t="shared" si="331"/>
        <v>0</v>
      </c>
      <c r="BF819" s="377">
        <f t="shared" si="332"/>
        <v>0</v>
      </c>
      <c r="BG819" s="328"/>
    </row>
    <row r="820" spans="2:59">
      <c r="B820" s="332">
        <v>805</v>
      </c>
      <c r="C820" s="350">
        <v>4291507.6366621768</v>
      </c>
      <c r="D820" s="350">
        <v>26508.525927737992</v>
      </c>
      <c r="E820" s="350">
        <v>25380.983403497667</v>
      </c>
      <c r="F820" s="350">
        <v>24223.100494868529</v>
      </c>
      <c r="G820" s="350">
        <v>23034.93634489828</v>
      </c>
      <c r="H820" s="348">
        <v>4390655.1828331789</v>
      </c>
      <c r="I820" s="369"/>
      <c r="J820" s="350">
        <v>6306916.6442226674</v>
      </c>
      <c r="K820" s="350">
        <v>2066815.786715369</v>
      </c>
      <c r="L820" s="350">
        <v>2088997.9232721969</v>
      </c>
      <c r="M820" s="350">
        <v>2109504.1506112209</v>
      </c>
      <c r="N820" s="350">
        <v>2128277.6720640934</v>
      </c>
      <c r="O820" s="348">
        <v>14700512.176885547</v>
      </c>
      <c r="P820" s="369"/>
      <c r="Q820" s="350">
        <f t="shared" si="333"/>
        <v>2015409.0075604906</v>
      </c>
      <c r="R820" s="350">
        <f t="shared" si="334"/>
        <v>2040307.2607876309</v>
      </c>
      <c r="S820" s="350">
        <f t="shared" si="335"/>
        <v>2063616.9398686993</v>
      </c>
      <c r="T820" s="350">
        <f t="shared" si="336"/>
        <v>2085281.0501163523</v>
      </c>
      <c r="U820" s="350">
        <f t="shared" si="337"/>
        <v>2105242.7357191951</v>
      </c>
      <c r="V820" s="350">
        <f t="shared" si="338"/>
        <v>10309856.994052369</v>
      </c>
      <c r="W820" s="365"/>
      <c r="X820" s="377">
        <f t="shared" si="316"/>
        <v>0</v>
      </c>
      <c r="Y820" s="377">
        <f t="shared" si="317"/>
        <v>0</v>
      </c>
      <c r="Z820" s="377">
        <f t="shared" si="318"/>
        <v>0</v>
      </c>
      <c r="AA820" s="377">
        <f t="shared" si="319"/>
        <v>0</v>
      </c>
      <c r="AB820" s="377">
        <f t="shared" si="320"/>
        <v>0</v>
      </c>
      <c r="AC820" s="377">
        <f t="shared" si="321"/>
        <v>0</v>
      </c>
      <c r="AD820" s="376"/>
      <c r="AE820" s="332">
        <v>805</v>
      </c>
      <c r="AF820" s="350">
        <v>8576431.1690711696</v>
      </c>
      <c r="AG820" s="350">
        <v>52976.382022615719</v>
      </c>
      <c r="AH820" s="350">
        <v>50723.02686911849</v>
      </c>
      <c r="AI820" s="350">
        <v>48409.037495574936</v>
      </c>
      <c r="AJ820" s="350">
        <v>46034.532097352094</v>
      </c>
      <c r="AK820" s="348">
        <v>8774574.1475558318</v>
      </c>
      <c r="AL820" s="369"/>
      <c r="AM820" s="350">
        <v>11377359.654648326</v>
      </c>
      <c r="AN820" s="350">
        <v>2888507.3857206125</v>
      </c>
      <c r="AO820" s="350">
        <v>2918648.8168774387</v>
      </c>
      <c r="AP820" s="350">
        <v>2946442.6732462291</v>
      </c>
      <c r="AQ820" s="350">
        <v>2971810.0572686563</v>
      </c>
      <c r="AR820" s="348">
        <v>23102768.587761261</v>
      </c>
      <c r="AS820" s="369"/>
      <c r="AT820" s="350">
        <f t="shared" si="339"/>
        <v>2800928.4855771568</v>
      </c>
      <c r="AU820" s="350">
        <f t="shared" si="322"/>
        <v>2835531.003697997</v>
      </c>
      <c r="AV820" s="350">
        <f t="shared" si="323"/>
        <v>2867925.79000832</v>
      </c>
      <c r="AW820" s="350">
        <f t="shared" si="324"/>
        <v>2898033.6357506542</v>
      </c>
      <c r="AX820" s="350">
        <f t="shared" si="325"/>
        <v>2925775.5251713041</v>
      </c>
      <c r="AY820" s="350">
        <f t="shared" si="326"/>
        <v>14328194.440205429</v>
      </c>
      <c r="AZ820" s="365"/>
      <c r="BA820" s="377">
        <f t="shared" si="327"/>
        <v>0</v>
      </c>
      <c r="BB820" s="377">
        <f t="shared" si="328"/>
        <v>0</v>
      </c>
      <c r="BC820" s="377">
        <f t="shared" si="329"/>
        <v>0</v>
      </c>
      <c r="BD820" s="377">
        <f t="shared" si="330"/>
        <v>0</v>
      </c>
      <c r="BE820" s="377">
        <f t="shared" si="331"/>
        <v>0</v>
      </c>
      <c r="BF820" s="377">
        <f t="shared" si="332"/>
        <v>0</v>
      </c>
      <c r="BG820" s="328"/>
    </row>
    <row r="821" spans="2:59">
      <c r="B821" s="332">
        <v>806</v>
      </c>
      <c r="C821" s="350">
        <v>5391358.3066272922</v>
      </c>
      <c r="D821" s="350">
        <v>33302.273596350962</v>
      </c>
      <c r="E821" s="350">
        <v>31885.758406630797</v>
      </c>
      <c r="F821" s="350">
        <v>30431.127035543326</v>
      </c>
      <c r="G821" s="350">
        <v>28938.453783642464</v>
      </c>
      <c r="H821" s="348">
        <v>5515915.9194494598</v>
      </c>
      <c r="I821" s="369"/>
      <c r="J821" s="350">
        <v>7075664.0836007092</v>
      </c>
      <c r="K821" s="350">
        <v>1738415.8725005544</v>
      </c>
      <c r="L821" s="350">
        <v>1756479.5853877943</v>
      </c>
      <c r="M821" s="350">
        <v>1773129.9569745311</v>
      </c>
      <c r="N821" s="350">
        <v>1788319.5463566028</v>
      </c>
      <c r="O821" s="348">
        <v>14132009.044820191</v>
      </c>
      <c r="P821" s="369"/>
      <c r="Q821" s="350">
        <f t="shared" si="333"/>
        <v>1684305.776973417</v>
      </c>
      <c r="R821" s="350">
        <f t="shared" si="334"/>
        <v>1705113.5989042034</v>
      </c>
      <c r="S821" s="350">
        <f t="shared" si="335"/>
        <v>1724593.8269811636</v>
      </c>
      <c r="T821" s="350">
        <f t="shared" si="336"/>
        <v>1742698.8299389877</v>
      </c>
      <c r="U821" s="350">
        <f t="shared" si="337"/>
        <v>1759381.0925729603</v>
      </c>
      <c r="V821" s="350">
        <f t="shared" si="338"/>
        <v>8616093.1253707316</v>
      </c>
      <c r="W821" s="365"/>
      <c r="X821" s="377">
        <f t="shared" si="316"/>
        <v>0</v>
      </c>
      <c r="Y821" s="377">
        <f t="shared" si="317"/>
        <v>0</v>
      </c>
      <c r="Z821" s="377">
        <f t="shared" si="318"/>
        <v>0</v>
      </c>
      <c r="AA821" s="377">
        <f t="shared" si="319"/>
        <v>0</v>
      </c>
      <c r="AB821" s="377">
        <f t="shared" si="320"/>
        <v>0</v>
      </c>
      <c r="AC821" s="377">
        <f t="shared" si="321"/>
        <v>0</v>
      </c>
      <c r="AD821" s="376"/>
      <c r="AE821" s="332">
        <v>806</v>
      </c>
      <c r="AF821" s="350">
        <v>5804554.0447222702</v>
      </c>
      <c r="AG821" s="350">
        <v>35854.572430203771</v>
      </c>
      <c r="AH821" s="350">
        <v>34329.494981020252</v>
      </c>
      <c r="AI821" s="350">
        <v>32763.38011192852</v>
      </c>
      <c r="AJ821" s="350">
        <v>31156.3078178953</v>
      </c>
      <c r="AK821" s="348">
        <v>5938657.8000633176</v>
      </c>
      <c r="AL821" s="369"/>
      <c r="AM821" s="350">
        <v>8817014.928394001</v>
      </c>
      <c r="AN821" s="350">
        <v>3085531.2339600008</v>
      </c>
      <c r="AO821" s="350">
        <v>3118847.4697029479</v>
      </c>
      <c r="AP821" s="350">
        <v>3149663.0125796506</v>
      </c>
      <c r="AQ821" s="350">
        <v>3177892.9593845308</v>
      </c>
      <c r="AR821" s="348">
        <v>21348949.604021132</v>
      </c>
      <c r="AS821" s="369"/>
      <c r="AT821" s="350">
        <f t="shared" si="339"/>
        <v>3012460.8836717308</v>
      </c>
      <c r="AU821" s="350">
        <f t="shared" si="322"/>
        <v>3049676.6615297971</v>
      </c>
      <c r="AV821" s="350">
        <f t="shared" si="323"/>
        <v>3084517.9747219277</v>
      </c>
      <c r="AW821" s="350">
        <f t="shared" si="324"/>
        <v>3116899.6324677221</v>
      </c>
      <c r="AX821" s="350">
        <f t="shared" si="325"/>
        <v>3146736.6515666354</v>
      </c>
      <c r="AY821" s="350">
        <f t="shared" si="326"/>
        <v>15410291.803957814</v>
      </c>
      <c r="AZ821" s="365"/>
      <c r="BA821" s="377">
        <f t="shared" si="327"/>
        <v>0</v>
      </c>
      <c r="BB821" s="377">
        <f t="shared" si="328"/>
        <v>0</v>
      </c>
      <c r="BC821" s="377">
        <f t="shared" si="329"/>
        <v>0</v>
      </c>
      <c r="BD821" s="377">
        <f t="shared" si="330"/>
        <v>0</v>
      </c>
      <c r="BE821" s="377">
        <f t="shared" si="331"/>
        <v>0</v>
      </c>
      <c r="BF821" s="377">
        <f t="shared" si="332"/>
        <v>0</v>
      </c>
      <c r="BG821" s="328"/>
    </row>
    <row r="822" spans="2:59">
      <c r="B822" s="332">
        <v>807</v>
      </c>
      <c r="C822" s="350">
        <v>4731657.8719041543</v>
      </c>
      <c r="D822" s="350">
        <v>29227.321957211483</v>
      </c>
      <c r="E822" s="350">
        <v>27984.13520038328</v>
      </c>
      <c r="F822" s="350">
        <v>26707.496255934275</v>
      </c>
      <c r="G822" s="350">
        <v>25397.470332808454</v>
      </c>
      <c r="H822" s="348">
        <v>4840974.2956504924</v>
      </c>
      <c r="I822" s="369"/>
      <c r="J822" s="350">
        <v>6051281.6329086535</v>
      </c>
      <c r="K822" s="350">
        <v>1365153.6431084531</v>
      </c>
      <c r="L822" s="350">
        <v>1379172.8702147058</v>
      </c>
      <c r="M822" s="350">
        <v>1392081.180596462</v>
      </c>
      <c r="N822" s="350">
        <v>1403841.4121408747</v>
      </c>
      <c r="O822" s="348">
        <v>11591530.738969149</v>
      </c>
      <c r="P822" s="369"/>
      <c r="Q822" s="350">
        <f t="shared" si="333"/>
        <v>1319623.7610044992</v>
      </c>
      <c r="R822" s="350">
        <f t="shared" si="334"/>
        <v>1335926.3211512417</v>
      </c>
      <c r="S822" s="350">
        <f t="shared" si="335"/>
        <v>1351188.7350143224</v>
      </c>
      <c r="T822" s="350">
        <f t="shared" si="336"/>
        <v>1365373.6843405277</v>
      </c>
      <c r="U822" s="350">
        <f t="shared" si="337"/>
        <v>1378443.9418080661</v>
      </c>
      <c r="V822" s="350">
        <f t="shared" si="338"/>
        <v>6750556.4433186566</v>
      </c>
      <c r="W822" s="365"/>
      <c r="X822" s="377">
        <f t="shared" si="316"/>
        <v>0</v>
      </c>
      <c r="Y822" s="377">
        <f t="shared" si="317"/>
        <v>0</v>
      </c>
      <c r="Z822" s="377">
        <f t="shared" si="318"/>
        <v>0</v>
      </c>
      <c r="AA822" s="377">
        <f t="shared" si="319"/>
        <v>0</v>
      </c>
      <c r="AB822" s="377">
        <f t="shared" si="320"/>
        <v>0</v>
      </c>
      <c r="AC822" s="377">
        <f t="shared" si="321"/>
        <v>0</v>
      </c>
      <c r="AD822" s="376"/>
      <c r="AE822" s="332">
        <v>807</v>
      </c>
      <c r="AF822" s="350">
        <v>4394316.6593686836</v>
      </c>
      <c r="AG822" s="350">
        <v>27143.5744642338</v>
      </c>
      <c r="AH822" s="350">
        <v>25989.020093623305</v>
      </c>
      <c r="AI822" s="350">
        <v>24803.398492598662</v>
      </c>
      <c r="AJ822" s="350">
        <v>23586.770221061455</v>
      </c>
      <c r="AK822" s="348">
        <v>4495839.4226402007</v>
      </c>
      <c r="AL822" s="369"/>
      <c r="AM822" s="350">
        <v>5776364.1288554501</v>
      </c>
      <c r="AN822" s="350">
        <v>1426264.7831960497</v>
      </c>
      <c r="AO822" s="350">
        <v>1441094.6185288127</v>
      </c>
      <c r="AP822" s="350">
        <v>1454764.9535272368</v>
      </c>
      <c r="AQ822" s="350">
        <v>1467236.8604218136</v>
      </c>
      <c r="AR822" s="348">
        <v>11565725.344529362</v>
      </c>
      <c r="AS822" s="369"/>
      <c r="AT822" s="350">
        <f t="shared" si="339"/>
        <v>1382047.4694867665</v>
      </c>
      <c r="AU822" s="350">
        <f t="shared" si="322"/>
        <v>1399121.2087318159</v>
      </c>
      <c r="AV822" s="350">
        <f t="shared" si="323"/>
        <v>1415105.5984351893</v>
      </c>
      <c r="AW822" s="350">
        <f t="shared" si="324"/>
        <v>1429961.5550346381</v>
      </c>
      <c r="AX822" s="350">
        <f t="shared" si="325"/>
        <v>1443650.090200752</v>
      </c>
      <c r="AY822" s="350">
        <f t="shared" si="326"/>
        <v>7069885.9218891617</v>
      </c>
      <c r="AZ822" s="365"/>
      <c r="BA822" s="377">
        <f t="shared" si="327"/>
        <v>0</v>
      </c>
      <c r="BB822" s="377">
        <f t="shared" si="328"/>
        <v>0</v>
      </c>
      <c r="BC822" s="377">
        <f t="shared" si="329"/>
        <v>0</v>
      </c>
      <c r="BD822" s="377">
        <f t="shared" si="330"/>
        <v>0</v>
      </c>
      <c r="BE822" s="377">
        <f t="shared" si="331"/>
        <v>0</v>
      </c>
      <c r="BF822" s="377">
        <f t="shared" si="332"/>
        <v>0</v>
      </c>
      <c r="BG822" s="328"/>
    </row>
    <row r="823" spans="2:59">
      <c r="B823" s="332">
        <v>808</v>
      </c>
      <c r="C823" s="350">
        <v>5592961.5430605505</v>
      </c>
      <c r="D823" s="350">
        <v>34547.571303491924</v>
      </c>
      <c r="E823" s="350">
        <v>33078.087264276801</v>
      </c>
      <c r="F823" s="350">
        <v>31569.06173580941</v>
      </c>
      <c r="G823" s="350">
        <v>30020.571797017201</v>
      </c>
      <c r="H823" s="348">
        <v>5722176.8351611458</v>
      </c>
      <c r="I823" s="369"/>
      <c r="J823" s="350">
        <v>7356966.0352389077</v>
      </c>
      <c r="K823" s="350">
        <v>1820344.4790041139</v>
      </c>
      <c r="L823" s="350">
        <v>1839276.9969684572</v>
      </c>
      <c r="M823" s="350">
        <v>1856729.6748225524</v>
      </c>
      <c r="N823" s="350">
        <v>1872652.8260954318</v>
      </c>
      <c r="O823" s="348">
        <v>14745970.012129463</v>
      </c>
      <c r="P823" s="369"/>
      <c r="Q823" s="350">
        <f t="shared" si="333"/>
        <v>1764004.4921783572</v>
      </c>
      <c r="R823" s="350">
        <f t="shared" si="334"/>
        <v>1785796.907700622</v>
      </c>
      <c r="S823" s="350">
        <f t="shared" si="335"/>
        <v>1806198.9097041804</v>
      </c>
      <c r="T823" s="350">
        <f t="shared" si="336"/>
        <v>1825160.613086743</v>
      </c>
      <c r="U823" s="350">
        <f t="shared" si="337"/>
        <v>1842632.2542984146</v>
      </c>
      <c r="V823" s="350">
        <f t="shared" si="338"/>
        <v>9023793.1769683175</v>
      </c>
      <c r="W823" s="365"/>
      <c r="X823" s="377">
        <f t="shared" si="316"/>
        <v>0</v>
      </c>
      <c r="Y823" s="377">
        <f t="shared" si="317"/>
        <v>0</v>
      </c>
      <c r="Z823" s="377">
        <f t="shared" si="318"/>
        <v>0</v>
      </c>
      <c r="AA823" s="377">
        <f t="shared" si="319"/>
        <v>0</v>
      </c>
      <c r="AB823" s="377">
        <f t="shared" si="320"/>
        <v>0</v>
      </c>
      <c r="AC823" s="377">
        <f t="shared" si="321"/>
        <v>0</v>
      </c>
      <c r="AD823" s="376"/>
      <c r="AE823" s="332">
        <v>808</v>
      </c>
      <c r="AF823" s="350">
        <v>5773721.9406130565</v>
      </c>
      <c r="AG823" s="350">
        <v>35664.123361861733</v>
      </c>
      <c r="AH823" s="350">
        <v>34147.146680854952</v>
      </c>
      <c r="AI823" s="350">
        <v>32589.350558787872</v>
      </c>
      <c r="AJ823" s="350">
        <v>30990.814565718258</v>
      </c>
      <c r="AK823" s="348">
        <v>5907113.3757802788</v>
      </c>
      <c r="AL823" s="369"/>
      <c r="AM823" s="350">
        <v>7262645.291749523</v>
      </c>
      <c r="AN823" s="350">
        <v>1542981.5525704867</v>
      </c>
      <c r="AO823" s="350">
        <v>1558685.0633245872</v>
      </c>
      <c r="AP823" s="350">
        <v>1573132.0580456315</v>
      </c>
      <c r="AQ823" s="350">
        <v>1586280.6129460826</v>
      </c>
      <c r="AR823" s="348">
        <v>13523724.578636311</v>
      </c>
      <c r="AS823" s="369"/>
      <c r="AT823" s="350">
        <f t="shared" si="339"/>
        <v>1488923.3511364665</v>
      </c>
      <c r="AU823" s="350">
        <f t="shared" si="322"/>
        <v>1507317.4292086249</v>
      </c>
      <c r="AV823" s="350">
        <f t="shared" si="323"/>
        <v>1524537.9166437322</v>
      </c>
      <c r="AW823" s="350">
        <f t="shared" si="324"/>
        <v>1540542.7074868437</v>
      </c>
      <c r="AX823" s="350">
        <f t="shared" si="325"/>
        <v>1555289.7983803644</v>
      </c>
      <c r="AY823" s="350">
        <f t="shared" si="326"/>
        <v>7616611.2028560322</v>
      </c>
      <c r="AZ823" s="365"/>
      <c r="BA823" s="377">
        <f t="shared" si="327"/>
        <v>0</v>
      </c>
      <c r="BB823" s="377">
        <f t="shared" si="328"/>
        <v>0</v>
      </c>
      <c r="BC823" s="377">
        <f t="shared" si="329"/>
        <v>0</v>
      </c>
      <c r="BD823" s="377">
        <f t="shared" si="330"/>
        <v>0</v>
      </c>
      <c r="BE823" s="377">
        <f t="shared" si="331"/>
        <v>0</v>
      </c>
      <c r="BF823" s="377">
        <f t="shared" si="332"/>
        <v>0</v>
      </c>
      <c r="BG823" s="328"/>
    </row>
    <row r="824" spans="2:59">
      <c r="B824" s="332">
        <v>809</v>
      </c>
      <c r="C824" s="350">
        <v>5764700.5742944619</v>
      </c>
      <c r="D824" s="350">
        <v>35608.398627524315</v>
      </c>
      <c r="E824" s="350">
        <v>34093.792203082623</v>
      </c>
      <c r="F824" s="350">
        <v>32538.430117432956</v>
      </c>
      <c r="G824" s="350">
        <v>30942.391816305611</v>
      </c>
      <c r="H824" s="348">
        <v>5897883.5870588077</v>
      </c>
      <c r="I824" s="369"/>
      <c r="J824" s="350">
        <v>10195838.741249025</v>
      </c>
      <c r="K824" s="350">
        <v>4521488.6054119216</v>
      </c>
      <c r="L824" s="350">
        <v>4571223.3524676459</v>
      </c>
      <c r="M824" s="350">
        <v>4617299.347298326</v>
      </c>
      <c r="N824" s="350">
        <v>4659591.6644722763</v>
      </c>
      <c r="O824" s="348">
        <v>28565441.710899189</v>
      </c>
      <c r="P824" s="369"/>
      <c r="Q824" s="350">
        <f t="shared" si="333"/>
        <v>4431138.166954563</v>
      </c>
      <c r="R824" s="350">
        <f t="shared" si="334"/>
        <v>4485880.2067843974</v>
      </c>
      <c r="S824" s="350">
        <f t="shared" si="335"/>
        <v>4537129.5602645632</v>
      </c>
      <c r="T824" s="350">
        <f t="shared" si="336"/>
        <v>4584760.917180893</v>
      </c>
      <c r="U824" s="350">
        <f t="shared" si="337"/>
        <v>4628649.2726559704</v>
      </c>
      <c r="V824" s="350">
        <f t="shared" si="338"/>
        <v>22667558.12384038</v>
      </c>
      <c r="W824" s="365"/>
      <c r="X824" s="377">
        <f t="shared" si="316"/>
        <v>0</v>
      </c>
      <c r="Y824" s="377">
        <f t="shared" si="317"/>
        <v>0</v>
      </c>
      <c r="Z824" s="377">
        <f t="shared" si="318"/>
        <v>0</v>
      </c>
      <c r="AA824" s="377">
        <f t="shared" si="319"/>
        <v>0</v>
      </c>
      <c r="AB824" s="377">
        <f t="shared" si="320"/>
        <v>0</v>
      </c>
      <c r="AC824" s="377">
        <f t="shared" si="321"/>
        <v>0</v>
      </c>
      <c r="AD824" s="376"/>
      <c r="AE824" s="332">
        <v>809</v>
      </c>
      <c r="AF824" s="350">
        <v>4796171.2757705888</v>
      </c>
      <c r="AG824" s="350">
        <v>29625.819497904798</v>
      </c>
      <c r="AH824" s="350">
        <v>28365.682612498404</v>
      </c>
      <c r="AI824" s="350">
        <v>27071.637438341873</v>
      </c>
      <c r="AJ824" s="350">
        <v>25743.750073465937</v>
      </c>
      <c r="AK824" s="348">
        <v>4906978.1653927993</v>
      </c>
      <c r="AL824" s="369"/>
      <c r="AM824" s="350">
        <v>6552300.6259548282</v>
      </c>
      <c r="AN824" s="350">
        <v>1807450.2961286749</v>
      </c>
      <c r="AO824" s="350">
        <v>1826501.0794704189</v>
      </c>
      <c r="AP824" s="350">
        <v>1844084.0859065386</v>
      </c>
      <c r="AQ824" s="350">
        <v>1860149.8401473067</v>
      </c>
      <c r="AR824" s="348">
        <v>13890485.927607767</v>
      </c>
      <c r="AS824" s="369"/>
      <c r="AT824" s="350">
        <f t="shared" si="339"/>
        <v>1756129.3501842394</v>
      </c>
      <c r="AU824" s="350">
        <f t="shared" si="322"/>
        <v>1777824.4766307701</v>
      </c>
      <c r="AV824" s="350">
        <f t="shared" si="323"/>
        <v>1798135.3968579206</v>
      </c>
      <c r="AW824" s="350">
        <f t="shared" si="324"/>
        <v>1817012.4484681967</v>
      </c>
      <c r="AX824" s="350">
        <f t="shared" si="325"/>
        <v>1834406.0900738407</v>
      </c>
      <c r="AY824" s="350">
        <f t="shared" si="326"/>
        <v>8983507.762214968</v>
      </c>
      <c r="AZ824" s="365"/>
      <c r="BA824" s="377">
        <f t="shared" si="327"/>
        <v>0</v>
      </c>
      <c r="BB824" s="377">
        <f t="shared" si="328"/>
        <v>0</v>
      </c>
      <c r="BC824" s="377">
        <f t="shared" si="329"/>
        <v>0</v>
      </c>
      <c r="BD824" s="377">
        <f t="shared" si="330"/>
        <v>0</v>
      </c>
      <c r="BE824" s="377">
        <f t="shared" si="331"/>
        <v>0</v>
      </c>
      <c r="BF824" s="377">
        <f t="shared" si="332"/>
        <v>0</v>
      </c>
      <c r="BG824" s="328"/>
    </row>
    <row r="825" spans="2:59">
      <c r="B825" s="332">
        <v>810</v>
      </c>
      <c r="C825" s="350">
        <v>5545023.5143854935</v>
      </c>
      <c r="D825" s="350">
        <v>34251.459404445442</v>
      </c>
      <c r="E825" s="350">
        <v>32794.570511375932</v>
      </c>
      <c r="F825" s="350">
        <v>31298.479044496318</v>
      </c>
      <c r="G825" s="350">
        <v>29763.261422080923</v>
      </c>
      <c r="H825" s="348">
        <v>5673131.2847678913</v>
      </c>
      <c r="I825" s="369"/>
      <c r="J825" s="350">
        <v>7542001.3693096284</v>
      </c>
      <c r="K825" s="350">
        <v>2055899.870098833</v>
      </c>
      <c r="L825" s="350">
        <v>2077539.4905275241</v>
      </c>
      <c r="M825" s="350">
        <v>2097509.3884696951</v>
      </c>
      <c r="N825" s="350">
        <v>2115753.3044853127</v>
      </c>
      <c r="O825" s="348">
        <v>15888703.422890995</v>
      </c>
      <c r="P825" s="369"/>
      <c r="Q825" s="350">
        <f t="shared" si="333"/>
        <v>1996977.8549241349</v>
      </c>
      <c r="R825" s="350">
        <f t="shared" si="334"/>
        <v>2021648.4106943875</v>
      </c>
      <c r="S825" s="350">
        <f t="shared" si="335"/>
        <v>2044744.9200161481</v>
      </c>
      <c r="T825" s="350">
        <f t="shared" si="336"/>
        <v>2066210.9094251988</v>
      </c>
      <c r="U825" s="350">
        <f t="shared" si="337"/>
        <v>2085990.0430632317</v>
      </c>
      <c r="V825" s="350">
        <f t="shared" si="338"/>
        <v>10215572.138123102</v>
      </c>
      <c r="W825" s="365"/>
      <c r="X825" s="377">
        <f t="shared" si="316"/>
        <v>0</v>
      </c>
      <c r="Y825" s="377">
        <f t="shared" si="317"/>
        <v>0</v>
      </c>
      <c r="Z825" s="377">
        <f t="shared" si="318"/>
        <v>0</v>
      </c>
      <c r="AA825" s="377">
        <f t="shared" si="319"/>
        <v>0</v>
      </c>
      <c r="AB825" s="377">
        <f t="shared" si="320"/>
        <v>0</v>
      </c>
      <c r="AC825" s="377">
        <f t="shared" si="321"/>
        <v>0</v>
      </c>
      <c r="AD825" s="376"/>
      <c r="AE825" s="332">
        <v>810</v>
      </c>
      <c r="AF825" s="350">
        <v>7266441.2479352262</v>
      </c>
      <c r="AG825" s="350">
        <v>44884.609916038222</v>
      </c>
      <c r="AH825" s="350">
        <v>42975.439013731222</v>
      </c>
      <c r="AI825" s="350">
        <v>41014.89534472565</v>
      </c>
      <c r="AJ825" s="350">
        <v>39003.079050867113</v>
      </c>
      <c r="AK825" s="348">
        <v>7434319.2712605884</v>
      </c>
      <c r="AL825" s="369"/>
      <c r="AM825" s="350">
        <v>10633901.678534154</v>
      </c>
      <c r="AN825" s="350">
        <v>3453946.4634613274</v>
      </c>
      <c r="AO825" s="350">
        <v>3490984.4351295847</v>
      </c>
      <c r="AP825" s="350">
        <v>3525221.5236778776</v>
      </c>
      <c r="AQ825" s="350">
        <v>3556562.8313124469</v>
      </c>
      <c r="AR825" s="348">
        <v>24660616.932115391</v>
      </c>
      <c r="AS825" s="369"/>
      <c r="AT825" s="350">
        <f t="shared" si="339"/>
        <v>3367460.4305989277</v>
      </c>
      <c r="AU825" s="350">
        <f t="shared" si="322"/>
        <v>3409061.853545289</v>
      </c>
      <c r="AV825" s="350">
        <f t="shared" si="323"/>
        <v>3448008.9961158535</v>
      </c>
      <c r="AW825" s="350">
        <f t="shared" si="324"/>
        <v>3484206.6283331518</v>
      </c>
      <c r="AX825" s="350">
        <f t="shared" si="325"/>
        <v>3517559.75226158</v>
      </c>
      <c r="AY825" s="350">
        <f t="shared" si="326"/>
        <v>17226297.660854802</v>
      </c>
      <c r="AZ825" s="365"/>
      <c r="BA825" s="377">
        <f t="shared" si="327"/>
        <v>0</v>
      </c>
      <c r="BB825" s="377">
        <f t="shared" si="328"/>
        <v>0</v>
      </c>
      <c r="BC825" s="377">
        <f t="shared" si="329"/>
        <v>0</v>
      </c>
      <c r="BD825" s="377">
        <f t="shared" si="330"/>
        <v>0</v>
      </c>
      <c r="BE825" s="377">
        <f t="shared" si="331"/>
        <v>0</v>
      </c>
      <c r="BF825" s="377">
        <f t="shared" si="332"/>
        <v>0</v>
      </c>
      <c r="BG825" s="328"/>
    </row>
    <row r="826" spans="2:59">
      <c r="B826" s="332">
        <v>811</v>
      </c>
      <c r="C826" s="350">
        <v>5561982.3798769023</v>
      </c>
      <c r="D826" s="350">
        <v>34356.213855245936</v>
      </c>
      <c r="E826" s="350">
        <v>32894.869222229805</v>
      </c>
      <c r="F826" s="350">
        <v>31394.202118496636</v>
      </c>
      <c r="G826" s="350">
        <v>29854.289196036483</v>
      </c>
      <c r="H826" s="348">
        <v>5690481.9542689109</v>
      </c>
      <c r="I826" s="369"/>
      <c r="J826" s="350">
        <v>8144129.5216364842</v>
      </c>
      <c r="K826" s="350">
        <v>2648403.0609173686</v>
      </c>
      <c r="L826" s="350">
        <v>2676806.1363542858</v>
      </c>
      <c r="M826" s="350">
        <v>2703061.5823496259</v>
      </c>
      <c r="N826" s="350">
        <v>2727096.631745351</v>
      </c>
      <c r="O826" s="348">
        <v>18899496.933003116</v>
      </c>
      <c r="P826" s="369"/>
      <c r="Q826" s="350">
        <f t="shared" si="333"/>
        <v>2582147.1417595819</v>
      </c>
      <c r="R826" s="350">
        <f t="shared" si="334"/>
        <v>2614046.8470621225</v>
      </c>
      <c r="S826" s="350">
        <f t="shared" si="335"/>
        <v>2643911.2671320559</v>
      </c>
      <c r="T826" s="350">
        <f t="shared" si="336"/>
        <v>2671667.3802311295</v>
      </c>
      <c r="U826" s="350">
        <f t="shared" si="337"/>
        <v>2697242.3425493147</v>
      </c>
      <c r="V826" s="350">
        <f t="shared" si="338"/>
        <v>13209014.978734206</v>
      </c>
      <c r="W826" s="365"/>
      <c r="X826" s="377">
        <f t="shared" si="316"/>
        <v>0</v>
      </c>
      <c r="Y826" s="377">
        <f t="shared" si="317"/>
        <v>0</v>
      </c>
      <c r="Z826" s="377">
        <f t="shared" si="318"/>
        <v>0</v>
      </c>
      <c r="AA826" s="377">
        <f t="shared" si="319"/>
        <v>0</v>
      </c>
      <c r="AB826" s="377">
        <f t="shared" si="320"/>
        <v>0</v>
      </c>
      <c r="AC826" s="377">
        <f t="shared" si="321"/>
        <v>0</v>
      </c>
      <c r="AD826" s="376"/>
      <c r="AE826" s="332">
        <v>811</v>
      </c>
      <c r="AF826" s="350">
        <v>5682636.3355464898</v>
      </c>
      <c r="AG826" s="350">
        <v>35101.490057209841</v>
      </c>
      <c r="AH826" s="350">
        <v>33608.445034202647</v>
      </c>
      <c r="AI826" s="350">
        <v>32075.224533166103</v>
      </c>
      <c r="AJ826" s="350">
        <v>30501.90686886961</v>
      </c>
      <c r="AK826" s="348">
        <v>5813923.4020399367</v>
      </c>
      <c r="AL826" s="369"/>
      <c r="AM826" s="350">
        <v>6612018.5590357138</v>
      </c>
      <c r="AN826" s="350">
        <v>975965.25097056432</v>
      </c>
      <c r="AO826" s="350">
        <v>985221.19103788678</v>
      </c>
      <c r="AP826" s="350">
        <v>993678.12086184719</v>
      </c>
      <c r="AQ826" s="350">
        <v>1001309.9003666926</v>
      </c>
      <c r="AR826" s="348">
        <v>10568193.022272704</v>
      </c>
      <c r="AS826" s="369"/>
      <c r="AT826" s="350">
        <f t="shared" si="339"/>
        <v>929382.22348922398</v>
      </c>
      <c r="AU826" s="350">
        <f t="shared" si="322"/>
        <v>940863.76091335446</v>
      </c>
      <c r="AV826" s="350">
        <f t="shared" si="323"/>
        <v>951612.74600368412</v>
      </c>
      <c r="AW826" s="350">
        <f t="shared" si="324"/>
        <v>961602.89632868103</v>
      </c>
      <c r="AX826" s="350">
        <f t="shared" si="325"/>
        <v>970807.99349782302</v>
      </c>
      <c r="AY826" s="350">
        <f t="shared" si="326"/>
        <v>4754269.6202327674</v>
      </c>
      <c r="AZ826" s="365"/>
      <c r="BA826" s="377">
        <f t="shared" si="327"/>
        <v>0</v>
      </c>
      <c r="BB826" s="377">
        <f t="shared" si="328"/>
        <v>0</v>
      </c>
      <c r="BC826" s="377">
        <f t="shared" si="329"/>
        <v>0</v>
      </c>
      <c r="BD826" s="377">
        <f t="shared" si="330"/>
        <v>0</v>
      </c>
      <c r="BE826" s="377">
        <f t="shared" si="331"/>
        <v>0</v>
      </c>
      <c r="BF826" s="377">
        <f t="shared" si="332"/>
        <v>0</v>
      </c>
      <c r="BG826" s="328"/>
    </row>
    <row r="827" spans="2:59">
      <c r="B827" s="332">
        <v>812</v>
      </c>
      <c r="C827" s="350">
        <v>5439222.116750367</v>
      </c>
      <c r="D827" s="350">
        <v>33597.92704941921</v>
      </c>
      <c r="E827" s="350">
        <v>32168.836213595285</v>
      </c>
      <c r="F827" s="350">
        <v>30701.2908056794</v>
      </c>
      <c r="G827" s="350">
        <v>29195.365785846123</v>
      </c>
      <c r="H827" s="348">
        <v>5564885.5366049074</v>
      </c>
      <c r="I827" s="369"/>
      <c r="J827" s="350">
        <v>7674032.8160175607</v>
      </c>
      <c r="K827" s="350">
        <v>2296017.3561061202</v>
      </c>
      <c r="L827" s="350">
        <v>2320435.4853687659</v>
      </c>
      <c r="M827" s="350">
        <v>2342990.4511186071</v>
      </c>
      <c r="N827" s="350">
        <v>2363619.2830604054</v>
      </c>
      <c r="O827" s="348">
        <v>16997095.39167146</v>
      </c>
      <c r="P827" s="369"/>
      <c r="Q827" s="350">
        <f t="shared" si="333"/>
        <v>2234810.6992671937</v>
      </c>
      <c r="R827" s="350">
        <f t="shared" si="334"/>
        <v>2262419.4290567008</v>
      </c>
      <c r="S827" s="350">
        <f t="shared" si="335"/>
        <v>2288266.6491551707</v>
      </c>
      <c r="T827" s="350">
        <f t="shared" si="336"/>
        <v>2312289.1603129278</v>
      </c>
      <c r="U827" s="350">
        <f t="shared" si="337"/>
        <v>2334423.9172745594</v>
      </c>
      <c r="V827" s="350">
        <f t="shared" si="338"/>
        <v>11432209.855066553</v>
      </c>
      <c r="W827" s="365"/>
      <c r="X827" s="377">
        <f t="shared" si="316"/>
        <v>0</v>
      </c>
      <c r="Y827" s="377">
        <f t="shared" si="317"/>
        <v>0</v>
      </c>
      <c r="Z827" s="377">
        <f t="shared" si="318"/>
        <v>0</v>
      </c>
      <c r="AA827" s="377">
        <f t="shared" si="319"/>
        <v>0</v>
      </c>
      <c r="AB827" s="377">
        <f t="shared" si="320"/>
        <v>0</v>
      </c>
      <c r="AC827" s="377">
        <f t="shared" si="321"/>
        <v>0</v>
      </c>
      <c r="AD827" s="376"/>
      <c r="AE827" s="332">
        <v>812</v>
      </c>
      <c r="AF827" s="350">
        <v>6662822.6910711536</v>
      </c>
      <c r="AG827" s="350">
        <v>41156.074510810897</v>
      </c>
      <c r="AH827" s="350">
        <v>39405.497195865937</v>
      </c>
      <c r="AI827" s="350">
        <v>37607.814616597527</v>
      </c>
      <c r="AJ827" s="350">
        <v>35763.118596135151</v>
      </c>
      <c r="AK827" s="348">
        <v>6816755.1959905624</v>
      </c>
      <c r="AL827" s="369"/>
      <c r="AM827" s="350">
        <v>9148572.9613235053</v>
      </c>
      <c r="AN827" s="350">
        <v>2557615.1683597649</v>
      </c>
      <c r="AO827" s="350">
        <v>2584614.1107988255</v>
      </c>
      <c r="AP827" s="350">
        <v>2609536.3484446155</v>
      </c>
      <c r="AQ827" s="350">
        <v>2632311.8487197058</v>
      </c>
      <c r="AR827" s="348">
        <v>19532650.437646415</v>
      </c>
      <c r="AS827" s="369"/>
      <c r="AT827" s="350">
        <f t="shared" si="339"/>
        <v>2485750.2702523516</v>
      </c>
      <c r="AU827" s="350">
        <f t="shared" si="322"/>
        <v>2516459.093848954</v>
      </c>
      <c r="AV827" s="350">
        <f t="shared" si="323"/>
        <v>2545208.6136029596</v>
      </c>
      <c r="AW827" s="350">
        <f t="shared" si="324"/>
        <v>2571928.5338280178</v>
      </c>
      <c r="AX827" s="350">
        <f t="shared" si="325"/>
        <v>2596548.7301235707</v>
      </c>
      <c r="AY827" s="350">
        <f t="shared" si="326"/>
        <v>12715895.241655853</v>
      </c>
      <c r="AZ827" s="365"/>
      <c r="BA827" s="377">
        <f t="shared" si="327"/>
        <v>0</v>
      </c>
      <c r="BB827" s="377">
        <f t="shared" si="328"/>
        <v>0</v>
      </c>
      <c r="BC827" s="377">
        <f t="shared" si="329"/>
        <v>0</v>
      </c>
      <c r="BD827" s="377">
        <f t="shared" si="330"/>
        <v>0</v>
      </c>
      <c r="BE827" s="377">
        <f t="shared" si="331"/>
        <v>0</v>
      </c>
      <c r="BF827" s="377">
        <f t="shared" si="332"/>
        <v>0</v>
      </c>
      <c r="BG827" s="328"/>
    </row>
    <row r="828" spans="2:59">
      <c r="B828" s="332">
        <v>813</v>
      </c>
      <c r="C828" s="350">
        <v>5154912.7357145809</v>
      </c>
      <c r="D828" s="350">
        <v>31841.755736965268</v>
      </c>
      <c r="E828" s="350">
        <v>30487.363805185829</v>
      </c>
      <c r="F828" s="350">
        <v>29096.527330569912</v>
      </c>
      <c r="G828" s="350">
        <v>27669.3173551113</v>
      </c>
      <c r="H828" s="348">
        <v>5274007.6999424137</v>
      </c>
      <c r="I828" s="369"/>
      <c r="J828" s="350">
        <v>6696975.3074860284</v>
      </c>
      <c r="K828" s="350">
        <v>1592954.8846211536</v>
      </c>
      <c r="L828" s="350">
        <v>1609435.574072893</v>
      </c>
      <c r="M828" s="350">
        <v>1624620.7345489278</v>
      </c>
      <c r="N828" s="350">
        <v>1638466.93464663</v>
      </c>
      <c r="O828" s="348">
        <v>13162453.435375635</v>
      </c>
      <c r="P828" s="369"/>
      <c r="Q828" s="350">
        <f t="shared" si="333"/>
        <v>1542062.5717714475</v>
      </c>
      <c r="R828" s="350">
        <f t="shared" si="334"/>
        <v>1561113.1288841884</v>
      </c>
      <c r="S828" s="350">
        <f t="shared" si="335"/>
        <v>1578948.2102677072</v>
      </c>
      <c r="T828" s="350">
        <f t="shared" si="336"/>
        <v>1595524.2072183578</v>
      </c>
      <c r="U828" s="350">
        <f t="shared" si="337"/>
        <v>1610797.6172915187</v>
      </c>
      <c r="V828" s="350">
        <f t="shared" si="338"/>
        <v>7888445.7354332209</v>
      </c>
      <c r="W828" s="365"/>
      <c r="X828" s="377">
        <f t="shared" si="316"/>
        <v>0</v>
      </c>
      <c r="Y828" s="377">
        <f t="shared" si="317"/>
        <v>0</v>
      </c>
      <c r="Z828" s="377">
        <f t="shared" si="318"/>
        <v>0</v>
      </c>
      <c r="AA828" s="377">
        <f t="shared" si="319"/>
        <v>0</v>
      </c>
      <c r="AB828" s="377">
        <f t="shared" si="320"/>
        <v>0</v>
      </c>
      <c r="AC828" s="377">
        <f t="shared" si="321"/>
        <v>0</v>
      </c>
      <c r="AD828" s="376"/>
      <c r="AE828" s="332">
        <v>813</v>
      </c>
      <c r="AF828" s="350">
        <v>6346211.2809226494</v>
      </c>
      <c r="AG828" s="350">
        <v>39200.374443252877</v>
      </c>
      <c r="AH828" s="350">
        <v>37532.983005820577</v>
      </c>
      <c r="AI828" s="350">
        <v>35820.724704341694</v>
      </c>
      <c r="AJ828" s="350">
        <v>34063.686998593126</v>
      </c>
      <c r="AK828" s="348">
        <v>6492829.0500746574</v>
      </c>
      <c r="AL828" s="369"/>
      <c r="AM828" s="350">
        <v>7943141.3315936523</v>
      </c>
      <c r="AN828" s="350">
        <v>1655858.8120761476</v>
      </c>
      <c r="AO828" s="350">
        <v>1672661.0845413851</v>
      </c>
      <c r="AP828" s="350">
        <v>1688114.6067567873</v>
      </c>
      <c r="AQ828" s="350">
        <v>1702174.4158953503</v>
      </c>
      <c r="AR828" s="348">
        <v>14661950.250863321</v>
      </c>
      <c r="AS828" s="369"/>
      <c r="AT828" s="350">
        <f t="shared" si="339"/>
        <v>1596930.0506710028</v>
      </c>
      <c r="AU828" s="350">
        <f t="shared" si="322"/>
        <v>1616658.4376328948</v>
      </c>
      <c r="AV828" s="350">
        <f t="shared" si="323"/>
        <v>1635128.1015355645</v>
      </c>
      <c r="AW828" s="350">
        <f t="shared" si="324"/>
        <v>1652293.8820524456</v>
      </c>
      <c r="AX828" s="350">
        <f t="shared" si="325"/>
        <v>1668110.7288967571</v>
      </c>
      <c r="AY828" s="350">
        <f t="shared" si="326"/>
        <v>8169121.2007886637</v>
      </c>
      <c r="AZ828" s="365"/>
      <c r="BA828" s="377">
        <f t="shared" si="327"/>
        <v>0</v>
      </c>
      <c r="BB828" s="377">
        <f t="shared" si="328"/>
        <v>0</v>
      </c>
      <c r="BC828" s="377">
        <f t="shared" si="329"/>
        <v>0</v>
      </c>
      <c r="BD828" s="377">
        <f t="shared" si="330"/>
        <v>0</v>
      </c>
      <c r="BE828" s="377">
        <f t="shared" si="331"/>
        <v>0</v>
      </c>
      <c r="BF828" s="377">
        <f t="shared" si="332"/>
        <v>0</v>
      </c>
      <c r="BG828" s="328"/>
    </row>
    <row r="829" spans="2:59">
      <c r="B829" s="332">
        <v>814</v>
      </c>
      <c r="C829" s="350">
        <v>7017799.8836475015</v>
      </c>
      <c r="D829" s="350">
        <v>43348.758972741343</v>
      </c>
      <c r="E829" s="350">
        <v>41504.915627847593</v>
      </c>
      <c r="F829" s="350">
        <v>39611.45737740874</v>
      </c>
      <c r="G829" s="350">
        <v>37668.480936640248</v>
      </c>
      <c r="H829" s="348">
        <v>7179933.4965621391</v>
      </c>
      <c r="I829" s="369"/>
      <c r="J829" s="350">
        <v>10107322.741411697</v>
      </c>
      <c r="K829" s="350">
        <v>3171039.4140302343</v>
      </c>
      <c r="L829" s="350">
        <v>3204928.161964803</v>
      </c>
      <c r="M829" s="350">
        <v>3236244.7189282309</v>
      </c>
      <c r="N829" s="350">
        <v>3264902.0244739642</v>
      </c>
      <c r="O829" s="348">
        <v>22984437.060808934</v>
      </c>
      <c r="P829" s="369"/>
      <c r="Q829" s="350">
        <f t="shared" si="333"/>
        <v>3089522.8577641957</v>
      </c>
      <c r="R829" s="350">
        <f t="shared" si="334"/>
        <v>3127690.6550574931</v>
      </c>
      <c r="S829" s="350">
        <f t="shared" si="335"/>
        <v>3163423.2463369556</v>
      </c>
      <c r="T829" s="350">
        <f t="shared" si="336"/>
        <v>3196633.2615508223</v>
      </c>
      <c r="U829" s="350">
        <f t="shared" si="337"/>
        <v>3227233.5435373238</v>
      </c>
      <c r="V829" s="350">
        <f t="shared" si="338"/>
        <v>15804503.564246796</v>
      </c>
      <c r="W829" s="365"/>
      <c r="X829" s="377">
        <f t="shared" si="316"/>
        <v>0</v>
      </c>
      <c r="Y829" s="377">
        <f t="shared" si="317"/>
        <v>0</v>
      </c>
      <c r="Z829" s="377">
        <f t="shared" si="318"/>
        <v>0</v>
      </c>
      <c r="AA829" s="377">
        <f t="shared" si="319"/>
        <v>0</v>
      </c>
      <c r="AB829" s="377">
        <f t="shared" si="320"/>
        <v>0</v>
      </c>
      <c r="AC829" s="377">
        <f t="shared" si="321"/>
        <v>0</v>
      </c>
      <c r="AD829" s="376"/>
      <c r="AE829" s="332">
        <v>814</v>
      </c>
      <c r="AF829" s="350">
        <v>7336539.0022964953</v>
      </c>
      <c r="AG829" s="350">
        <v>45317.601837824877</v>
      </c>
      <c r="AH829" s="350">
        <v>43390.013585349159</v>
      </c>
      <c r="AI829" s="350">
        <v>41410.556984437564</v>
      </c>
      <c r="AJ829" s="350">
        <v>39379.333142980038</v>
      </c>
      <c r="AK829" s="348">
        <v>7506036.5078470875</v>
      </c>
      <c r="AL829" s="369"/>
      <c r="AM829" s="350">
        <v>9736753.8642212115</v>
      </c>
      <c r="AN829" s="350">
        <v>2475184.5875783861</v>
      </c>
      <c r="AO829" s="350">
        <v>2501017.2395288618</v>
      </c>
      <c r="AP829" s="350">
        <v>2524838.2627272028</v>
      </c>
      <c r="AQ829" s="350">
        <v>2546580.0468822736</v>
      </c>
      <c r="AR829" s="348">
        <v>19784374.000937931</v>
      </c>
      <c r="AS829" s="369"/>
      <c r="AT829" s="350">
        <f t="shared" si="339"/>
        <v>2400214.8619247163</v>
      </c>
      <c r="AU829" s="350">
        <f t="shared" si="322"/>
        <v>2429866.985740561</v>
      </c>
      <c r="AV829" s="350">
        <f t="shared" si="323"/>
        <v>2457627.2259435127</v>
      </c>
      <c r="AW829" s="350">
        <f t="shared" si="324"/>
        <v>2483427.7057427652</v>
      </c>
      <c r="AX829" s="350">
        <f t="shared" si="325"/>
        <v>2507200.7137392936</v>
      </c>
      <c r="AY829" s="350">
        <f t="shared" si="326"/>
        <v>12278337.493090844</v>
      </c>
      <c r="AZ829" s="365"/>
      <c r="BA829" s="377">
        <f t="shared" si="327"/>
        <v>0</v>
      </c>
      <c r="BB829" s="377">
        <f t="shared" si="328"/>
        <v>0</v>
      </c>
      <c r="BC829" s="377">
        <f t="shared" si="329"/>
        <v>0</v>
      </c>
      <c r="BD829" s="377">
        <f t="shared" si="330"/>
        <v>0</v>
      </c>
      <c r="BE829" s="377">
        <f t="shared" si="331"/>
        <v>0</v>
      </c>
      <c r="BF829" s="377">
        <f t="shared" si="332"/>
        <v>0</v>
      </c>
      <c r="BG829" s="328"/>
    </row>
    <row r="830" spans="2:59">
      <c r="B830" s="332">
        <v>815</v>
      </c>
      <c r="C830" s="350">
        <v>5346861.6134802839</v>
      </c>
      <c r="D830" s="350">
        <v>33027.418733246508</v>
      </c>
      <c r="E830" s="350">
        <v>31622.594519742222</v>
      </c>
      <c r="F830" s="350">
        <v>30179.968710534577</v>
      </c>
      <c r="G830" s="350">
        <v>28699.614992947554</v>
      </c>
      <c r="H830" s="348">
        <v>5470391.2104367539</v>
      </c>
      <c r="I830" s="369"/>
      <c r="J830" s="350">
        <v>6920030.7057326194</v>
      </c>
      <c r="K830" s="350">
        <v>1625631.3563599319</v>
      </c>
      <c r="L830" s="350">
        <v>1642421.3831881245</v>
      </c>
      <c r="M830" s="350">
        <v>1657889.1257085735</v>
      </c>
      <c r="N830" s="350">
        <v>1671990.277631701</v>
      </c>
      <c r="O830" s="348">
        <v>13517962.848620951</v>
      </c>
      <c r="P830" s="369"/>
      <c r="Q830" s="350">
        <f t="shared" si="333"/>
        <v>1573169.0922523355</v>
      </c>
      <c r="R830" s="350">
        <f t="shared" si="334"/>
        <v>1592603.9376266855</v>
      </c>
      <c r="S830" s="350">
        <f t="shared" si="335"/>
        <v>1610798.7886683822</v>
      </c>
      <c r="T830" s="350">
        <f t="shared" si="336"/>
        <v>1627709.156998039</v>
      </c>
      <c r="U830" s="350">
        <f t="shared" si="337"/>
        <v>1643290.6626387534</v>
      </c>
      <c r="V830" s="350">
        <f t="shared" si="338"/>
        <v>8047571.6381841972</v>
      </c>
      <c r="W830" s="365"/>
      <c r="X830" s="377">
        <f t="shared" si="316"/>
        <v>0</v>
      </c>
      <c r="Y830" s="377">
        <f t="shared" si="317"/>
        <v>0</v>
      </c>
      <c r="Z830" s="377">
        <f t="shared" si="318"/>
        <v>0</v>
      </c>
      <c r="AA830" s="377">
        <f t="shared" si="319"/>
        <v>0</v>
      </c>
      <c r="AB830" s="377">
        <f t="shared" si="320"/>
        <v>0</v>
      </c>
      <c r="AC830" s="377">
        <f t="shared" si="321"/>
        <v>0</v>
      </c>
      <c r="AD830" s="376"/>
      <c r="AE830" s="332">
        <v>815</v>
      </c>
      <c r="AF830" s="350">
        <v>5625931.5156049989</v>
      </c>
      <c r="AG830" s="350">
        <v>34751.225926999672</v>
      </c>
      <c r="AH830" s="350">
        <v>33273.079420137299</v>
      </c>
      <c r="AI830" s="350">
        <v>31755.158330731731</v>
      </c>
      <c r="AJ830" s="350">
        <v>30197.540192077318</v>
      </c>
      <c r="AK830" s="348">
        <v>5755908.519474945</v>
      </c>
      <c r="AL830" s="369"/>
      <c r="AM830" s="350">
        <v>7464793.8893095674</v>
      </c>
      <c r="AN830" s="350">
        <v>1896330.8053494182</v>
      </c>
      <c r="AO830" s="350">
        <v>1916120.4469910183</v>
      </c>
      <c r="AP830" s="350">
        <v>1934368.8944376083</v>
      </c>
      <c r="AQ830" s="350">
        <v>1951024.3498900114</v>
      </c>
      <c r="AR830" s="348">
        <v>15162638.385977626</v>
      </c>
      <c r="AS830" s="369"/>
      <c r="AT830" s="350">
        <f t="shared" si="339"/>
        <v>1838862.3737045685</v>
      </c>
      <c r="AU830" s="350">
        <f t="shared" si="322"/>
        <v>1861579.5794224185</v>
      </c>
      <c r="AV830" s="350">
        <f t="shared" si="323"/>
        <v>1882847.367570881</v>
      </c>
      <c r="AW830" s="350">
        <f t="shared" si="324"/>
        <v>1902613.7361068765</v>
      </c>
      <c r="AX830" s="350">
        <f t="shared" si="325"/>
        <v>1920826.809697934</v>
      </c>
      <c r="AY830" s="350">
        <f t="shared" si="326"/>
        <v>9406729.8665026799</v>
      </c>
      <c r="AZ830" s="365"/>
      <c r="BA830" s="377">
        <f t="shared" si="327"/>
        <v>0</v>
      </c>
      <c r="BB830" s="377">
        <f t="shared" si="328"/>
        <v>0</v>
      </c>
      <c r="BC830" s="377">
        <f t="shared" si="329"/>
        <v>0</v>
      </c>
      <c r="BD830" s="377">
        <f t="shared" si="330"/>
        <v>0</v>
      </c>
      <c r="BE830" s="377">
        <f t="shared" si="331"/>
        <v>0</v>
      </c>
      <c r="BF830" s="377">
        <f t="shared" si="332"/>
        <v>0</v>
      </c>
      <c r="BG830" s="328"/>
    </row>
    <row r="831" spans="2:59">
      <c r="B831" s="332">
        <v>816</v>
      </c>
      <c r="C831" s="350">
        <v>6829723.9905520873</v>
      </c>
      <c r="D831" s="350">
        <v>42187.01929740893</v>
      </c>
      <c r="E831" s="350">
        <v>40392.590653641695</v>
      </c>
      <c r="F831" s="350">
        <v>38549.876775713397</v>
      </c>
      <c r="G831" s="350">
        <v>36658.971786883274</v>
      </c>
      <c r="H831" s="348">
        <v>6987512.4490657356</v>
      </c>
      <c r="I831" s="369"/>
      <c r="J831" s="350">
        <v>8871450.5510508418</v>
      </c>
      <c r="K831" s="350">
        <v>2109136.958640445</v>
      </c>
      <c r="L831" s="350">
        <v>2130956.5908240257</v>
      </c>
      <c r="M831" s="350">
        <v>2151060.8808228686</v>
      </c>
      <c r="N831" s="350">
        <v>2169392.324515997</v>
      </c>
      <c r="O831" s="348">
        <v>17431997.305854179</v>
      </c>
      <c r="P831" s="369"/>
      <c r="Q831" s="350">
        <f t="shared" si="333"/>
        <v>2041726.5604987545</v>
      </c>
      <c r="R831" s="350">
        <f t="shared" si="334"/>
        <v>2066949.9393430362</v>
      </c>
      <c r="S831" s="350">
        <f t="shared" si="335"/>
        <v>2090564.0001703841</v>
      </c>
      <c r="T831" s="350">
        <f t="shared" si="336"/>
        <v>2112511.0040471554</v>
      </c>
      <c r="U831" s="350">
        <f t="shared" si="337"/>
        <v>2132733.3527291138</v>
      </c>
      <c r="V831" s="350">
        <f t="shared" si="338"/>
        <v>10444484.856788443</v>
      </c>
      <c r="W831" s="365"/>
      <c r="X831" s="377">
        <f t="shared" si="316"/>
        <v>0</v>
      </c>
      <c r="Y831" s="377">
        <f t="shared" si="317"/>
        <v>0</v>
      </c>
      <c r="Z831" s="377">
        <f t="shared" si="318"/>
        <v>0</v>
      </c>
      <c r="AA831" s="377">
        <f t="shared" si="319"/>
        <v>0</v>
      </c>
      <c r="AB831" s="377">
        <f t="shared" si="320"/>
        <v>0</v>
      </c>
      <c r="AC831" s="377">
        <f t="shared" si="321"/>
        <v>0</v>
      </c>
      <c r="AD831" s="376"/>
      <c r="AE831" s="332">
        <v>816</v>
      </c>
      <c r="AF831" s="350">
        <v>5272378.3423218075</v>
      </c>
      <c r="AG831" s="350">
        <v>32567.337593505472</v>
      </c>
      <c r="AH831" s="350">
        <v>31182.082972480232</v>
      </c>
      <c r="AI831" s="350">
        <v>29759.553342508225</v>
      </c>
      <c r="AJ831" s="350">
        <v>28299.82136442449</v>
      </c>
      <c r="AK831" s="348">
        <v>5394187.137594725</v>
      </c>
      <c r="AL831" s="369"/>
      <c r="AM831" s="350">
        <v>7742865.9143071156</v>
      </c>
      <c r="AN831" s="350">
        <v>2533575.1786314216</v>
      </c>
      <c r="AO831" s="350">
        <v>2560762.9194970289</v>
      </c>
      <c r="AP831" s="350">
        <v>2585896.2477222974</v>
      </c>
      <c r="AQ831" s="350">
        <v>2608905.5421367222</v>
      </c>
      <c r="AR831" s="348">
        <v>18032005.802294586</v>
      </c>
      <c r="AS831" s="369"/>
      <c r="AT831" s="350">
        <f t="shared" si="339"/>
        <v>2470487.5719853081</v>
      </c>
      <c r="AU831" s="350">
        <f t="shared" si="322"/>
        <v>2501007.841037916</v>
      </c>
      <c r="AV831" s="350">
        <f t="shared" si="323"/>
        <v>2529580.8365245485</v>
      </c>
      <c r="AW831" s="350">
        <f t="shared" si="324"/>
        <v>2556136.6943797893</v>
      </c>
      <c r="AX831" s="350">
        <f t="shared" si="325"/>
        <v>2580605.7207722976</v>
      </c>
      <c r="AY831" s="350">
        <f t="shared" si="326"/>
        <v>12637818.66469986</v>
      </c>
      <c r="AZ831" s="365"/>
      <c r="BA831" s="377">
        <f t="shared" si="327"/>
        <v>0</v>
      </c>
      <c r="BB831" s="377">
        <f t="shared" si="328"/>
        <v>0</v>
      </c>
      <c r="BC831" s="377">
        <f t="shared" si="329"/>
        <v>0</v>
      </c>
      <c r="BD831" s="377">
        <f t="shared" si="330"/>
        <v>0</v>
      </c>
      <c r="BE831" s="377">
        <f t="shared" si="331"/>
        <v>0</v>
      </c>
      <c r="BF831" s="377">
        <f t="shared" si="332"/>
        <v>0</v>
      </c>
      <c r="BG831" s="328"/>
    </row>
    <row r="832" spans="2:59">
      <c r="B832" s="332">
        <v>817</v>
      </c>
      <c r="C832" s="350">
        <v>5766982.4281398682</v>
      </c>
      <c r="D832" s="350">
        <v>35622.493576653353</v>
      </c>
      <c r="E832" s="350">
        <v>34107.287622288182</v>
      </c>
      <c r="F832" s="350">
        <v>32551.309874313494</v>
      </c>
      <c r="G832" s="350">
        <v>30954.639809908</v>
      </c>
      <c r="H832" s="348">
        <v>5900218.1590230316</v>
      </c>
      <c r="I832" s="369"/>
      <c r="J832" s="350">
        <v>8037328.5365225784</v>
      </c>
      <c r="K832" s="350">
        <v>2334016.3342597135</v>
      </c>
      <c r="L832" s="350">
        <v>2358759.3413979895</v>
      </c>
      <c r="M832" s="350">
        <v>2381607.8533629328</v>
      </c>
      <c r="N832" s="350">
        <v>2402497.9019026235</v>
      </c>
      <c r="O832" s="348">
        <v>17514209.967445835</v>
      </c>
      <c r="P832" s="369"/>
      <c r="Q832" s="350">
        <f t="shared" si="333"/>
        <v>2270346.1083827103</v>
      </c>
      <c r="R832" s="350">
        <f t="shared" si="334"/>
        <v>2298393.8406830602</v>
      </c>
      <c r="S832" s="350">
        <f t="shared" si="335"/>
        <v>2324652.0537757012</v>
      </c>
      <c r="T832" s="350">
        <f t="shared" si="336"/>
        <v>2349056.5434886194</v>
      </c>
      <c r="U832" s="350">
        <f t="shared" si="337"/>
        <v>2371543.2620927156</v>
      </c>
      <c r="V832" s="350">
        <f t="shared" si="338"/>
        <v>11613991.808422804</v>
      </c>
      <c r="W832" s="365"/>
      <c r="X832" s="377">
        <f t="shared" si="316"/>
        <v>0</v>
      </c>
      <c r="Y832" s="377">
        <f t="shared" si="317"/>
        <v>0</v>
      </c>
      <c r="Z832" s="377">
        <f t="shared" si="318"/>
        <v>0</v>
      </c>
      <c r="AA832" s="377">
        <f t="shared" si="319"/>
        <v>0</v>
      </c>
      <c r="AB832" s="377">
        <f t="shared" si="320"/>
        <v>0</v>
      </c>
      <c r="AC832" s="377">
        <f t="shared" si="321"/>
        <v>0</v>
      </c>
      <c r="AD832" s="376"/>
      <c r="AE832" s="332">
        <v>817</v>
      </c>
      <c r="AF832" s="350">
        <v>4545603.8753322577</v>
      </c>
      <c r="AG832" s="350">
        <v>28078.071481702267</v>
      </c>
      <c r="AH832" s="350">
        <v>26883.768196767949</v>
      </c>
      <c r="AI832" s="350">
        <v>25657.328101057672</v>
      </c>
      <c r="AJ832" s="350">
        <v>24398.813839426824</v>
      </c>
      <c r="AK832" s="348">
        <v>4650621.8569512125</v>
      </c>
      <c r="AL832" s="369"/>
      <c r="AM832" s="350">
        <v>5978250.8816416292</v>
      </c>
      <c r="AN832" s="350">
        <v>1478423.9209610631</v>
      </c>
      <c r="AO832" s="350">
        <v>1493799.2280273028</v>
      </c>
      <c r="AP832" s="350">
        <v>1507972.6509738974</v>
      </c>
      <c r="AQ832" s="350">
        <v>1520903.8366751601</v>
      </c>
      <c r="AR832" s="348">
        <v>11979350.518279053</v>
      </c>
      <c r="AS832" s="369"/>
      <c r="AT832" s="350">
        <f t="shared" si="339"/>
        <v>1432647.0063093714</v>
      </c>
      <c r="AU832" s="350">
        <f t="shared" si="322"/>
        <v>1450345.849479361</v>
      </c>
      <c r="AV832" s="350">
        <f t="shared" si="323"/>
        <v>1466915.4598305349</v>
      </c>
      <c r="AW832" s="350">
        <f t="shared" si="324"/>
        <v>1482315.3228728399</v>
      </c>
      <c r="AX832" s="350">
        <f t="shared" si="325"/>
        <v>1496505.0228357334</v>
      </c>
      <c r="AY832" s="350">
        <f t="shared" si="326"/>
        <v>7328728.6613278408</v>
      </c>
      <c r="AZ832" s="365"/>
      <c r="BA832" s="377">
        <f t="shared" si="327"/>
        <v>0</v>
      </c>
      <c r="BB832" s="377">
        <f t="shared" si="328"/>
        <v>0</v>
      </c>
      <c r="BC832" s="377">
        <f t="shared" si="329"/>
        <v>0</v>
      </c>
      <c r="BD832" s="377">
        <f t="shared" si="330"/>
        <v>0</v>
      </c>
      <c r="BE832" s="377">
        <f t="shared" si="331"/>
        <v>0</v>
      </c>
      <c r="BF832" s="377">
        <f t="shared" si="332"/>
        <v>0</v>
      </c>
      <c r="BG832" s="328"/>
    </row>
    <row r="833" spans="2:59">
      <c r="B833" s="332">
        <v>818</v>
      </c>
      <c r="C833" s="350">
        <v>6219937.0936636431</v>
      </c>
      <c r="D833" s="350">
        <v>38420.38222365205</v>
      </c>
      <c r="E833" s="350">
        <v>36786.167825129902</v>
      </c>
      <c r="F833" s="350">
        <v>35107.979304158522</v>
      </c>
      <c r="G833" s="350">
        <v>33385.902380276006</v>
      </c>
      <c r="H833" s="348">
        <v>6363637.5253968593</v>
      </c>
      <c r="I833" s="369"/>
      <c r="J833" s="350">
        <v>8999953.3032899424</v>
      </c>
      <c r="K833" s="350">
        <v>2852780.7608514656</v>
      </c>
      <c r="L833" s="350">
        <v>2883299.4669983326</v>
      </c>
      <c r="M833" s="350">
        <v>2911504.333197115</v>
      </c>
      <c r="N833" s="350">
        <v>2937317.0193606163</v>
      </c>
      <c r="O833" s="348">
        <v>20584854.883697473</v>
      </c>
      <c r="P833" s="369"/>
      <c r="Q833" s="350">
        <f t="shared" si="333"/>
        <v>2780016.2096262993</v>
      </c>
      <c r="R833" s="350">
        <f t="shared" si="334"/>
        <v>2814360.3786278134</v>
      </c>
      <c r="S833" s="350">
        <f t="shared" si="335"/>
        <v>2846513.2991732028</v>
      </c>
      <c r="T833" s="350">
        <f t="shared" si="336"/>
        <v>2876396.3538929564</v>
      </c>
      <c r="U833" s="350">
        <f t="shared" si="337"/>
        <v>2903931.1169803403</v>
      </c>
      <c r="V833" s="350">
        <f t="shared" si="338"/>
        <v>14221217.358300613</v>
      </c>
      <c r="W833" s="365"/>
      <c r="X833" s="377">
        <f t="shared" si="316"/>
        <v>0</v>
      </c>
      <c r="Y833" s="377">
        <f t="shared" si="317"/>
        <v>0</v>
      </c>
      <c r="Z833" s="377">
        <f t="shared" si="318"/>
        <v>0</v>
      </c>
      <c r="AA833" s="377">
        <f t="shared" si="319"/>
        <v>0</v>
      </c>
      <c r="AB833" s="377">
        <f t="shared" si="320"/>
        <v>0</v>
      </c>
      <c r="AC833" s="377">
        <f t="shared" si="321"/>
        <v>0</v>
      </c>
      <c r="AD833" s="376"/>
      <c r="AE833" s="332">
        <v>818</v>
      </c>
      <c r="AF833" s="350">
        <v>5300808.1957957633</v>
      </c>
      <c r="AG833" s="350">
        <v>32742.948025022906</v>
      </c>
      <c r="AH833" s="350">
        <v>31350.22379856792</v>
      </c>
      <c r="AI833" s="350">
        <v>29920.023567905948</v>
      </c>
      <c r="AJ833" s="350">
        <v>28452.420385681176</v>
      </c>
      <c r="AK833" s="348">
        <v>5423273.811572941</v>
      </c>
      <c r="AL833" s="369"/>
      <c r="AM833" s="350">
        <v>7203047.4316770593</v>
      </c>
      <c r="AN833" s="350">
        <v>1958482.3439313574</v>
      </c>
      <c r="AO833" s="350">
        <v>1979090.4076131992</v>
      </c>
      <c r="AP833" s="350">
        <v>1998107.828867283</v>
      </c>
      <c r="AQ833" s="350">
        <v>2015481.0175171939</v>
      </c>
      <c r="AR833" s="348">
        <v>15154209.029606093</v>
      </c>
      <c r="AS833" s="369"/>
      <c r="AT833" s="350">
        <f t="shared" si="339"/>
        <v>1902239.235881296</v>
      </c>
      <c r="AU833" s="350">
        <f t="shared" si="322"/>
        <v>1925739.3959063345</v>
      </c>
      <c r="AV833" s="350">
        <f t="shared" si="323"/>
        <v>1947740.1838146313</v>
      </c>
      <c r="AW833" s="350">
        <f t="shared" si="324"/>
        <v>1968187.8052993771</v>
      </c>
      <c r="AX833" s="350">
        <f t="shared" si="325"/>
        <v>1987028.5971315128</v>
      </c>
      <c r="AY833" s="350">
        <f t="shared" si="326"/>
        <v>9730935.2180331517</v>
      </c>
      <c r="AZ833" s="365"/>
      <c r="BA833" s="377">
        <f t="shared" si="327"/>
        <v>0</v>
      </c>
      <c r="BB833" s="377">
        <f t="shared" si="328"/>
        <v>0</v>
      </c>
      <c r="BC833" s="377">
        <f t="shared" si="329"/>
        <v>0</v>
      </c>
      <c r="BD833" s="377">
        <f t="shared" si="330"/>
        <v>0</v>
      </c>
      <c r="BE833" s="377">
        <f t="shared" si="331"/>
        <v>0</v>
      </c>
      <c r="BF833" s="377">
        <f t="shared" si="332"/>
        <v>0</v>
      </c>
      <c r="BG833" s="328"/>
    </row>
    <row r="834" spans="2:59">
      <c r="B834" s="332">
        <v>819</v>
      </c>
      <c r="C834" s="350">
        <v>5739949.3218890056</v>
      </c>
      <c r="D834" s="350">
        <v>35455.510814735149</v>
      </c>
      <c r="E834" s="350">
        <v>33947.40748710357</v>
      </c>
      <c r="F834" s="350">
        <v>32398.7234863019</v>
      </c>
      <c r="G834" s="350">
        <v>30809.537916956448</v>
      </c>
      <c r="H834" s="348">
        <v>5872560.501594102</v>
      </c>
      <c r="I834" s="369"/>
      <c r="J834" s="350">
        <v>7883221.0385273881</v>
      </c>
      <c r="K834" s="350">
        <v>2205205.0896315863</v>
      </c>
      <c r="L834" s="350">
        <v>2228485.491124046</v>
      </c>
      <c r="M834" s="350">
        <v>2249975.344008687</v>
      </c>
      <c r="N834" s="350">
        <v>2269614.2645004429</v>
      </c>
      <c r="O834" s="348">
        <v>16836501.227792151</v>
      </c>
      <c r="P834" s="369"/>
      <c r="Q834" s="350">
        <f t="shared" si="333"/>
        <v>2143271.7166383825</v>
      </c>
      <c r="R834" s="350">
        <f t="shared" si="334"/>
        <v>2169749.5788168511</v>
      </c>
      <c r="S834" s="350">
        <f t="shared" si="335"/>
        <v>2194538.0836369423</v>
      </c>
      <c r="T834" s="350">
        <f t="shared" si="336"/>
        <v>2217576.620522385</v>
      </c>
      <c r="U834" s="350">
        <f t="shared" si="337"/>
        <v>2238804.7265834864</v>
      </c>
      <c r="V834" s="350">
        <f t="shared" si="338"/>
        <v>10963940.726198049</v>
      </c>
      <c r="W834" s="365"/>
      <c r="X834" s="377">
        <f t="shared" si="316"/>
        <v>0</v>
      </c>
      <c r="Y834" s="377">
        <f t="shared" si="317"/>
        <v>0</v>
      </c>
      <c r="Z834" s="377">
        <f t="shared" si="318"/>
        <v>0</v>
      </c>
      <c r="AA834" s="377">
        <f t="shared" si="319"/>
        <v>0</v>
      </c>
      <c r="AB834" s="377">
        <f t="shared" si="320"/>
        <v>0</v>
      </c>
      <c r="AC834" s="377">
        <f t="shared" si="321"/>
        <v>0</v>
      </c>
      <c r="AD834" s="376"/>
      <c r="AE834" s="332">
        <v>819</v>
      </c>
      <c r="AF834" s="350">
        <v>5608285.7471794318</v>
      </c>
      <c r="AG834" s="350">
        <v>34642.228495460855</v>
      </c>
      <c r="AH834" s="350">
        <v>33168.718204110577</v>
      </c>
      <c r="AI834" s="350">
        <v>31655.558083436194</v>
      </c>
      <c r="AJ834" s="350">
        <v>30102.825423550348</v>
      </c>
      <c r="AK834" s="348">
        <v>5737855.0773859909</v>
      </c>
      <c r="AL834" s="369"/>
      <c r="AM834" s="350">
        <v>8175961.5651367921</v>
      </c>
      <c r="AN834" s="350">
        <v>2634038.9738084502</v>
      </c>
      <c r="AO834" s="350">
        <v>2662262.5121440953</v>
      </c>
      <c r="AP834" s="350">
        <v>2688349.9094248177</v>
      </c>
      <c r="AQ834" s="350">
        <v>2712228.8073748001</v>
      </c>
      <c r="AR834" s="348">
        <v>18872841.767888956</v>
      </c>
      <c r="AS834" s="369"/>
      <c r="AT834" s="350">
        <f t="shared" si="339"/>
        <v>2567675.8179573603</v>
      </c>
      <c r="AU834" s="350">
        <f t="shared" si="322"/>
        <v>2599396.7453129892</v>
      </c>
      <c r="AV834" s="350">
        <f t="shared" si="323"/>
        <v>2629093.7939399849</v>
      </c>
      <c r="AW834" s="350">
        <f t="shared" si="324"/>
        <v>2656694.3513413817</v>
      </c>
      <c r="AX834" s="350">
        <f t="shared" si="325"/>
        <v>2682125.9819512498</v>
      </c>
      <c r="AY834" s="350">
        <f t="shared" si="326"/>
        <v>13134986.690502964</v>
      </c>
      <c r="AZ834" s="365"/>
      <c r="BA834" s="377">
        <f t="shared" si="327"/>
        <v>0</v>
      </c>
      <c r="BB834" s="377">
        <f t="shared" si="328"/>
        <v>0</v>
      </c>
      <c r="BC834" s="377">
        <f t="shared" si="329"/>
        <v>0</v>
      </c>
      <c r="BD834" s="377">
        <f t="shared" si="330"/>
        <v>0</v>
      </c>
      <c r="BE834" s="377">
        <f t="shared" si="331"/>
        <v>0</v>
      </c>
      <c r="BF834" s="377">
        <f t="shared" si="332"/>
        <v>0</v>
      </c>
      <c r="BG834" s="328"/>
    </row>
    <row r="835" spans="2:59">
      <c r="B835" s="332">
        <v>820</v>
      </c>
      <c r="C835" s="350">
        <v>4411922.1166947167</v>
      </c>
      <c r="D835" s="350">
        <v>27252.322895206726</v>
      </c>
      <c r="E835" s="350">
        <v>26093.142900345378</v>
      </c>
      <c r="F835" s="350">
        <v>24902.77120684605</v>
      </c>
      <c r="G835" s="350">
        <v>23681.268617234757</v>
      </c>
      <c r="H835" s="348">
        <v>4513851.6223143497</v>
      </c>
      <c r="I835" s="369"/>
      <c r="J835" s="350">
        <v>6754424.7894286308</v>
      </c>
      <c r="K835" s="350">
        <v>2398694.1461996455</v>
      </c>
      <c r="L835" s="350">
        <v>2424627.7227336732</v>
      </c>
      <c r="M835" s="350">
        <v>2448617.4688064256</v>
      </c>
      <c r="N835" s="350">
        <v>2470597.3619144196</v>
      </c>
      <c r="O835" s="348">
        <v>16496961.489082795</v>
      </c>
      <c r="P835" s="369"/>
      <c r="Q835" s="350">
        <f t="shared" si="333"/>
        <v>2342502.6727339141</v>
      </c>
      <c r="R835" s="350">
        <f t="shared" si="334"/>
        <v>2371441.823304439</v>
      </c>
      <c r="S835" s="350">
        <f t="shared" si="335"/>
        <v>2398534.5798333278</v>
      </c>
      <c r="T835" s="350">
        <f t="shared" si="336"/>
        <v>2423714.6975995796</v>
      </c>
      <c r="U835" s="350">
        <f t="shared" si="337"/>
        <v>2446916.0932971849</v>
      </c>
      <c r="V835" s="350">
        <f t="shared" si="338"/>
        <v>11983109.866768446</v>
      </c>
      <c r="W835" s="365"/>
      <c r="X835" s="377">
        <f t="shared" si="316"/>
        <v>0</v>
      </c>
      <c r="Y835" s="377">
        <f t="shared" si="317"/>
        <v>0</v>
      </c>
      <c r="Z835" s="377">
        <f t="shared" si="318"/>
        <v>0</v>
      </c>
      <c r="AA835" s="377">
        <f t="shared" si="319"/>
        <v>0</v>
      </c>
      <c r="AB835" s="377">
        <f t="shared" si="320"/>
        <v>0</v>
      </c>
      <c r="AC835" s="377">
        <f t="shared" si="321"/>
        <v>0</v>
      </c>
      <c r="AD835" s="376"/>
      <c r="AE835" s="332">
        <v>820</v>
      </c>
      <c r="AF835" s="350">
        <v>5158045.756112434</v>
      </c>
      <c r="AG835" s="350">
        <v>31861.108318734208</v>
      </c>
      <c r="AH835" s="350">
        <v>30505.893223155181</v>
      </c>
      <c r="AI835" s="350">
        <v>29114.211434706882</v>
      </c>
      <c r="AJ835" s="350">
        <v>27686.134038557415</v>
      </c>
      <c r="AK835" s="348">
        <v>5277213.1031275876</v>
      </c>
      <c r="AL835" s="369"/>
      <c r="AM835" s="350">
        <v>7002955.6857357463</v>
      </c>
      <c r="AN835" s="350">
        <v>1899562.9548366875</v>
      </c>
      <c r="AO835" s="350">
        <v>1919545.4722964696</v>
      </c>
      <c r="AP835" s="350">
        <v>1937985.1656593769</v>
      </c>
      <c r="AQ835" s="350">
        <v>1954830.0600731894</v>
      </c>
      <c r="AR835" s="348">
        <v>14714879.33860147</v>
      </c>
      <c r="AS835" s="369"/>
      <c r="AT835" s="350">
        <f t="shared" si="339"/>
        <v>1844909.9296233123</v>
      </c>
      <c r="AU835" s="350">
        <f t="shared" si="322"/>
        <v>1867701.8465179533</v>
      </c>
      <c r="AV835" s="350">
        <f t="shared" si="323"/>
        <v>1889039.5790733143</v>
      </c>
      <c r="AW835" s="350">
        <f t="shared" si="324"/>
        <v>1908870.9542246701</v>
      </c>
      <c r="AX835" s="350">
        <f t="shared" si="325"/>
        <v>1927143.9260346321</v>
      </c>
      <c r="AY835" s="350">
        <f t="shared" si="326"/>
        <v>9437666.2354738824</v>
      </c>
      <c r="AZ835" s="365"/>
      <c r="BA835" s="377">
        <f t="shared" si="327"/>
        <v>0</v>
      </c>
      <c r="BB835" s="377">
        <f t="shared" si="328"/>
        <v>0</v>
      </c>
      <c r="BC835" s="377">
        <f t="shared" si="329"/>
        <v>0</v>
      </c>
      <c r="BD835" s="377">
        <f t="shared" si="330"/>
        <v>0</v>
      </c>
      <c r="BE835" s="377">
        <f t="shared" si="331"/>
        <v>0</v>
      </c>
      <c r="BF835" s="377">
        <f t="shared" si="332"/>
        <v>0</v>
      </c>
      <c r="BG835" s="328"/>
    </row>
    <row r="836" spans="2:59">
      <c r="B836" s="332">
        <v>821</v>
      </c>
      <c r="C836" s="350">
        <v>5820430.3631500937</v>
      </c>
      <c r="D836" s="350">
        <v>35952.640017242389</v>
      </c>
      <c r="E836" s="350">
        <v>34423.391254460272</v>
      </c>
      <c r="F836" s="350">
        <v>32852.992828325347</v>
      </c>
      <c r="G836" s="350">
        <v>31241.524952605225</v>
      </c>
      <c r="H836" s="348">
        <v>5954900.912202727</v>
      </c>
      <c r="I836" s="369"/>
      <c r="J836" s="350">
        <v>7518979.650176473</v>
      </c>
      <c r="K836" s="350">
        <v>1755485.7125226578</v>
      </c>
      <c r="L836" s="350">
        <v>1773601.4284471595</v>
      </c>
      <c r="M836" s="350">
        <v>1790289.1398524153</v>
      </c>
      <c r="N836" s="350">
        <v>1805501.0099301147</v>
      </c>
      <c r="O836" s="348">
        <v>14643856.940928821</v>
      </c>
      <c r="P836" s="369"/>
      <c r="Q836" s="350">
        <f t="shared" si="333"/>
        <v>1698549.2870263793</v>
      </c>
      <c r="R836" s="350">
        <f t="shared" si="334"/>
        <v>1719533.0725054154</v>
      </c>
      <c r="S836" s="350">
        <f t="shared" si="335"/>
        <v>1739178.0371926993</v>
      </c>
      <c r="T836" s="350">
        <f t="shared" si="336"/>
        <v>1757436.1470240899</v>
      </c>
      <c r="U836" s="350">
        <f t="shared" si="337"/>
        <v>1774259.4849775096</v>
      </c>
      <c r="V836" s="350">
        <f t="shared" si="338"/>
        <v>8688956.0287260935</v>
      </c>
      <c r="W836" s="365"/>
      <c r="X836" s="377">
        <f t="shared" si="316"/>
        <v>0</v>
      </c>
      <c r="Y836" s="377">
        <f t="shared" si="317"/>
        <v>0</v>
      </c>
      <c r="Z836" s="377">
        <f t="shared" si="318"/>
        <v>0</v>
      </c>
      <c r="AA836" s="377">
        <f t="shared" si="319"/>
        <v>0</v>
      </c>
      <c r="AB836" s="377">
        <f t="shared" si="320"/>
        <v>0</v>
      </c>
      <c r="AC836" s="377">
        <f t="shared" si="321"/>
        <v>0</v>
      </c>
      <c r="AD836" s="376"/>
      <c r="AE836" s="332">
        <v>821</v>
      </c>
      <c r="AF836" s="350">
        <v>5226980.4495134065</v>
      </c>
      <c r="AG836" s="350">
        <v>32286.916044607562</v>
      </c>
      <c r="AH836" s="350">
        <v>30913.589179278551</v>
      </c>
      <c r="AI836" s="350">
        <v>29503.308262023867</v>
      </c>
      <c r="AJ836" s="350">
        <v>28056.145328035283</v>
      </c>
      <c r="AK836" s="348">
        <v>5347740.4083273523</v>
      </c>
      <c r="AL836" s="369"/>
      <c r="AM836" s="350">
        <v>6657961.0881670602</v>
      </c>
      <c r="AN836" s="350">
        <v>1480945.8116528946</v>
      </c>
      <c r="AO836" s="350">
        <v>1496122.8223781537</v>
      </c>
      <c r="AP836" s="350">
        <v>1510094.4923213734</v>
      </c>
      <c r="AQ836" s="350">
        <v>1522820.5247563638</v>
      </c>
      <c r="AR836" s="348">
        <v>12667944.739275847</v>
      </c>
      <c r="AS836" s="369"/>
      <c r="AT836" s="350">
        <f t="shared" si="339"/>
        <v>1430980.6386536537</v>
      </c>
      <c r="AU836" s="350">
        <f t="shared" si="322"/>
        <v>1448658.8956082871</v>
      </c>
      <c r="AV836" s="350">
        <f t="shared" si="323"/>
        <v>1465209.2331988751</v>
      </c>
      <c r="AW836" s="350">
        <f t="shared" si="324"/>
        <v>1480591.1840593496</v>
      </c>
      <c r="AX836" s="350">
        <f t="shared" si="325"/>
        <v>1494764.3794283285</v>
      </c>
      <c r="AY836" s="350">
        <f t="shared" si="326"/>
        <v>7320204.3309484944</v>
      </c>
      <c r="AZ836" s="365"/>
      <c r="BA836" s="377">
        <f t="shared" si="327"/>
        <v>0</v>
      </c>
      <c r="BB836" s="377">
        <f t="shared" si="328"/>
        <v>0</v>
      </c>
      <c r="BC836" s="377">
        <f t="shared" si="329"/>
        <v>0</v>
      </c>
      <c r="BD836" s="377">
        <f t="shared" si="330"/>
        <v>0</v>
      </c>
      <c r="BE836" s="377">
        <f t="shared" si="331"/>
        <v>0</v>
      </c>
      <c r="BF836" s="377">
        <f t="shared" si="332"/>
        <v>0</v>
      </c>
      <c r="BG836" s="328"/>
    </row>
    <row r="837" spans="2:59">
      <c r="B837" s="332">
        <v>822</v>
      </c>
      <c r="C837" s="350">
        <v>5411036.1897615464</v>
      </c>
      <c r="D837" s="350">
        <v>33423.823345165714</v>
      </c>
      <c r="E837" s="350">
        <v>32002.138025993136</v>
      </c>
      <c r="F837" s="350">
        <v>30542.197405456758</v>
      </c>
      <c r="G837" s="350">
        <v>29044.076055295242</v>
      </c>
      <c r="H837" s="348">
        <v>5536048.424593457</v>
      </c>
      <c r="I837" s="369"/>
      <c r="J837" s="350">
        <v>7135666.747596412</v>
      </c>
      <c r="K837" s="350">
        <v>1779360.3732596312</v>
      </c>
      <c r="L837" s="350">
        <v>1797885.3015983943</v>
      </c>
      <c r="M837" s="350">
        <v>1814963.8245856152</v>
      </c>
      <c r="N837" s="350">
        <v>1830547.3640037687</v>
      </c>
      <c r="O837" s="348">
        <v>14358423.61104382</v>
      </c>
      <c r="P837" s="369"/>
      <c r="Q837" s="350">
        <f t="shared" si="333"/>
        <v>1724630.5578348655</v>
      </c>
      <c r="R837" s="350">
        <f t="shared" si="334"/>
        <v>1745936.5499144655</v>
      </c>
      <c r="S837" s="350">
        <f t="shared" si="335"/>
        <v>1765883.163572401</v>
      </c>
      <c r="T837" s="350">
        <f t="shared" si="336"/>
        <v>1784421.6271801584</v>
      </c>
      <c r="U837" s="350">
        <f t="shared" si="337"/>
        <v>1801503.2879484734</v>
      </c>
      <c r="V837" s="350">
        <f t="shared" si="338"/>
        <v>8822375.1864503622</v>
      </c>
      <c r="W837" s="365"/>
      <c r="X837" s="377">
        <f t="shared" si="316"/>
        <v>0</v>
      </c>
      <c r="Y837" s="377">
        <f t="shared" si="317"/>
        <v>0</v>
      </c>
      <c r="Z837" s="377">
        <f t="shared" si="318"/>
        <v>0</v>
      </c>
      <c r="AA837" s="377">
        <f t="shared" si="319"/>
        <v>0</v>
      </c>
      <c r="AB837" s="377">
        <f t="shared" si="320"/>
        <v>0</v>
      </c>
      <c r="AC837" s="377">
        <f t="shared" si="321"/>
        <v>0</v>
      </c>
      <c r="AD837" s="376"/>
      <c r="AE837" s="332">
        <v>822</v>
      </c>
      <c r="AF837" s="350">
        <v>4224688.0481858095</v>
      </c>
      <c r="AG837" s="350">
        <v>26095.783147444879</v>
      </c>
      <c r="AH837" s="350">
        <v>24985.7966743262</v>
      </c>
      <c r="AI837" s="350">
        <v>23845.942222362923</v>
      </c>
      <c r="AJ837" s="350">
        <v>22676.278013733659</v>
      </c>
      <c r="AK837" s="348">
        <v>4322291.8482436771</v>
      </c>
      <c r="AL837" s="369"/>
      <c r="AM837" s="350">
        <v>6044302.993467167</v>
      </c>
      <c r="AN837" s="350">
        <v>1868190.152463106</v>
      </c>
      <c r="AO837" s="350">
        <v>1888125.3435527091</v>
      </c>
      <c r="AP837" s="350">
        <v>1906544.9624557707</v>
      </c>
      <c r="AQ837" s="350">
        <v>1923397.7350426903</v>
      </c>
      <c r="AR837" s="348">
        <v>13630561.186981443</v>
      </c>
      <c r="AS837" s="369"/>
      <c r="AT837" s="350">
        <f t="shared" si="339"/>
        <v>1819614.9452813575</v>
      </c>
      <c r="AU837" s="350">
        <f t="shared" si="322"/>
        <v>1842094.369315661</v>
      </c>
      <c r="AV837" s="350">
        <f t="shared" si="323"/>
        <v>1863139.5468783828</v>
      </c>
      <c r="AW837" s="350">
        <f t="shared" si="324"/>
        <v>1882699.0202334078</v>
      </c>
      <c r="AX837" s="350">
        <f t="shared" si="325"/>
        <v>1900721.4570289566</v>
      </c>
      <c r="AY837" s="350">
        <f t="shared" si="326"/>
        <v>9308269.3387377672</v>
      </c>
      <c r="AZ837" s="365"/>
      <c r="BA837" s="377">
        <f t="shared" si="327"/>
        <v>0</v>
      </c>
      <c r="BB837" s="377">
        <f t="shared" si="328"/>
        <v>0</v>
      </c>
      <c r="BC837" s="377">
        <f t="shared" si="329"/>
        <v>0</v>
      </c>
      <c r="BD837" s="377">
        <f t="shared" si="330"/>
        <v>0</v>
      </c>
      <c r="BE837" s="377">
        <f t="shared" si="331"/>
        <v>0</v>
      </c>
      <c r="BF837" s="377">
        <f t="shared" si="332"/>
        <v>0</v>
      </c>
      <c r="BG837" s="328"/>
    </row>
    <row r="838" spans="2:59">
      <c r="B838" s="332">
        <v>823</v>
      </c>
      <c r="C838" s="350">
        <v>6291955.2157819495</v>
      </c>
      <c r="D838" s="350">
        <v>38865.2362048328</v>
      </c>
      <c r="E838" s="350">
        <v>37212.099902383809</v>
      </c>
      <c r="F838" s="350">
        <v>35514.480319005626</v>
      </c>
      <c r="G838" s="350">
        <v>33772.464166744794</v>
      </c>
      <c r="H838" s="348">
        <v>6437319.4963749163</v>
      </c>
      <c r="I838" s="369"/>
      <c r="J838" s="350">
        <v>7873016.6444737967</v>
      </c>
      <c r="K838" s="350">
        <v>1639459.0117660041</v>
      </c>
      <c r="L838" s="350">
        <v>1656092.0071479981</v>
      </c>
      <c r="M838" s="350">
        <v>1671389.5924937439</v>
      </c>
      <c r="N838" s="350">
        <v>1685307.2518911771</v>
      </c>
      <c r="O838" s="348">
        <v>14525264.507772719</v>
      </c>
      <c r="P838" s="369"/>
      <c r="Q838" s="350">
        <f t="shared" si="333"/>
        <v>1581061.4286918472</v>
      </c>
      <c r="R838" s="350">
        <f t="shared" si="334"/>
        <v>1600593.7755611714</v>
      </c>
      <c r="S838" s="350">
        <f t="shared" si="335"/>
        <v>1618879.9072456143</v>
      </c>
      <c r="T838" s="350">
        <f t="shared" si="336"/>
        <v>1635875.1121747382</v>
      </c>
      <c r="U838" s="350">
        <f t="shared" si="337"/>
        <v>1651534.7877244323</v>
      </c>
      <c r="V838" s="350">
        <f t="shared" si="338"/>
        <v>8087945.0113978032</v>
      </c>
      <c r="W838" s="365"/>
      <c r="X838" s="377">
        <f t="shared" si="316"/>
        <v>0</v>
      </c>
      <c r="Y838" s="377">
        <f t="shared" si="317"/>
        <v>0</v>
      </c>
      <c r="Z838" s="377">
        <f t="shared" si="318"/>
        <v>0</v>
      </c>
      <c r="AA838" s="377">
        <f t="shared" si="319"/>
        <v>0</v>
      </c>
      <c r="AB838" s="377">
        <f t="shared" si="320"/>
        <v>0</v>
      </c>
      <c r="AC838" s="377">
        <f t="shared" si="321"/>
        <v>0</v>
      </c>
      <c r="AD838" s="376"/>
      <c r="AE838" s="332">
        <v>823</v>
      </c>
      <c r="AF838" s="350">
        <v>7734266.3399689458</v>
      </c>
      <c r="AG838" s="350">
        <v>47774.352783060167</v>
      </c>
      <c r="AH838" s="350">
        <v>45742.266409122079</v>
      </c>
      <c r="AI838" s="350">
        <v>43655.499807723339</v>
      </c>
      <c r="AJ838" s="350">
        <v>41514.159567997296</v>
      </c>
      <c r="AK838" s="348">
        <v>7912952.6185368486</v>
      </c>
      <c r="AL838" s="369"/>
      <c r="AM838" s="350">
        <v>10076316.319804111</v>
      </c>
      <c r="AN838" s="350">
        <v>2418757.8906453066</v>
      </c>
      <c r="AO838" s="350">
        <v>2443813.325075822</v>
      </c>
      <c r="AP838" s="350">
        <v>2466901.8101371536</v>
      </c>
      <c r="AQ838" s="350">
        <v>2487957.3818831462</v>
      </c>
      <c r="AR838" s="348">
        <v>19893746.727545537</v>
      </c>
      <c r="AS838" s="369"/>
      <c r="AT838" s="350">
        <f t="shared" si="339"/>
        <v>2342049.9798351657</v>
      </c>
      <c r="AU838" s="350">
        <f t="shared" si="322"/>
        <v>2370983.5378622464</v>
      </c>
      <c r="AV838" s="350">
        <f t="shared" si="323"/>
        <v>2398071.0586667</v>
      </c>
      <c r="AW838" s="350">
        <f t="shared" si="324"/>
        <v>2423246.3103294303</v>
      </c>
      <c r="AX838" s="350">
        <f t="shared" si="325"/>
        <v>2446443.2223151489</v>
      </c>
      <c r="AY838" s="350">
        <f t="shared" si="326"/>
        <v>11980794.109008688</v>
      </c>
      <c r="AZ838" s="365"/>
      <c r="BA838" s="377">
        <f t="shared" si="327"/>
        <v>0</v>
      </c>
      <c r="BB838" s="377">
        <f t="shared" si="328"/>
        <v>0</v>
      </c>
      <c r="BC838" s="377">
        <f t="shared" si="329"/>
        <v>0</v>
      </c>
      <c r="BD838" s="377">
        <f t="shared" si="330"/>
        <v>0</v>
      </c>
      <c r="BE838" s="377">
        <f t="shared" si="331"/>
        <v>0</v>
      </c>
      <c r="BF838" s="377">
        <f t="shared" si="332"/>
        <v>0</v>
      </c>
      <c r="BG838" s="328"/>
    </row>
    <row r="839" spans="2:59">
      <c r="B839" s="332">
        <v>824</v>
      </c>
      <c r="C839" s="350">
        <v>6953839.2824355233</v>
      </c>
      <c r="D839" s="350">
        <v>42953.676079004144</v>
      </c>
      <c r="E839" s="350">
        <v>41126.637620379093</v>
      </c>
      <c r="F839" s="350">
        <v>39250.436449090514</v>
      </c>
      <c r="G839" s="350">
        <v>37325.168398894733</v>
      </c>
      <c r="H839" s="348">
        <v>7114495.200982892</v>
      </c>
      <c r="I839" s="369"/>
      <c r="J839" s="350">
        <v>9543019.2651706859</v>
      </c>
      <c r="K839" s="350">
        <v>2664120.2474514865</v>
      </c>
      <c r="L839" s="350">
        <v>2692238.9690119345</v>
      </c>
      <c r="M839" s="350">
        <v>2718194.4786182437</v>
      </c>
      <c r="N839" s="350">
        <v>2741913.8298937781</v>
      </c>
      <c r="O839" s="348">
        <v>20359486.790146131</v>
      </c>
      <c r="P839" s="369"/>
      <c r="Q839" s="350">
        <f t="shared" si="333"/>
        <v>2589179.9827351626</v>
      </c>
      <c r="R839" s="350">
        <f t="shared" si="334"/>
        <v>2621166.5713724825</v>
      </c>
      <c r="S839" s="350">
        <f t="shared" si="335"/>
        <v>2651112.3313915553</v>
      </c>
      <c r="T839" s="350">
        <f t="shared" si="336"/>
        <v>2678944.0421691532</v>
      </c>
      <c r="U839" s="350">
        <f t="shared" si="337"/>
        <v>2704588.6614948832</v>
      </c>
      <c r="V839" s="350">
        <f t="shared" si="338"/>
        <v>13244991.58916324</v>
      </c>
      <c r="W839" s="365"/>
      <c r="X839" s="377">
        <f t="shared" si="316"/>
        <v>0</v>
      </c>
      <c r="Y839" s="377">
        <f t="shared" si="317"/>
        <v>0</v>
      </c>
      <c r="Z839" s="377">
        <f t="shared" si="318"/>
        <v>0</v>
      </c>
      <c r="AA839" s="377">
        <f t="shared" si="319"/>
        <v>0</v>
      </c>
      <c r="AB839" s="377">
        <f t="shared" si="320"/>
        <v>0</v>
      </c>
      <c r="AC839" s="377">
        <f t="shared" si="321"/>
        <v>0</v>
      </c>
      <c r="AD839" s="376"/>
      <c r="AE839" s="332">
        <v>824</v>
      </c>
      <c r="AF839" s="350">
        <v>7545436.7930335011</v>
      </c>
      <c r="AG839" s="350">
        <v>46607.957808460225</v>
      </c>
      <c r="AH839" s="350">
        <v>44625.484149220647</v>
      </c>
      <c r="AI839" s="350">
        <v>42589.665262132025</v>
      </c>
      <c r="AJ839" s="350">
        <v>40500.605133994482</v>
      </c>
      <c r="AK839" s="348">
        <v>7719760.5053873081</v>
      </c>
      <c r="AL839" s="369"/>
      <c r="AM839" s="350">
        <v>9817033.8049952146</v>
      </c>
      <c r="AN839" s="350">
        <v>2346268.1556652803</v>
      </c>
      <c r="AO839" s="350">
        <v>2370558.3627133826</v>
      </c>
      <c r="AP839" s="350">
        <v>2392940.4797989745</v>
      </c>
      <c r="AQ839" s="350">
        <v>2413350.5278910734</v>
      </c>
      <c r="AR839" s="348">
        <v>19340151.331063922</v>
      </c>
      <c r="AS839" s="369"/>
      <c r="AT839" s="350">
        <f t="shared" si="339"/>
        <v>2271597.0119617134</v>
      </c>
      <c r="AU839" s="350">
        <f t="shared" si="322"/>
        <v>2299660.1978568202</v>
      </c>
      <c r="AV839" s="350">
        <f t="shared" si="323"/>
        <v>2325932.8785641617</v>
      </c>
      <c r="AW839" s="350">
        <f t="shared" si="324"/>
        <v>2350350.8145368425</v>
      </c>
      <c r="AX839" s="350">
        <f t="shared" si="325"/>
        <v>2372849.9227570789</v>
      </c>
      <c r="AY839" s="350">
        <f t="shared" si="326"/>
        <v>11620390.825676614</v>
      </c>
      <c r="AZ839" s="365"/>
      <c r="BA839" s="377">
        <f t="shared" si="327"/>
        <v>0</v>
      </c>
      <c r="BB839" s="377">
        <f t="shared" si="328"/>
        <v>0</v>
      </c>
      <c r="BC839" s="377">
        <f t="shared" si="329"/>
        <v>0</v>
      </c>
      <c r="BD839" s="377">
        <f t="shared" si="330"/>
        <v>0</v>
      </c>
      <c r="BE839" s="377">
        <f t="shared" si="331"/>
        <v>0</v>
      </c>
      <c r="BF839" s="377">
        <f t="shared" si="332"/>
        <v>0</v>
      </c>
      <c r="BG839" s="328"/>
    </row>
    <row r="840" spans="2:59">
      <c r="B840" s="332">
        <v>825</v>
      </c>
      <c r="C840" s="350">
        <v>6506624.1346614882</v>
      </c>
      <c r="D840" s="350">
        <v>40191.240277012126</v>
      </c>
      <c r="E840" s="350">
        <v>38481.702272604358</v>
      </c>
      <c r="F840" s="350">
        <v>36726.163306755174</v>
      </c>
      <c r="G840" s="350">
        <v>34924.71304995213</v>
      </c>
      <c r="H840" s="348">
        <v>6656947.9535678113</v>
      </c>
      <c r="I840" s="369"/>
      <c r="J840" s="350">
        <v>8287434.7543370519</v>
      </c>
      <c r="K840" s="350">
        <v>1843001.8974595701</v>
      </c>
      <c r="L840" s="350">
        <v>1861888.7366138799</v>
      </c>
      <c r="M840" s="350">
        <v>1879275.5540878996</v>
      </c>
      <c r="N840" s="350">
        <v>1895112.2018919932</v>
      </c>
      <c r="O840" s="348">
        <v>15766713.144390393</v>
      </c>
      <c r="P840" s="369"/>
      <c r="Q840" s="350">
        <f t="shared" si="333"/>
        <v>1780810.6196755636</v>
      </c>
      <c r="R840" s="350">
        <f t="shared" si="334"/>
        <v>1802810.657182558</v>
      </c>
      <c r="S840" s="350">
        <f t="shared" si="335"/>
        <v>1823407.0343412755</v>
      </c>
      <c r="T840" s="350">
        <f t="shared" si="336"/>
        <v>1842549.3907811444</v>
      </c>
      <c r="U840" s="350">
        <f t="shared" si="337"/>
        <v>1860187.488842041</v>
      </c>
      <c r="V840" s="350">
        <f t="shared" si="338"/>
        <v>9109765.1908225827</v>
      </c>
      <c r="W840" s="365"/>
      <c r="X840" s="377">
        <f t="shared" si="316"/>
        <v>0</v>
      </c>
      <c r="Y840" s="377">
        <f t="shared" si="317"/>
        <v>0</v>
      </c>
      <c r="Z840" s="377">
        <f t="shared" si="318"/>
        <v>0</v>
      </c>
      <c r="AA840" s="377">
        <f t="shared" si="319"/>
        <v>0</v>
      </c>
      <c r="AB840" s="377">
        <f t="shared" si="320"/>
        <v>0</v>
      </c>
      <c r="AC840" s="377">
        <f t="shared" si="321"/>
        <v>0</v>
      </c>
      <c r="AD840" s="376"/>
      <c r="AE840" s="332">
        <v>825</v>
      </c>
      <c r="AF840" s="350">
        <v>5501205.5330103515</v>
      </c>
      <c r="AG840" s="350">
        <v>33980.796925492796</v>
      </c>
      <c r="AH840" s="350">
        <v>32535.420685204055</v>
      </c>
      <c r="AI840" s="350">
        <v>31051.151658366467</v>
      </c>
      <c r="AJ840" s="350">
        <v>29528.065659380689</v>
      </c>
      <c r="AK840" s="348">
        <v>5628300.9679387948</v>
      </c>
      <c r="AL840" s="369"/>
      <c r="AM840" s="350">
        <v>8223646.3450584076</v>
      </c>
      <c r="AN840" s="350">
        <v>2790054.4946458833</v>
      </c>
      <c r="AO840" s="350">
        <v>2820096.1373719629</v>
      </c>
      <c r="AP840" s="350">
        <v>2847876.0314374133</v>
      </c>
      <c r="AQ840" s="350">
        <v>2873317.4510839735</v>
      </c>
      <c r="AR840" s="348">
        <v>19554990.45959764</v>
      </c>
      <c r="AS840" s="369"/>
      <c r="AT840" s="350">
        <f t="shared" si="339"/>
        <v>2722440.8120480562</v>
      </c>
      <c r="AU840" s="350">
        <f t="shared" si="322"/>
        <v>2756073.6977203907</v>
      </c>
      <c r="AV840" s="350">
        <f t="shared" si="323"/>
        <v>2787560.7166867587</v>
      </c>
      <c r="AW840" s="350">
        <f t="shared" si="324"/>
        <v>2816824.8797790469</v>
      </c>
      <c r="AX840" s="350">
        <f t="shared" si="325"/>
        <v>2843789.385424593</v>
      </c>
      <c r="AY840" s="350">
        <f t="shared" si="326"/>
        <v>13926689.491658844</v>
      </c>
      <c r="AZ840" s="365"/>
      <c r="BA840" s="377">
        <f t="shared" si="327"/>
        <v>0</v>
      </c>
      <c r="BB840" s="377">
        <f t="shared" si="328"/>
        <v>0</v>
      </c>
      <c r="BC840" s="377">
        <f t="shared" si="329"/>
        <v>0</v>
      </c>
      <c r="BD840" s="377">
        <f t="shared" si="330"/>
        <v>0</v>
      </c>
      <c r="BE840" s="377">
        <f t="shared" si="331"/>
        <v>0</v>
      </c>
      <c r="BF840" s="377">
        <f t="shared" si="332"/>
        <v>0</v>
      </c>
      <c r="BG840" s="328"/>
    </row>
    <row r="841" spans="2:59">
      <c r="B841" s="332">
        <v>826</v>
      </c>
      <c r="C841" s="350">
        <v>4900072.0115169734</v>
      </c>
      <c r="D841" s="350">
        <v>30267.611516150107</v>
      </c>
      <c r="E841" s="350">
        <v>28980.175949771197</v>
      </c>
      <c r="F841" s="350">
        <v>27658.097530355859</v>
      </c>
      <c r="G841" s="350">
        <v>26301.443787829412</v>
      </c>
      <c r="H841" s="348">
        <v>5013279.3403010787</v>
      </c>
      <c r="I841" s="369"/>
      <c r="J841" s="350">
        <v>6957672.1165669877</v>
      </c>
      <c r="K841" s="350">
        <v>2113287.1963162022</v>
      </c>
      <c r="L841" s="350">
        <v>2135797.4107285435</v>
      </c>
      <c r="M841" s="350">
        <v>2156592.9646875546</v>
      </c>
      <c r="N841" s="350">
        <v>2175615.87967738</v>
      </c>
      <c r="O841" s="348">
        <v>15538965.567976668</v>
      </c>
      <c r="P841" s="369"/>
      <c r="Q841" s="350">
        <f t="shared" si="333"/>
        <v>2057600.1050500143</v>
      </c>
      <c r="R841" s="350">
        <f t="shared" si="334"/>
        <v>2083019.584800052</v>
      </c>
      <c r="S841" s="350">
        <f t="shared" si="335"/>
        <v>2106817.2347787721</v>
      </c>
      <c r="T841" s="350">
        <f t="shared" si="336"/>
        <v>2128934.867157199</v>
      </c>
      <c r="U841" s="350">
        <f t="shared" si="337"/>
        <v>2149314.4358895505</v>
      </c>
      <c r="V841" s="350">
        <f t="shared" si="338"/>
        <v>10525686.227675591</v>
      </c>
      <c r="W841" s="365"/>
      <c r="X841" s="377">
        <f t="shared" si="316"/>
        <v>0</v>
      </c>
      <c r="Y841" s="377">
        <f t="shared" si="317"/>
        <v>0</v>
      </c>
      <c r="Z841" s="377">
        <f t="shared" si="318"/>
        <v>0</v>
      </c>
      <c r="AA841" s="377">
        <f t="shared" si="319"/>
        <v>0</v>
      </c>
      <c r="AB841" s="377">
        <f t="shared" si="320"/>
        <v>0</v>
      </c>
      <c r="AC841" s="377">
        <f t="shared" si="321"/>
        <v>0</v>
      </c>
      <c r="AD841" s="376"/>
      <c r="AE841" s="332">
        <v>826</v>
      </c>
      <c r="AF841" s="350">
        <v>4902955.3713682154</v>
      </c>
      <c r="AG841" s="350">
        <v>30285.421951514221</v>
      </c>
      <c r="AH841" s="350">
        <v>28997.228816671901</v>
      </c>
      <c r="AI841" s="350">
        <v>27674.372443824239</v>
      </c>
      <c r="AJ841" s="350">
        <v>26316.920402636184</v>
      </c>
      <c r="AK841" s="348">
        <v>5016229.3149828622</v>
      </c>
      <c r="AL841" s="369"/>
      <c r="AM841" s="350">
        <v>6496856.7017367948</v>
      </c>
      <c r="AN841" s="350">
        <v>1643877.7226361535</v>
      </c>
      <c r="AO841" s="350">
        <v>1661024.1640387196</v>
      </c>
      <c r="AP841" s="350">
        <v>1676834.5317486504</v>
      </c>
      <c r="AQ841" s="350">
        <v>1691263.9284907198</v>
      </c>
      <c r="AR841" s="348">
        <v>13169857.04865104</v>
      </c>
      <c r="AS841" s="369"/>
      <c r="AT841" s="350">
        <f t="shared" si="339"/>
        <v>1593901.3303685794</v>
      </c>
      <c r="AU841" s="350">
        <f t="shared" si="322"/>
        <v>1613592.3006846393</v>
      </c>
      <c r="AV841" s="350">
        <f t="shared" si="323"/>
        <v>1632026.9352220476</v>
      </c>
      <c r="AW841" s="350">
        <f t="shared" si="324"/>
        <v>1649160.1593048261</v>
      </c>
      <c r="AX841" s="350">
        <f t="shared" si="325"/>
        <v>1664947.0080880835</v>
      </c>
      <c r="AY841" s="350">
        <f t="shared" si="326"/>
        <v>8153627.7336681774</v>
      </c>
      <c r="AZ841" s="365"/>
      <c r="BA841" s="377">
        <f t="shared" si="327"/>
        <v>0</v>
      </c>
      <c r="BB841" s="377">
        <f t="shared" si="328"/>
        <v>0</v>
      </c>
      <c r="BC841" s="377">
        <f t="shared" si="329"/>
        <v>0</v>
      </c>
      <c r="BD841" s="377">
        <f t="shared" si="330"/>
        <v>0</v>
      </c>
      <c r="BE841" s="377">
        <f t="shared" si="331"/>
        <v>0</v>
      </c>
      <c r="BF841" s="377">
        <f t="shared" si="332"/>
        <v>0</v>
      </c>
      <c r="BG841" s="328"/>
    </row>
    <row r="842" spans="2:59">
      <c r="B842" s="332">
        <v>827</v>
      </c>
      <c r="C842" s="350">
        <v>5983790.2232114989</v>
      </c>
      <c r="D842" s="350">
        <v>36961.709428884198</v>
      </c>
      <c r="E842" s="350">
        <v>35389.539808315465</v>
      </c>
      <c r="F842" s="350">
        <v>33775.065592053332</v>
      </c>
      <c r="G842" s="350">
        <v>32118.369245197176</v>
      </c>
      <c r="H842" s="348">
        <v>6122034.9072859492</v>
      </c>
      <c r="I842" s="369"/>
      <c r="J842" s="350">
        <v>7190096.9226058517</v>
      </c>
      <c r="K842" s="350">
        <v>1258171.056156083</v>
      </c>
      <c r="L842" s="350">
        <v>1270550.7057100548</v>
      </c>
      <c r="M842" s="350">
        <v>1281903.1088026308</v>
      </c>
      <c r="N842" s="350">
        <v>1292194.3173145796</v>
      </c>
      <c r="O842" s="348">
        <v>12292916.110589201</v>
      </c>
      <c r="P842" s="369"/>
      <c r="Q842" s="350">
        <f t="shared" si="333"/>
        <v>1206306.6993943527</v>
      </c>
      <c r="R842" s="350">
        <f t="shared" si="334"/>
        <v>1221209.3467271989</v>
      </c>
      <c r="S842" s="350">
        <f t="shared" si="335"/>
        <v>1235161.1659017394</v>
      </c>
      <c r="T842" s="350">
        <f t="shared" si="336"/>
        <v>1248128.0432105775</v>
      </c>
      <c r="U842" s="350">
        <f t="shared" si="337"/>
        <v>1260075.9480693825</v>
      </c>
      <c r="V842" s="350">
        <f t="shared" si="338"/>
        <v>6170881.2033032514</v>
      </c>
      <c r="W842" s="365"/>
      <c r="X842" s="377">
        <f t="shared" si="316"/>
        <v>0</v>
      </c>
      <c r="Y842" s="377">
        <f t="shared" si="317"/>
        <v>0</v>
      </c>
      <c r="Z842" s="377">
        <f t="shared" si="318"/>
        <v>0</v>
      </c>
      <c r="AA842" s="377">
        <f t="shared" si="319"/>
        <v>0</v>
      </c>
      <c r="AB842" s="377">
        <f t="shared" si="320"/>
        <v>0</v>
      </c>
      <c r="AC842" s="377">
        <f t="shared" si="321"/>
        <v>0</v>
      </c>
      <c r="AD842" s="376"/>
      <c r="AE842" s="332">
        <v>827</v>
      </c>
      <c r="AF842" s="350">
        <v>5840366.2612637188</v>
      </c>
      <c r="AG842" s="350">
        <v>36075.783517563941</v>
      </c>
      <c r="AH842" s="350">
        <v>34541.296834969748</v>
      </c>
      <c r="AI842" s="350">
        <v>32965.519544890034</v>
      </c>
      <c r="AJ842" s="350">
        <v>31348.532135838544</v>
      </c>
      <c r="AK842" s="348">
        <v>5975297.3932969812</v>
      </c>
      <c r="AL842" s="369"/>
      <c r="AM842" s="350">
        <v>7808381.3692611167</v>
      </c>
      <c r="AN842" s="350">
        <v>2028403.6430854583</v>
      </c>
      <c r="AO842" s="350">
        <v>2049630.6903753846</v>
      </c>
      <c r="AP842" s="350">
        <v>2069209.5750466075</v>
      </c>
      <c r="AQ842" s="350">
        <v>2087084.8587845615</v>
      </c>
      <c r="AR842" s="348">
        <v>16042710.136553129</v>
      </c>
      <c r="AS842" s="369"/>
      <c r="AT842" s="350">
        <f t="shared" si="339"/>
        <v>1968015.1079973979</v>
      </c>
      <c r="AU842" s="350">
        <f t="shared" si="322"/>
        <v>1992327.8595678944</v>
      </c>
      <c r="AV842" s="350">
        <f t="shared" si="323"/>
        <v>2015089.393540415</v>
      </c>
      <c r="AW842" s="350">
        <f t="shared" si="324"/>
        <v>2036244.0555017176</v>
      </c>
      <c r="AX842" s="350">
        <f t="shared" si="325"/>
        <v>2055736.3266487229</v>
      </c>
      <c r="AY842" s="350">
        <f t="shared" si="326"/>
        <v>10067412.743256148</v>
      </c>
      <c r="AZ842" s="365"/>
      <c r="BA842" s="377">
        <f t="shared" si="327"/>
        <v>0</v>
      </c>
      <c r="BB842" s="377">
        <f t="shared" si="328"/>
        <v>0</v>
      </c>
      <c r="BC842" s="377">
        <f t="shared" si="329"/>
        <v>0</v>
      </c>
      <c r="BD842" s="377">
        <f t="shared" si="330"/>
        <v>0</v>
      </c>
      <c r="BE842" s="377">
        <f t="shared" si="331"/>
        <v>0</v>
      </c>
      <c r="BF842" s="377">
        <f t="shared" si="332"/>
        <v>0</v>
      </c>
      <c r="BG842" s="328"/>
    </row>
    <row r="843" spans="2:59">
      <c r="B843" s="332">
        <v>828</v>
      </c>
      <c r="C843" s="350">
        <v>5119307.351332305</v>
      </c>
      <c r="D843" s="350">
        <v>31621.822246225416</v>
      </c>
      <c r="E843" s="350">
        <v>30276.785205170738</v>
      </c>
      <c r="F843" s="350">
        <v>28895.555346579662</v>
      </c>
      <c r="G843" s="350">
        <v>27478.203221752985</v>
      </c>
      <c r="H843" s="348">
        <v>5237579.7173520336</v>
      </c>
      <c r="I843" s="369"/>
      <c r="J843" s="350">
        <v>7985670.2457713876</v>
      </c>
      <c r="K843" s="350">
        <v>2933395.6079331404</v>
      </c>
      <c r="L843" s="350">
        <v>2965202.1539943796</v>
      </c>
      <c r="M843" s="350">
        <v>2994632.1398850325</v>
      </c>
      <c r="N843" s="350">
        <v>3021604.7744615655</v>
      </c>
      <c r="O843" s="348">
        <v>19900504.922045507</v>
      </c>
      <c r="P843" s="369"/>
      <c r="Q843" s="350">
        <f t="shared" si="333"/>
        <v>2866362.8944390826</v>
      </c>
      <c r="R843" s="350">
        <f t="shared" si="334"/>
        <v>2901773.7856869148</v>
      </c>
      <c r="S843" s="350">
        <f t="shared" si="335"/>
        <v>2934925.3687892091</v>
      </c>
      <c r="T843" s="350">
        <f t="shared" si="336"/>
        <v>2965736.5845384528</v>
      </c>
      <c r="U843" s="350">
        <f t="shared" si="337"/>
        <v>2994126.5712398128</v>
      </c>
      <c r="V843" s="350">
        <f t="shared" si="338"/>
        <v>14662925.204693474</v>
      </c>
      <c r="W843" s="365"/>
      <c r="X843" s="377">
        <f t="shared" si="316"/>
        <v>0</v>
      </c>
      <c r="Y843" s="377">
        <f t="shared" si="317"/>
        <v>0</v>
      </c>
      <c r="Z843" s="377">
        <f t="shared" si="318"/>
        <v>0</v>
      </c>
      <c r="AA843" s="377">
        <f t="shared" si="319"/>
        <v>0</v>
      </c>
      <c r="AB843" s="377">
        <f t="shared" si="320"/>
        <v>0</v>
      </c>
      <c r="AC843" s="377">
        <f t="shared" si="321"/>
        <v>0</v>
      </c>
      <c r="AD843" s="376"/>
      <c r="AE843" s="332">
        <v>828</v>
      </c>
      <c r="AF843" s="350">
        <v>5562275.2413049368</v>
      </c>
      <c r="AG843" s="350">
        <v>34358.022852321439</v>
      </c>
      <c r="AH843" s="350">
        <v>32896.60127345159</v>
      </c>
      <c r="AI843" s="350">
        <v>31395.855153374392</v>
      </c>
      <c r="AJ843" s="350">
        <v>29855.861148114771</v>
      </c>
      <c r="AK843" s="348">
        <v>5690781.5817321986</v>
      </c>
      <c r="AL843" s="369"/>
      <c r="AM843" s="350">
        <v>7882219.9795025196</v>
      </c>
      <c r="AN843" s="350">
        <v>2382963.2321244767</v>
      </c>
      <c r="AO843" s="350">
        <v>2408333.6680645179</v>
      </c>
      <c r="AP843" s="350">
        <v>2431770.559112994</v>
      </c>
      <c r="AQ843" s="350">
        <v>2453208.5349918334</v>
      </c>
      <c r="AR843" s="348">
        <v>17558495.973796342</v>
      </c>
      <c r="AS843" s="369"/>
      <c r="AT843" s="350">
        <f t="shared" si="339"/>
        <v>2319944.7381975828</v>
      </c>
      <c r="AU843" s="350">
        <f t="shared" si="322"/>
        <v>2348605.2092721551</v>
      </c>
      <c r="AV843" s="350">
        <f t="shared" si="323"/>
        <v>2375437.0667910664</v>
      </c>
      <c r="AW843" s="350">
        <f t="shared" si="324"/>
        <v>2400374.7039596196</v>
      </c>
      <c r="AX843" s="350">
        <f t="shared" si="325"/>
        <v>2423352.6738437186</v>
      </c>
      <c r="AY843" s="350">
        <f t="shared" si="326"/>
        <v>11867714.392064143</v>
      </c>
      <c r="AZ843" s="365"/>
      <c r="BA843" s="377">
        <f t="shared" si="327"/>
        <v>0</v>
      </c>
      <c r="BB843" s="377">
        <f t="shared" si="328"/>
        <v>0</v>
      </c>
      <c r="BC843" s="377">
        <f t="shared" si="329"/>
        <v>0</v>
      </c>
      <c r="BD843" s="377">
        <f t="shared" si="330"/>
        <v>0</v>
      </c>
      <c r="BE843" s="377">
        <f t="shared" si="331"/>
        <v>0</v>
      </c>
      <c r="BF843" s="377">
        <f t="shared" si="332"/>
        <v>0</v>
      </c>
      <c r="BG843" s="328"/>
    </row>
    <row r="844" spans="2:59">
      <c r="B844" s="332">
        <v>829</v>
      </c>
      <c r="C844" s="350">
        <v>6082058.3105611345</v>
      </c>
      <c r="D844" s="350">
        <v>37568.708731209394</v>
      </c>
      <c r="E844" s="350">
        <v>35970.720340957356</v>
      </c>
      <c r="F844" s="350">
        <v>34329.732612794396</v>
      </c>
      <c r="G844" s="350">
        <v>32645.829366086069</v>
      </c>
      <c r="H844" s="348">
        <v>6222573.3016121807</v>
      </c>
      <c r="I844" s="369"/>
      <c r="J844" s="350">
        <v>7860937.5503238756</v>
      </c>
      <c r="K844" s="350">
        <v>1838424.1258385817</v>
      </c>
      <c r="L844" s="350">
        <v>1857400.1767858986</v>
      </c>
      <c r="M844" s="350">
        <v>1874880.7846360637</v>
      </c>
      <c r="N844" s="350">
        <v>1890815.8500336104</v>
      </c>
      <c r="O844" s="348">
        <v>15322458.487618031</v>
      </c>
      <c r="P844" s="369"/>
      <c r="Q844" s="350">
        <f t="shared" si="333"/>
        <v>1778879.2397627411</v>
      </c>
      <c r="R844" s="350">
        <f t="shared" si="334"/>
        <v>1800855.4171073723</v>
      </c>
      <c r="S844" s="350">
        <f t="shared" si="335"/>
        <v>1821429.4564449412</v>
      </c>
      <c r="T844" s="350">
        <f t="shared" si="336"/>
        <v>1840551.0520232692</v>
      </c>
      <c r="U844" s="350">
        <f t="shared" si="337"/>
        <v>1858170.0206675243</v>
      </c>
      <c r="V844" s="350">
        <f t="shared" si="338"/>
        <v>9099885.1860058494</v>
      </c>
      <c r="W844" s="365"/>
      <c r="X844" s="377">
        <f t="shared" si="316"/>
        <v>0</v>
      </c>
      <c r="Y844" s="377">
        <f t="shared" si="317"/>
        <v>0</v>
      </c>
      <c r="Z844" s="377">
        <f t="shared" si="318"/>
        <v>0</v>
      </c>
      <c r="AA844" s="377">
        <f t="shared" si="319"/>
        <v>0</v>
      </c>
      <c r="AB844" s="377">
        <f t="shared" si="320"/>
        <v>0</v>
      </c>
      <c r="AC844" s="377">
        <f t="shared" si="321"/>
        <v>0</v>
      </c>
      <c r="AD844" s="376"/>
      <c r="AE844" s="332">
        <v>829</v>
      </c>
      <c r="AF844" s="350">
        <v>5090350.4047240121</v>
      </c>
      <c r="AG844" s="350">
        <v>31442.955974755609</v>
      </c>
      <c r="AH844" s="350">
        <v>30105.527026575939</v>
      </c>
      <c r="AI844" s="350">
        <v>28732.109982595131</v>
      </c>
      <c r="AJ844" s="350">
        <v>27322.774995045223</v>
      </c>
      <c r="AK844" s="348">
        <v>5207953.7727029836</v>
      </c>
      <c r="AL844" s="369"/>
      <c r="AM844" s="350">
        <v>7304141.8870582338</v>
      </c>
      <c r="AN844" s="350">
        <v>2272583.4978360878</v>
      </c>
      <c r="AO844" s="350">
        <v>2296850.186370776</v>
      </c>
      <c r="AP844" s="350">
        <v>2319273.3399279467</v>
      </c>
      <c r="AQ844" s="350">
        <v>2339790.5763682416</v>
      </c>
      <c r="AR844" s="348">
        <v>16532639.487561285</v>
      </c>
      <c r="AS844" s="369"/>
      <c r="AT844" s="350">
        <f t="shared" si="339"/>
        <v>2213791.4823342217</v>
      </c>
      <c r="AU844" s="350">
        <f t="shared" si="322"/>
        <v>2241140.541861332</v>
      </c>
      <c r="AV844" s="350">
        <f t="shared" si="323"/>
        <v>2266744.6593442</v>
      </c>
      <c r="AW844" s="350">
        <f t="shared" si="324"/>
        <v>2290541.2299453514</v>
      </c>
      <c r="AX844" s="350">
        <f t="shared" si="325"/>
        <v>2312467.8013731963</v>
      </c>
      <c r="AY844" s="350">
        <f t="shared" si="326"/>
        <v>11324685.714858301</v>
      </c>
      <c r="AZ844" s="365"/>
      <c r="BA844" s="377">
        <f t="shared" si="327"/>
        <v>0</v>
      </c>
      <c r="BB844" s="377">
        <f t="shared" si="328"/>
        <v>0</v>
      </c>
      <c r="BC844" s="377">
        <f t="shared" si="329"/>
        <v>0</v>
      </c>
      <c r="BD844" s="377">
        <f t="shared" si="330"/>
        <v>0</v>
      </c>
      <c r="BE844" s="377">
        <f t="shared" si="331"/>
        <v>0</v>
      </c>
      <c r="BF844" s="377">
        <f t="shared" si="332"/>
        <v>0</v>
      </c>
      <c r="BG844" s="328"/>
    </row>
    <row r="845" spans="2:59">
      <c r="B845" s="332">
        <v>830</v>
      </c>
      <c r="C845" s="350">
        <v>5284661.202715735</v>
      </c>
      <c r="D845" s="350">
        <v>32643.208488021595</v>
      </c>
      <c r="E845" s="350">
        <v>31254.72669170496</v>
      </c>
      <c r="F845" s="350">
        <v>29828.883048260024</v>
      </c>
      <c r="G845" s="350">
        <v>28365.750387804113</v>
      </c>
      <c r="H845" s="348">
        <v>5406753.7713315254</v>
      </c>
      <c r="I845" s="369"/>
      <c r="J845" s="350">
        <v>7428056.9990295246</v>
      </c>
      <c r="K845" s="350">
        <v>2202518.3998538395</v>
      </c>
      <c r="L845" s="350">
        <v>2225919.8579498036</v>
      </c>
      <c r="M845" s="350">
        <v>2247533.8849537075</v>
      </c>
      <c r="N845" s="350">
        <v>2267300.0873056347</v>
      </c>
      <c r="O845" s="348">
        <v>16371329.229092512</v>
      </c>
      <c r="P845" s="369"/>
      <c r="Q845" s="350">
        <f t="shared" si="333"/>
        <v>2143395.7963137897</v>
      </c>
      <c r="R845" s="350">
        <f t="shared" si="334"/>
        <v>2169875.191365818</v>
      </c>
      <c r="S845" s="350">
        <f t="shared" si="335"/>
        <v>2194665.1312580984</v>
      </c>
      <c r="T845" s="350">
        <f t="shared" si="336"/>
        <v>2217705.0019054473</v>
      </c>
      <c r="U845" s="350">
        <f t="shared" si="337"/>
        <v>2238934.3369178306</v>
      </c>
      <c r="V845" s="350">
        <f t="shared" si="338"/>
        <v>10964575.457760986</v>
      </c>
      <c r="W845" s="365"/>
      <c r="X845" s="377">
        <f t="shared" si="316"/>
        <v>0</v>
      </c>
      <c r="Y845" s="377">
        <f t="shared" si="317"/>
        <v>0</v>
      </c>
      <c r="Z845" s="377">
        <f t="shared" si="318"/>
        <v>0</v>
      </c>
      <c r="AA845" s="377">
        <f t="shared" si="319"/>
        <v>0</v>
      </c>
      <c r="AB845" s="377">
        <f t="shared" si="320"/>
        <v>0</v>
      </c>
      <c r="AC845" s="377">
        <f t="shared" si="321"/>
        <v>0</v>
      </c>
      <c r="AD845" s="376"/>
      <c r="AE845" s="332">
        <v>830</v>
      </c>
      <c r="AF845" s="350">
        <v>4409763.6690513231</v>
      </c>
      <c r="AG845" s="350">
        <v>27238.990222830282</v>
      </c>
      <c r="AH845" s="350">
        <v>26080.377334384302</v>
      </c>
      <c r="AI845" s="350">
        <v>24890.588007232287</v>
      </c>
      <c r="AJ845" s="350">
        <v>23669.683014160302</v>
      </c>
      <c r="AK845" s="348">
        <v>4511643.3076299299</v>
      </c>
      <c r="AL845" s="369"/>
      <c r="AM845" s="350">
        <v>5652390.7611396462</v>
      </c>
      <c r="AN845" s="350">
        <v>1285217.4297992592</v>
      </c>
      <c r="AO845" s="350">
        <v>1298430.7079886859</v>
      </c>
      <c r="AP845" s="350">
        <v>1310598.2125005182</v>
      </c>
      <c r="AQ845" s="350">
        <v>1321684.9489046952</v>
      </c>
      <c r="AR845" s="348">
        <v>10868322.060332803</v>
      </c>
      <c r="AS845" s="369"/>
      <c r="AT845" s="350">
        <f t="shared" si="339"/>
        <v>1242627.0920883231</v>
      </c>
      <c r="AU845" s="350">
        <f t="shared" si="322"/>
        <v>1257978.4395764288</v>
      </c>
      <c r="AV845" s="350">
        <f t="shared" si="323"/>
        <v>1272350.3306543017</v>
      </c>
      <c r="AW845" s="350">
        <f t="shared" si="324"/>
        <v>1285707.624493286</v>
      </c>
      <c r="AX845" s="350">
        <f t="shared" si="325"/>
        <v>1298015.265890535</v>
      </c>
      <c r="AY845" s="350">
        <f t="shared" si="326"/>
        <v>6356678.7527028732</v>
      </c>
      <c r="AZ845" s="365"/>
      <c r="BA845" s="377">
        <f t="shared" si="327"/>
        <v>0</v>
      </c>
      <c r="BB845" s="377">
        <f t="shared" si="328"/>
        <v>0</v>
      </c>
      <c r="BC845" s="377">
        <f t="shared" si="329"/>
        <v>0</v>
      </c>
      <c r="BD845" s="377">
        <f t="shared" si="330"/>
        <v>0</v>
      </c>
      <c r="BE845" s="377">
        <f t="shared" si="331"/>
        <v>0</v>
      </c>
      <c r="BF845" s="377">
        <f t="shared" si="332"/>
        <v>0</v>
      </c>
      <c r="BG845" s="328"/>
    </row>
    <row r="846" spans="2:59">
      <c r="B846" s="332">
        <v>831</v>
      </c>
      <c r="C846" s="350">
        <v>6842644.6639977861</v>
      </c>
      <c r="D846" s="350">
        <v>42266.829945795413</v>
      </c>
      <c r="E846" s="350">
        <v>40469.006548953257</v>
      </c>
      <c r="F846" s="350">
        <v>38622.806570516521</v>
      </c>
      <c r="G846" s="350">
        <v>36728.324311811011</v>
      </c>
      <c r="H846" s="348">
        <v>7000731.631374862</v>
      </c>
      <c r="I846" s="369"/>
      <c r="J846" s="350">
        <v>9019364.4423703309</v>
      </c>
      <c r="K846" s="350">
        <v>2245877.6860316666</v>
      </c>
      <c r="L846" s="350">
        <v>2269255.2187501034</v>
      </c>
      <c r="M846" s="350">
        <v>2290807.0968193533</v>
      </c>
      <c r="N846" s="350">
        <v>2310472.0080625927</v>
      </c>
      <c r="O846" s="348">
        <v>18135776.452034049</v>
      </c>
      <c r="P846" s="369"/>
      <c r="Q846" s="350">
        <f t="shared" si="333"/>
        <v>2176719.7783725448</v>
      </c>
      <c r="R846" s="350">
        <f t="shared" si="334"/>
        <v>2203610.8560858713</v>
      </c>
      <c r="S846" s="350">
        <f t="shared" si="335"/>
        <v>2228786.2122011501</v>
      </c>
      <c r="T846" s="350">
        <f t="shared" si="336"/>
        <v>2252184.2902488369</v>
      </c>
      <c r="U846" s="350">
        <f t="shared" si="337"/>
        <v>2273743.6837507817</v>
      </c>
      <c r="V846" s="350">
        <f t="shared" si="338"/>
        <v>11135044.820659187</v>
      </c>
      <c r="W846" s="365"/>
      <c r="X846" s="377">
        <f t="shared" si="316"/>
        <v>0</v>
      </c>
      <c r="Y846" s="377">
        <f t="shared" si="317"/>
        <v>0</v>
      </c>
      <c r="Z846" s="377">
        <f t="shared" si="318"/>
        <v>0</v>
      </c>
      <c r="AA846" s="377">
        <f t="shared" si="319"/>
        <v>0</v>
      </c>
      <c r="AB846" s="377">
        <f t="shared" si="320"/>
        <v>0</v>
      </c>
      <c r="AC846" s="377">
        <f t="shared" si="321"/>
        <v>0</v>
      </c>
      <c r="AD846" s="376"/>
      <c r="AE846" s="332">
        <v>831</v>
      </c>
      <c r="AF846" s="350">
        <v>5235819.1826441893</v>
      </c>
      <c r="AG846" s="350">
        <v>32341.512658712738</v>
      </c>
      <c r="AH846" s="350">
        <v>30965.863521513354</v>
      </c>
      <c r="AI846" s="350">
        <v>29553.197843728471</v>
      </c>
      <c r="AJ846" s="350">
        <v>28103.587782359744</v>
      </c>
      <c r="AK846" s="348">
        <v>5356783.3444505036</v>
      </c>
      <c r="AL846" s="369"/>
      <c r="AM846" s="350">
        <v>7389789.4191491008</v>
      </c>
      <c r="AN846" s="350">
        <v>2212921.7802744522</v>
      </c>
      <c r="AO846" s="350">
        <v>2236458.3721636408</v>
      </c>
      <c r="AP846" s="350">
        <v>2258199.2443031203</v>
      </c>
      <c r="AQ846" s="350">
        <v>2278083.7041489971</v>
      </c>
      <c r="AR846" s="348">
        <v>16375452.520039311</v>
      </c>
      <c r="AS846" s="369"/>
      <c r="AT846" s="350">
        <f t="shared" si="339"/>
        <v>2153970.2365049114</v>
      </c>
      <c r="AU846" s="350">
        <f t="shared" si="322"/>
        <v>2180580.2676157393</v>
      </c>
      <c r="AV846" s="350">
        <f t="shared" si="323"/>
        <v>2205492.5086421273</v>
      </c>
      <c r="AW846" s="350">
        <f t="shared" si="324"/>
        <v>2228646.0464593917</v>
      </c>
      <c r="AX846" s="350">
        <f t="shared" si="325"/>
        <v>2249980.1163666374</v>
      </c>
      <c r="AY846" s="350">
        <f t="shared" si="326"/>
        <v>11018669.175588807</v>
      </c>
      <c r="AZ846" s="365"/>
      <c r="BA846" s="377">
        <f t="shared" si="327"/>
        <v>0</v>
      </c>
      <c r="BB846" s="377">
        <f t="shared" si="328"/>
        <v>0</v>
      </c>
      <c r="BC846" s="377">
        <f t="shared" si="329"/>
        <v>0</v>
      </c>
      <c r="BD846" s="377">
        <f t="shared" si="330"/>
        <v>0</v>
      </c>
      <c r="BE846" s="377">
        <f t="shared" si="331"/>
        <v>0</v>
      </c>
      <c r="BF846" s="377">
        <f t="shared" si="332"/>
        <v>0</v>
      </c>
      <c r="BG846" s="328"/>
    </row>
    <row r="847" spans="2:59">
      <c r="B847" s="332">
        <v>832</v>
      </c>
      <c r="C847" s="350">
        <v>4713513.0272916611</v>
      </c>
      <c r="D847" s="350">
        <v>29115.241745642586</v>
      </c>
      <c r="E847" s="350">
        <v>27876.822330651503</v>
      </c>
      <c r="F847" s="350">
        <v>26605.079009660058</v>
      </c>
      <c r="G847" s="350">
        <v>25300.076741551802</v>
      </c>
      <c r="H847" s="348">
        <v>4822410.2471191678</v>
      </c>
      <c r="I847" s="369"/>
      <c r="J847" s="350">
        <v>6156748.8427364025</v>
      </c>
      <c r="K847" s="350">
        <v>1490180.7139323254</v>
      </c>
      <c r="L847" s="350">
        <v>1505634.3721899672</v>
      </c>
      <c r="M847" s="350">
        <v>1519876.3135363867</v>
      </c>
      <c r="N847" s="350">
        <v>1532865.888443728</v>
      </c>
      <c r="O847" s="348">
        <v>12205306.130838811</v>
      </c>
      <c r="P847" s="369"/>
      <c r="Q847" s="350">
        <f t="shared" si="333"/>
        <v>1443235.8154447414</v>
      </c>
      <c r="R847" s="350">
        <f t="shared" si="334"/>
        <v>1461065.4721866827</v>
      </c>
      <c r="S847" s="350">
        <f t="shared" si="335"/>
        <v>1477757.5498593156</v>
      </c>
      <c r="T847" s="350">
        <f t="shared" si="336"/>
        <v>1493271.2345267267</v>
      </c>
      <c r="U847" s="350">
        <f t="shared" si="337"/>
        <v>1507565.8117021762</v>
      </c>
      <c r="V847" s="350">
        <f t="shared" si="338"/>
        <v>7382895.8837196436</v>
      </c>
      <c r="W847" s="365"/>
      <c r="X847" s="377">
        <f t="shared" si="316"/>
        <v>0</v>
      </c>
      <c r="Y847" s="377">
        <f t="shared" si="317"/>
        <v>0</v>
      </c>
      <c r="Z847" s="377">
        <f t="shared" si="318"/>
        <v>0</v>
      </c>
      <c r="AA847" s="377">
        <f t="shared" si="319"/>
        <v>0</v>
      </c>
      <c r="AB847" s="377">
        <f t="shared" si="320"/>
        <v>0</v>
      </c>
      <c r="AC847" s="377">
        <f t="shared" si="321"/>
        <v>0</v>
      </c>
      <c r="AD847" s="376"/>
      <c r="AE847" s="332">
        <v>832</v>
      </c>
      <c r="AF847" s="350">
        <v>5724246.7481537731</v>
      </c>
      <c r="AG847" s="350">
        <v>35358.516443937544</v>
      </c>
      <c r="AH847" s="350">
        <v>33854.538780553215</v>
      </c>
      <c r="AI847" s="350">
        <v>32310.091459093626</v>
      </c>
      <c r="AJ847" s="350">
        <v>30725.253367781123</v>
      </c>
      <c r="AK847" s="348">
        <v>5856495.1482051378</v>
      </c>
      <c r="AL847" s="369"/>
      <c r="AM847" s="350">
        <v>8302938.5337840794</v>
      </c>
      <c r="AN847" s="350">
        <v>2645907.320095161</v>
      </c>
      <c r="AO847" s="350">
        <v>2674227.7987811016</v>
      </c>
      <c r="AP847" s="350">
        <v>2700402.3221147554</v>
      </c>
      <c r="AQ847" s="350">
        <v>2724358.2226518206</v>
      </c>
      <c r="AR847" s="348">
        <v>19047834.197426915</v>
      </c>
      <c r="AS847" s="369"/>
      <c r="AT847" s="350">
        <f t="shared" si="339"/>
        <v>2578691.7856303062</v>
      </c>
      <c r="AU847" s="350">
        <f t="shared" si="322"/>
        <v>2610548.8036512234</v>
      </c>
      <c r="AV847" s="350">
        <f t="shared" si="323"/>
        <v>2640373.2600005483</v>
      </c>
      <c r="AW847" s="350">
        <f t="shared" si="324"/>
        <v>2668092.2306556618</v>
      </c>
      <c r="AX847" s="350">
        <f t="shared" si="325"/>
        <v>2693632.9692840395</v>
      </c>
      <c r="AY847" s="350">
        <f t="shared" si="326"/>
        <v>13191339.049221776</v>
      </c>
      <c r="AZ847" s="365"/>
      <c r="BA847" s="377">
        <f t="shared" si="327"/>
        <v>0</v>
      </c>
      <c r="BB847" s="377">
        <f t="shared" si="328"/>
        <v>0</v>
      </c>
      <c r="BC847" s="377">
        <f t="shared" si="329"/>
        <v>0</v>
      </c>
      <c r="BD847" s="377">
        <f t="shared" si="330"/>
        <v>0</v>
      </c>
      <c r="BE847" s="377">
        <f t="shared" si="331"/>
        <v>0</v>
      </c>
      <c r="BF847" s="377">
        <f t="shared" si="332"/>
        <v>0</v>
      </c>
      <c r="BG847" s="328"/>
    </row>
    <row r="848" spans="2:59">
      <c r="B848" s="332">
        <v>833</v>
      </c>
      <c r="C848" s="350">
        <v>3980405.8968728567</v>
      </c>
      <c r="D848" s="350">
        <v>24586.858944107968</v>
      </c>
      <c r="E848" s="350">
        <v>23541.05469710649</v>
      </c>
      <c r="F848" s="350">
        <v>22467.109513362451</v>
      </c>
      <c r="G848" s="350">
        <v>21365.078248499536</v>
      </c>
      <c r="H848" s="348">
        <v>4072365.9982759329</v>
      </c>
      <c r="I848" s="369"/>
      <c r="J848" s="350">
        <v>5829773.5467254873</v>
      </c>
      <c r="K848" s="350">
        <v>1896801.4961245609</v>
      </c>
      <c r="L848" s="350">
        <v>1917144.9812273921</v>
      </c>
      <c r="M848" s="350">
        <v>1935950.3282888255</v>
      </c>
      <c r="N848" s="350">
        <v>1953165.4204723206</v>
      </c>
      <c r="O848" s="348">
        <v>13532835.772838585</v>
      </c>
      <c r="P848" s="369"/>
      <c r="Q848" s="350">
        <f t="shared" si="333"/>
        <v>1849367.6498526307</v>
      </c>
      <c r="R848" s="350">
        <f t="shared" si="334"/>
        <v>1872214.6371804529</v>
      </c>
      <c r="S848" s="350">
        <f t="shared" si="335"/>
        <v>1893603.9265302855</v>
      </c>
      <c r="T848" s="350">
        <f t="shared" si="336"/>
        <v>1913483.2187754631</v>
      </c>
      <c r="U848" s="350">
        <f t="shared" si="337"/>
        <v>1931800.3422238212</v>
      </c>
      <c r="V848" s="350">
        <f t="shared" si="338"/>
        <v>9460469.7745626532</v>
      </c>
      <c r="W848" s="365"/>
      <c r="X848" s="377">
        <f t="shared" ref="X848:X911" si="340">IF(Q848&lt;Q$8,1,0)</f>
        <v>0</v>
      </c>
      <c r="Y848" s="377">
        <f t="shared" ref="Y848:Y911" si="341">IF(R848&lt;R$8,1,0)</f>
        <v>0</v>
      </c>
      <c r="Z848" s="377">
        <f t="shared" ref="Z848:Z911" si="342">IF(S848&lt;S$8,1,0)</f>
        <v>0</v>
      </c>
      <c r="AA848" s="377">
        <f t="shared" ref="AA848:AA911" si="343">IF(T848&lt;T$8,1,0)</f>
        <v>0</v>
      </c>
      <c r="AB848" s="377">
        <f t="shared" ref="AB848:AB911" si="344">IF(U848&lt;U$8,1,0)</f>
        <v>0</v>
      </c>
      <c r="AC848" s="377">
        <f t="shared" ref="AC848:AC911" si="345">IF(V848&lt;V$8,1,0)</f>
        <v>0</v>
      </c>
      <c r="AD848" s="376"/>
      <c r="AE848" s="332">
        <v>833</v>
      </c>
      <c r="AF848" s="350">
        <v>6573272.5364050362</v>
      </c>
      <c r="AG848" s="350">
        <v>40602.925641514543</v>
      </c>
      <c r="AH848" s="350">
        <v>38875.876563260259</v>
      </c>
      <c r="AI848" s="350">
        <v>37102.355328285448</v>
      </c>
      <c r="AJ848" s="350">
        <v>35282.452525594475</v>
      </c>
      <c r="AK848" s="348">
        <v>6725136.1464636903</v>
      </c>
      <c r="AL848" s="369"/>
      <c r="AM848" s="350">
        <v>8684824.4980450869</v>
      </c>
      <c r="AN848" s="350">
        <v>2178240.885332562</v>
      </c>
      <c r="AO848" s="350">
        <v>2200935.4789105561</v>
      </c>
      <c r="AP848" s="350">
        <v>2221859.5313784909</v>
      </c>
      <c r="AQ848" s="350">
        <v>2240953.5652676653</v>
      </c>
      <c r="AR848" s="348">
        <v>17526813.958934359</v>
      </c>
      <c r="AS848" s="369"/>
      <c r="AT848" s="350">
        <f t="shared" si="339"/>
        <v>2111551.9616400506</v>
      </c>
      <c r="AU848" s="350">
        <f t="shared" ref="AU848:AU911" si="346">AN848-AG848</f>
        <v>2137637.9596910477</v>
      </c>
      <c r="AV848" s="350">
        <f t="shared" ref="AV848:AV911" si="347">AO848-AH848</f>
        <v>2162059.6023472957</v>
      </c>
      <c r="AW848" s="350">
        <f t="shared" ref="AW848:AW911" si="348">AP848-AI848</f>
        <v>2184757.1760502052</v>
      </c>
      <c r="AX848" s="350">
        <f t="shared" ref="AX848:AX911" si="349">AQ848-AJ848</f>
        <v>2205671.112742071</v>
      </c>
      <c r="AY848" s="350">
        <f t="shared" ref="AY848:AY911" si="350">AR848-AK848</f>
        <v>10801677.812470669</v>
      </c>
      <c r="AZ848" s="365"/>
      <c r="BA848" s="377">
        <f t="shared" ref="BA848:BA911" si="351">IF(AT848&lt;AT$8,1,0)</f>
        <v>0</v>
      </c>
      <c r="BB848" s="377">
        <f t="shared" ref="BB848:BB911" si="352">IF(AU848&lt;AU$8,1,0)</f>
        <v>0</v>
      </c>
      <c r="BC848" s="377">
        <f t="shared" ref="BC848:BC911" si="353">IF(AV848&lt;AV$8,1,0)</f>
        <v>0</v>
      </c>
      <c r="BD848" s="377">
        <f t="shared" ref="BD848:BD911" si="354">IF(AW848&lt;AW$8,1,0)</f>
        <v>0</v>
      </c>
      <c r="BE848" s="377">
        <f t="shared" ref="BE848:BE911" si="355">IF(AX848&lt;AX$8,1,0)</f>
        <v>0</v>
      </c>
      <c r="BF848" s="377">
        <f t="shared" ref="BF848:BF911" si="356">IF(AY848&lt;AY$8,1,0)</f>
        <v>0</v>
      </c>
      <c r="BG848" s="328"/>
    </row>
    <row r="849" spans="2:59">
      <c r="B849" s="332">
        <v>834</v>
      </c>
      <c r="C849" s="350">
        <v>4733335.2770972429</v>
      </c>
      <c r="D849" s="350">
        <v>29237.683243457155</v>
      </c>
      <c r="E849" s="350">
        <v>27994.055768391583</v>
      </c>
      <c r="F849" s="350">
        <v>26716.964246673819</v>
      </c>
      <c r="G849" s="350">
        <v>25406.473910366472</v>
      </c>
      <c r="H849" s="348">
        <v>4842690.4542661319</v>
      </c>
      <c r="I849" s="369"/>
      <c r="J849" s="350">
        <v>6986780.3130281372</v>
      </c>
      <c r="K849" s="350">
        <v>2310521.656545165</v>
      </c>
      <c r="L849" s="350">
        <v>2335340.7688997462</v>
      </c>
      <c r="M849" s="350">
        <v>2358286.4934477685</v>
      </c>
      <c r="N849" s="350">
        <v>2379295.3244808661</v>
      </c>
      <c r="O849" s="348">
        <v>16370224.556401681</v>
      </c>
      <c r="P849" s="369"/>
      <c r="Q849" s="350">
        <f t="shared" ref="Q849:Q912" si="357">J849-C849</f>
        <v>2253445.0359308943</v>
      </c>
      <c r="R849" s="350">
        <f t="shared" ref="R849:R912" si="358">K849-D849</f>
        <v>2281283.9733017078</v>
      </c>
      <c r="S849" s="350">
        <f t="shared" ref="S849:S912" si="359">L849-E849</f>
        <v>2307346.7131313547</v>
      </c>
      <c r="T849" s="350">
        <f t="shared" ref="T849:T912" si="360">M849-F849</f>
        <v>2331569.5292010945</v>
      </c>
      <c r="U849" s="350">
        <f t="shared" ref="U849:U912" si="361">N849-G849</f>
        <v>2353888.8505704994</v>
      </c>
      <c r="V849" s="350">
        <f t="shared" ref="V849:V912" si="362">O849-H849</f>
        <v>11527534.10213555</v>
      </c>
      <c r="W849" s="365"/>
      <c r="X849" s="377">
        <f t="shared" si="340"/>
        <v>0</v>
      </c>
      <c r="Y849" s="377">
        <f t="shared" si="341"/>
        <v>0</v>
      </c>
      <c r="Z849" s="377">
        <f t="shared" si="342"/>
        <v>0</v>
      </c>
      <c r="AA849" s="377">
        <f t="shared" si="343"/>
        <v>0</v>
      </c>
      <c r="AB849" s="377">
        <f t="shared" si="344"/>
        <v>0</v>
      </c>
      <c r="AC849" s="377">
        <f t="shared" si="345"/>
        <v>0</v>
      </c>
      <c r="AD849" s="376"/>
      <c r="AE849" s="332">
        <v>834</v>
      </c>
      <c r="AF849" s="350">
        <v>5484406.2406772105</v>
      </c>
      <c r="AG849" s="350">
        <v>33877.028153751002</v>
      </c>
      <c r="AH849" s="350">
        <v>32436.065727458878</v>
      </c>
      <c r="AI849" s="350">
        <v>30956.329283369247</v>
      </c>
      <c r="AJ849" s="350">
        <v>29437.894404359351</v>
      </c>
      <c r="AK849" s="348">
        <v>5611113.5582461497</v>
      </c>
      <c r="AL849" s="369"/>
      <c r="AM849" s="350">
        <v>7350091.8193910336</v>
      </c>
      <c r="AN849" s="350">
        <v>1922611.1850007395</v>
      </c>
      <c r="AO849" s="350">
        <v>1942748.2407051853</v>
      </c>
      <c r="AP849" s="350">
        <v>1961323.20180045</v>
      </c>
      <c r="AQ849" s="350">
        <v>1978283.5118393872</v>
      </c>
      <c r="AR849" s="348">
        <v>15155057.958736796</v>
      </c>
      <c r="AS849" s="369"/>
      <c r="AT849" s="350">
        <f t="shared" ref="AT849:AT912" si="363">AM849-AF849</f>
        <v>1865685.5787138231</v>
      </c>
      <c r="AU849" s="350">
        <f t="shared" si="346"/>
        <v>1888734.1568469885</v>
      </c>
      <c r="AV849" s="350">
        <f t="shared" si="347"/>
        <v>1910312.1749777265</v>
      </c>
      <c r="AW849" s="350">
        <f t="shared" si="348"/>
        <v>1930366.8725170807</v>
      </c>
      <c r="AX849" s="350">
        <f t="shared" si="349"/>
        <v>1948845.6174350278</v>
      </c>
      <c r="AY849" s="350">
        <f t="shared" si="350"/>
        <v>9543944.4004906453</v>
      </c>
      <c r="AZ849" s="365"/>
      <c r="BA849" s="377">
        <f t="shared" si="351"/>
        <v>0</v>
      </c>
      <c r="BB849" s="377">
        <f t="shared" si="352"/>
        <v>0</v>
      </c>
      <c r="BC849" s="377">
        <f t="shared" si="353"/>
        <v>0</v>
      </c>
      <c r="BD849" s="377">
        <f t="shared" si="354"/>
        <v>0</v>
      </c>
      <c r="BE849" s="377">
        <f t="shared" si="355"/>
        <v>0</v>
      </c>
      <c r="BF849" s="377">
        <f t="shared" si="356"/>
        <v>0</v>
      </c>
      <c r="BG849" s="328"/>
    </row>
    <row r="850" spans="2:59">
      <c r="B850" s="332">
        <v>835</v>
      </c>
      <c r="C850" s="350">
        <v>6072413.0972768124</v>
      </c>
      <c r="D850" s="350">
        <v>37509.130511136129</v>
      </c>
      <c r="E850" s="350">
        <v>35913.676285810419</v>
      </c>
      <c r="F850" s="350">
        <v>34275.290912937744</v>
      </c>
      <c r="G850" s="350">
        <v>32594.058078967468</v>
      </c>
      <c r="H850" s="348">
        <v>6212705.2530656634</v>
      </c>
      <c r="I850" s="369"/>
      <c r="J850" s="350">
        <v>7759307.2534566699</v>
      </c>
      <c r="K850" s="350">
        <v>1745243.0853176701</v>
      </c>
      <c r="L850" s="350">
        <v>1763157.7956677612</v>
      </c>
      <c r="M850" s="350">
        <v>1779652.2363557576</v>
      </c>
      <c r="N850" s="350">
        <v>1794678.9028437689</v>
      </c>
      <c r="O850" s="348">
        <v>14842039.273641629</v>
      </c>
      <c r="P850" s="369"/>
      <c r="Q850" s="350">
        <f t="shared" si="357"/>
        <v>1686894.1561798574</v>
      </c>
      <c r="R850" s="350">
        <f t="shared" si="358"/>
        <v>1707733.9548065341</v>
      </c>
      <c r="S850" s="350">
        <f t="shared" si="359"/>
        <v>1727244.1193819507</v>
      </c>
      <c r="T850" s="350">
        <f t="shared" si="360"/>
        <v>1745376.9454428197</v>
      </c>
      <c r="U850" s="350">
        <f t="shared" si="361"/>
        <v>1762084.8447648014</v>
      </c>
      <c r="V850" s="350">
        <f t="shared" si="362"/>
        <v>8629334.0205759667</v>
      </c>
      <c r="W850" s="365"/>
      <c r="X850" s="377">
        <f t="shared" si="340"/>
        <v>0</v>
      </c>
      <c r="Y850" s="377">
        <f t="shared" si="341"/>
        <v>0</v>
      </c>
      <c r="Z850" s="377">
        <f t="shared" si="342"/>
        <v>0</v>
      </c>
      <c r="AA850" s="377">
        <f t="shared" si="343"/>
        <v>0</v>
      </c>
      <c r="AB850" s="377">
        <f t="shared" si="344"/>
        <v>0</v>
      </c>
      <c r="AC850" s="377">
        <f t="shared" si="345"/>
        <v>0</v>
      </c>
      <c r="AD850" s="376"/>
      <c r="AE850" s="332">
        <v>835</v>
      </c>
      <c r="AF850" s="350">
        <v>4050161.3120283312</v>
      </c>
      <c r="AG850" s="350">
        <v>25017.736245933123</v>
      </c>
      <c r="AH850" s="350">
        <v>23953.604594314031</v>
      </c>
      <c r="AI850" s="350">
        <v>22860.838844503302</v>
      </c>
      <c r="AJ850" s="350">
        <v>21739.49481346054</v>
      </c>
      <c r="AK850" s="348">
        <v>4143732.9865265419</v>
      </c>
      <c r="AL850" s="369"/>
      <c r="AM850" s="350">
        <v>5568070.994985641</v>
      </c>
      <c r="AN850" s="350">
        <v>1561679.5928416573</v>
      </c>
      <c r="AO850" s="350">
        <v>1578171.1967509349</v>
      </c>
      <c r="AP850" s="350">
        <v>1593394.8028116142</v>
      </c>
      <c r="AQ850" s="350">
        <v>1607307.6457624901</v>
      </c>
      <c r="AR850" s="348">
        <v>11908624.233152339</v>
      </c>
      <c r="AS850" s="369"/>
      <c r="AT850" s="350">
        <f t="shared" si="363"/>
        <v>1517909.6829573098</v>
      </c>
      <c r="AU850" s="350">
        <f t="shared" si="346"/>
        <v>1536661.8565957241</v>
      </c>
      <c r="AV850" s="350">
        <f t="shared" si="347"/>
        <v>1554217.5921566209</v>
      </c>
      <c r="AW850" s="350">
        <f t="shared" si="348"/>
        <v>1570533.963967111</v>
      </c>
      <c r="AX850" s="350">
        <f t="shared" si="349"/>
        <v>1585568.1509490295</v>
      </c>
      <c r="AY850" s="350">
        <f t="shared" si="350"/>
        <v>7764891.2466257978</v>
      </c>
      <c r="AZ850" s="365"/>
      <c r="BA850" s="377">
        <f t="shared" si="351"/>
        <v>0</v>
      </c>
      <c r="BB850" s="377">
        <f t="shared" si="352"/>
        <v>0</v>
      </c>
      <c r="BC850" s="377">
        <f t="shared" si="353"/>
        <v>0</v>
      </c>
      <c r="BD850" s="377">
        <f t="shared" si="354"/>
        <v>0</v>
      </c>
      <c r="BE850" s="377">
        <f t="shared" si="355"/>
        <v>0</v>
      </c>
      <c r="BF850" s="377">
        <f t="shared" si="356"/>
        <v>0</v>
      </c>
      <c r="BG850" s="328"/>
    </row>
    <row r="851" spans="2:59">
      <c r="B851" s="332">
        <v>836</v>
      </c>
      <c r="C851" s="350">
        <v>5517210.0912345136</v>
      </c>
      <c r="D851" s="350">
        <v>34079.656646263138</v>
      </c>
      <c r="E851" s="350">
        <v>32630.075398900113</v>
      </c>
      <c r="F851" s="350">
        <v>31141.488214900761</v>
      </c>
      <c r="G851" s="350">
        <v>29613.971129238445</v>
      </c>
      <c r="H851" s="348">
        <v>5644675.2826238163</v>
      </c>
      <c r="I851" s="369"/>
      <c r="J851" s="350">
        <v>8136315.5097000329</v>
      </c>
      <c r="K851" s="350">
        <v>2685541.3609539634</v>
      </c>
      <c r="L851" s="350">
        <v>2714383.6492749602</v>
      </c>
      <c r="M851" s="350">
        <v>2741048.4484869763</v>
      </c>
      <c r="N851" s="350">
        <v>2765461.9482013714</v>
      </c>
      <c r="O851" s="348">
        <v>19042750.916617304</v>
      </c>
      <c r="P851" s="369"/>
      <c r="Q851" s="350">
        <f t="shared" si="357"/>
        <v>2619105.4184655193</v>
      </c>
      <c r="R851" s="350">
        <f t="shared" si="358"/>
        <v>2651461.7043077</v>
      </c>
      <c r="S851" s="350">
        <f t="shared" si="359"/>
        <v>2681753.5738760601</v>
      </c>
      <c r="T851" s="350">
        <f t="shared" si="360"/>
        <v>2709906.9602720756</v>
      </c>
      <c r="U851" s="350">
        <f t="shared" si="361"/>
        <v>2735847.9770721328</v>
      </c>
      <c r="V851" s="350">
        <f t="shared" si="362"/>
        <v>13398075.633993488</v>
      </c>
      <c r="W851" s="365"/>
      <c r="X851" s="377">
        <f t="shared" si="340"/>
        <v>0</v>
      </c>
      <c r="Y851" s="377">
        <f t="shared" si="341"/>
        <v>0</v>
      </c>
      <c r="Z851" s="377">
        <f t="shared" si="342"/>
        <v>0</v>
      </c>
      <c r="AA851" s="377">
        <f t="shared" si="343"/>
        <v>0</v>
      </c>
      <c r="AB851" s="377">
        <f t="shared" si="344"/>
        <v>0</v>
      </c>
      <c r="AC851" s="377">
        <f t="shared" si="345"/>
        <v>0</v>
      </c>
      <c r="AD851" s="376"/>
      <c r="AE851" s="332">
        <v>836</v>
      </c>
      <c r="AF851" s="350">
        <v>6899830.9929919178</v>
      </c>
      <c r="AG851" s="350">
        <v>42620.068344325446</v>
      </c>
      <c r="AH851" s="350">
        <v>40807.219920566946</v>
      </c>
      <c r="AI851" s="350">
        <v>38945.590615526846</v>
      </c>
      <c r="AJ851" s="350">
        <v>37035.275518638206</v>
      </c>
      <c r="AK851" s="348">
        <v>7059239.1473909756</v>
      </c>
      <c r="AL851" s="369"/>
      <c r="AM851" s="350">
        <v>9877796.7837503701</v>
      </c>
      <c r="AN851" s="350">
        <v>3057375.4864597674</v>
      </c>
      <c r="AO851" s="350">
        <v>3090004.9902516487</v>
      </c>
      <c r="AP851" s="350">
        <v>3120154.2227432569</v>
      </c>
      <c r="AQ851" s="350">
        <v>3147739.268949274</v>
      </c>
      <c r="AR851" s="348">
        <v>22293070.752154317</v>
      </c>
      <c r="AS851" s="369"/>
      <c r="AT851" s="350">
        <f t="shared" si="363"/>
        <v>2977965.7907584524</v>
      </c>
      <c r="AU851" s="350">
        <f t="shared" si="346"/>
        <v>3014755.4181154422</v>
      </c>
      <c r="AV851" s="350">
        <f t="shared" si="347"/>
        <v>3049197.7703310819</v>
      </c>
      <c r="AW851" s="350">
        <f t="shared" si="348"/>
        <v>3081208.6321277302</v>
      </c>
      <c r="AX851" s="350">
        <f t="shared" si="349"/>
        <v>3110703.9934306359</v>
      </c>
      <c r="AY851" s="350">
        <f t="shared" si="350"/>
        <v>15233831.60476334</v>
      </c>
      <c r="AZ851" s="365"/>
      <c r="BA851" s="377">
        <f t="shared" si="351"/>
        <v>0</v>
      </c>
      <c r="BB851" s="377">
        <f t="shared" si="352"/>
        <v>0</v>
      </c>
      <c r="BC851" s="377">
        <f t="shared" si="353"/>
        <v>0</v>
      </c>
      <c r="BD851" s="377">
        <f t="shared" si="354"/>
        <v>0</v>
      </c>
      <c r="BE851" s="377">
        <f t="shared" si="355"/>
        <v>0</v>
      </c>
      <c r="BF851" s="377">
        <f t="shared" si="356"/>
        <v>0</v>
      </c>
      <c r="BG851" s="328"/>
    </row>
    <row r="852" spans="2:59">
      <c r="B852" s="332">
        <v>837</v>
      </c>
      <c r="C852" s="350">
        <v>5076084.1579790218</v>
      </c>
      <c r="D852" s="350">
        <v>31354.833756703421</v>
      </c>
      <c r="E852" s="350">
        <v>30021.153094960722</v>
      </c>
      <c r="F852" s="350">
        <v>28651.585197869201</v>
      </c>
      <c r="G852" s="350">
        <v>27246.200021058088</v>
      </c>
      <c r="H852" s="348">
        <v>5193357.9300496131</v>
      </c>
      <c r="I852" s="369"/>
      <c r="J852" s="350">
        <v>6995587.4526234176</v>
      </c>
      <c r="K852" s="350">
        <v>1974571.5676688137</v>
      </c>
      <c r="L852" s="350">
        <v>1995438.3463805113</v>
      </c>
      <c r="M852" s="350">
        <v>2014701.9754374442</v>
      </c>
      <c r="N852" s="350">
        <v>2032308.3745374596</v>
      </c>
      <c r="O852" s="348">
        <v>15012607.716647647</v>
      </c>
      <c r="P852" s="369"/>
      <c r="Q852" s="350">
        <f t="shared" si="357"/>
        <v>1919503.2946443958</v>
      </c>
      <c r="R852" s="350">
        <f t="shared" si="358"/>
        <v>1943216.7339121103</v>
      </c>
      <c r="S852" s="350">
        <f t="shared" si="359"/>
        <v>1965417.1932855507</v>
      </c>
      <c r="T852" s="350">
        <f t="shared" si="360"/>
        <v>1986050.3902395749</v>
      </c>
      <c r="U852" s="350">
        <f t="shared" si="361"/>
        <v>2005062.1745164015</v>
      </c>
      <c r="V852" s="350">
        <f t="shared" si="362"/>
        <v>9819249.7865980342</v>
      </c>
      <c r="W852" s="365"/>
      <c r="X852" s="377">
        <f t="shared" si="340"/>
        <v>0</v>
      </c>
      <c r="Y852" s="377">
        <f t="shared" si="341"/>
        <v>0</v>
      </c>
      <c r="Z852" s="377">
        <f t="shared" si="342"/>
        <v>0</v>
      </c>
      <c r="AA852" s="377">
        <f t="shared" si="343"/>
        <v>0</v>
      </c>
      <c r="AB852" s="377">
        <f t="shared" si="344"/>
        <v>0</v>
      </c>
      <c r="AC852" s="377">
        <f t="shared" si="345"/>
        <v>0</v>
      </c>
      <c r="AD852" s="376"/>
      <c r="AE852" s="332">
        <v>837</v>
      </c>
      <c r="AF852" s="350">
        <v>5698887.6316936705</v>
      </c>
      <c r="AG852" s="350">
        <v>35201.873871418356</v>
      </c>
      <c r="AH852" s="350">
        <v>33704.559013885606</v>
      </c>
      <c r="AI852" s="350">
        <v>32166.953783833611</v>
      </c>
      <c r="AJ852" s="350">
        <v>30589.136720001872</v>
      </c>
      <c r="AK852" s="348">
        <v>5830550.1550828097</v>
      </c>
      <c r="AL852" s="369"/>
      <c r="AM852" s="350">
        <v>7375327.0382428877</v>
      </c>
      <c r="AN852" s="350">
        <v>1732351.9216391845</v>
      </c>
      <c r="AO852" s="350">
        <v>1750243.8545318246</v>
      </c>
      <c r="AP852" s="350">
        <v>1766726.6947750004</v>
      </c>
      <c r="AQ852" s="350">
        <v>1781753.2276174217</v>
      </c>
      <c r="AR852" s="348">
        <v>14406402.73680632</v>
      </c>
      <c r="AS852" s="369"/>
      <c r="AT852" s="350">
        <f t="shared" si="363"/>
        <v>1676439.4065492172</v>
      </c>
      <c r="AU852" s="350">
        <f t="shared" si="346"/>
        <v>1697150.0477677661</v>
      </c>
      <c r="AV852" s="350">
        <f t="shared" si="347"/>
        <v>1716539.2955179389</v>
      </c>
      <c r="AW852" s="350">
        <f t="shared" si="348"/>
        <v>1734559.7409911668</v>
      </c>
      <c r="AX852" s="350">
        <f t="shared" si="349"/>
        <v>1751164.0908974197</v>
      </c>
      <c r="AY852" s="350">
        <f t="shared" si="350"/>
        <v>8575852.5817235112</v>
      </c>
      <c r="AZ852" s="365"/>
      <c r="BA852" s="377">
        <f t="shared" si="351"/>
        <v>0</v>
      </c>
      <c r="BB852" s="377">
        <f t="shared" si="352"/>
        <v>0</v>
      </c>
      <c r="BC852" s="377">
        <f t="shared" si="353"/>
        <v>0</v>
      </c>
      <c r="BD852" s="377">
        <f t="shared" si="354"/>
        <v>0</v>
      </c>
      <c r="BE852" s="377">
        <f t="shared" si="355"/>
        <v>0</v>
      </c>
      <c r="BF852" s="377">
        <f t="shared" si="356"/>
        <v>0</v>
      </c>
      <c r="BG852" s="328"/>
    </row>
    <row r="853" spans="2:59">
      <c r="B853" s="332">
        <v>838</v>
      </c>
      <c r="C853" s="350">
        <v>6716163.4423615169</v>
      </c>
      <c r="D853" s="350">
        <v>41485.558880476921</v>
      </c>
      <c r="E853" s="350">
        <v>39720.966918363461</v>
      </c>
      <c r="F853" s="350">
        <v>37908.892579954074</v>
      </c>
      <c r="G853" s="350">
        <v>36049.428423494042</v>
      </c>
      <c r="H853" s="348">
        <v>6871328.2891638055</v>
      </c>
      <c r="I853" s="369"/>
      <c r="J853" s="350">
        <v>9349119.4496457577</v>
      </c>
      <c r="K853" s="350">
        <v>2706968.9614275978</v>
      </c>
      <c r="L853" s="350">
        <v>2735656.4312227415</v>
      </c>
      <c r="M853" s="350">
        <v>2762146.6265502167</v>
      </c>
      <c r="N853" s="350">
        <v>2786365.3628118131</v>
      </c>
      <c r="O853" s="348">
        <v>20340256.831658125</v>
      </c>
      <c r="P853" s="369"/>
      <c r="Q853" s="350">
        <f t="shared" si="357"/>
        <v>2632956.0072842408</v>
      </c>
      <c r="R853" s="350">
        <f t="shared" si="358"/>
        <v>2665483.402547121</v>
      </c>
      <c r="S853" s="350">
        <f t="shared" si="359"/>
        <v>2695935.4643043783</v>
      </c>
      <c r="T853" s="350">
        <f t="shared" si="360"/>
        <v>2724237.7339702626</v>
      </c>
      <c r="U853" s="350">
        <f t="shared" si="361"/>
        <v>2750315.934388319</v>
      </c>
      <c r="V853" s="350">
        <f t="shared" si="362"/>
        <v>13468928.542494319</v>
      </c>
      <c r="W853" s="365"/>
      <c r="X853" s="377">
        <f t="shared" si="340"/>
        <v>0</v>
      </c>
      <c r="Y853" s="377">
        <f t="shared" si="341"/>
        <v>0</v>
      </c>
      <c r="Z853" s="377">
        <f t="shared" si="342"/>
        <v>0</v>
      </c>
      <c r="AA853" s="377">
        <f t="shared" si="343"/>
        <v>0</v>
      </c>
      <c r="AB853" s="377">
        <f t="shared" si="344"/>
        <v>0</v>
      </c>
      <c r="AC853" s="377">
        <f t="shared" si="345"/>
        <v>0</v>
      </c>
      <c r="AD853" s="376"/>
      <c r="AE853" s="332">
        <v>838</v>
      </c>
      <c r="AF853" s="350">
        <v>6382934.6685433807</v>
      </c>
      <c r="AG853" s="350">
        <v>39427.213809583343</v>
      </c>
      <c r="AH853" s="350">
        <v>37750.173739388105</v>
      </c>
      <c r="AI853" s="350">
        <v>36028.007175716491</v>
      </c>
      <c r="AJ853" s="350">
        <v>34260.802084439696</v>
      </c>
      <c r="AK853" s="348">
        <v>6530400.8653525077</v>
      </c>
      <c r="AL853" s="369"/>
      <c r="AM853" s="350">
        <v>8861367.0883962102</v>
      </c>
      <c r="AN853" s="350">
        <v>2548478.0529333213</v>
      </c>
      <c r="AO853" s="350">
        <v>2575465.8963255701</v>
      </c>
      <c r="AP853" s="350">
        <v>2600384.9886744237</v>
      </c>
      <c r="AQ853" s="350">
        <v>2623165.4999858234</v>
      </c>
      <c r="AR853" s="348">
        <v>19208861.526315346</v>
      </c>
      <c r="AS853" s="369"/>
      <c r="AT853" s="350">
        <f t="shared" si="363"/>
        <v>2478432.4198528295</v>
      </c>
      <c r="AU853" s="350">
        <f t="shared" si="346"/>
        <v>2509050.839123738</v>
      </c>
      <c r="AV853" s="350">
        <f t="shared" si="347"/>
        <v>2537715.7225861819</v>
      </c>
      <c r="AW853" s="350">
        <f t="shared" si="348"/>
        <v>2564356.9814987071</v>
      </c>
      <c r="AX853" s="350">
        <f t="shared" si="349"/>
        <v>2588904.6979013835</v>
      </c>
      <c r="AY853" s="350">
        <f t="shared" si="350"/>
        <v>12678460.660962839</v>
      </c>
      <c r="AZ853" s="365"/>
      <c r="BA853" s="377">
        <f t="shared" si="351"/>
        <v>0</v>
      </c>
      <c r="BB853" s="377">
        <f t="shared" si="352"/>
        <v>0</v>
      </c>
      <c r="BC853" s="377">
        <f t="shared" si="353"/>
        <v>0</v>
      </c>
      <c r="BD853" s="377">
        <f t="shared" si="354"/>
        <v>0</v>
      </c>
      <c r="BE853" s="377">
        <f t="shared" si="355"/>
        <v>0</v>
      </c>
      <c r="BF853" s="377">
        <f t="shared" si="356"/>
        <v>0</v>
      </c>
      <c r="BG853" s="328"/>
    </row>
    <row r="854" spans="2:59">
      <c r="B854" s="332">
        <v>839</v>
      </c>
      <c r="C854" s="350">
        <v>7835789.4514459111</v>
      </c>
      <c r="D854" s="350">
        <v>48401.458280870822</v>
      </c>
      <c r="E854" s="350">
        <v>46342.697918427439</v>
      </c>
      <c r="F854" s="350">
        <v>44228.539573713766</v>
      </c>
      <c r="G854" s="350">
        <v>42059.091235001462</v>
      </c>
      <c r="H854" s="348">
        <v>8016821.2384539247</v>
      </c>
      <c r="I854" s="369"/>
      <c r="J854" s="350">
        <v>11267321.659119982</v>
      </c>
      <c r="K854" s="350">
        <v>3522326.6281493381</v>
      </c>
      <c r="L854" s="350">
        <v>3559956.047316297</v>
      </c>
      <c r="M854" s="350">
        <v>3594728.2439429825</v>
      </c>
      <c r="N854" s="350">
        <v>3626546.5205815053</v>
      </c>
      <c r="O854" s="348">
        <v>25570879.099110108</v>
      </c>
      <c r="P854" s="369"/>
      <c r="Q854" s="350">
        <f t="shared" si="357"/>
        <v>3431532.2076740712</v>
      </c>
      <c r="R854" s="350">
        <f t="shared" si="358"/>
        <v>3473925.1698684674</v>
      </c>
      <c r="S854" s="350">
        <f t="shared" si="359"/>
        <v>3513613.3493978693</v>
      </c>
      <c r="T854" s="350">
        <f t="shared" si="360"/>
        <v>3550499.7043692688</v>
      </c>
      <c r="U854" s="350">
        <f t="shared" si="361"/>
        <v>3584487.4293465037</v>
      </c>
      <c r="V854" s="350">
        <f t="shared" si="362"/>
        <v>17554057.860656183</v>
      </c>
      <c r="W854" s="365"/>
      <c r="X854" s="377">
        <f t="shared" si="340"/>
        <v>0</v>
      </c>
      <c r="Y854" s="377">
        <f t="shared" si="341"/>
        <v>0</v>
      </c>
      <c r="Z854" s="377">
        <f t="shared" si="342"/>
        <v>0</v>
      </c>
      <c r="AA854" s="377">
        <f t="shared" si="343"/>
        <v>0</v>
      </c>
      <c r="AB854" s="377">
        <f t="shared" si="344"/>
        <v>0</v>
      </c>
      <c r="AC854" s="377">
        <f t="shared" si="345"/>
        <v>0</v>
      </c>
      <c r="AD854" s="376"/>
      <c r="AE854" s="332">
        <v>839</v>
      </c>
      <c r="AF854" s="350">
        <v>6845782.6623153118</v>
      </c>
      <c r="AG854" s="350">
        <v>42286.213276037917</v>
      </c>
      <c r="AH854" s="350">
        <v>40487.565407507784</v>
      </c>
      <c r="AI854" s="350">
        <v>38640.51877215493</v>
      </c>
      <c r="AJ854" s="350">
        <v>36745.167714554569</v>
      </c>
      <c r="AK854" s="348">
        <v>7003942.1274855677</v>
      </c>
      <c r="AL854" s="369"/>
      <c r="AM854" s="350">
        <v>8604349.8233716991</v>
      </c>
      <c r="AN854" s="350">
        <v>1822578.6173618347</v>
      </c>
      <c r="AO854" s="350">
        <v>1841119.08478601</v>
      </c>
      <c r="AP854" s="350">
        <v>1858175.294369177</v>
      </c>
      <c r="AQ854" s="350">
        <v>1873697.7302961575</v>
      </c>
      <c r="AR854" s="348">
        <v>15999920.550184876</v>
      </c>
      <c r="AS854" s="369"/>
      <c r="AT854" s="350">
        <f t="shared" si="363"/>
        <v>1758567.1610563872</v>
      </c>
      <c r="AU854" s="350">
        <f t="shared" si="346"/>
        <v>1780292.4040857968</v>
      </c>
      <c r="AV854" s="350">
        <f t="shared" si="347"/>
        <v>1800631.5193785022</v>
      </c>
      <c r="AW854" s="350">
        <f t="shared" si="348"/>
        <v>1819534.7755970219</v>
      </c>
      <c r="AX854" s="350">
        <f t="shared" si="349"/>
        <v>1836952.5625816029</v>
      </c>
      <c r="AY854" s="350">
        <f t="shared" si="350"/>
        <v>8995978.422699308</v>
      </c>
      <c r="AZ854" s="365"/>
      <c r="BA854" s="377">
        <f t="shared" si="351"/>
        <v>0</v>
      </c>
      <c r="BB854" s="377">
        <f t="shared" si="352"/>
        <v>0</v>
      </c>
      <c r="BC854" s="377">
        <f t="shared" si="353"/>
        <v>0</v>
      </c>
      <c r="BD854" s="377">
        <f t="shared" si="354"/>
        <v>0</v>
      </c>
      <c r="BE854" s="377">
        <f t="shared" si="355"/>
        <v>0</v>
      </c>
      <c r="BF854" s="377">
        <f t="shared" si="356"/>
        <v>0</v>
      </c>
      <c r="BG854" s="328"/>
    </row>
    <row r="855" spans="2:59">
      <c r="B855" s="332">
        <v>840</v>
      </c>
      <c r="C855" s="350">
        <v>6567314.9061833676</v>
      </c>
      <c r="D855" s="350">
        <v>40566.125521703529</v>
      </c>
      <c r="E855" s="350">
        <v>38840.641739839979</v>
      </c>
      <c r="F855" s="350">
        <v>37068.727920907433</v>
      </c>
      <c r="G855" s="350">
        <v>35250.474571797597</v>
      </c>
      <c r="H855" s="348">
        <v>6719040.8759376165</v>
      </c>
      <c r="I855" s="369"/>
      <c r="J855" s="350">
        <v>8251375.9040449234</v>
      </c>
      <c r="K855" s="350">
        <v>1745431.9213262168</v>
      </c>
      <c r="L855" s="350">
        <v>1763183.8345718719</v>
      </c>
      <c r="M855" s="350">
        <v>1779514.2925219366</v>
      </c>
      <c r="N855" s="350">
        <v>1794375.8773839383</v>
      </c>
      <c r="O855" s="348">
        <v>15333881.829848887</v>
      </c>
      <c r="P855" s="369"/>
      <c r="Q855" s="350">
        <f t="shared" si="357"/>
        <v>1684060.9978615558</v>
      </c>
      <c r="R855" s="350">
        <f t="shared" si="358"/>
        <v>1704865.7958045132</v>
      </c>
      <c r="S855" s="350">
        <f t="shared" si="359"/>
        <v>1724343.192832032</v>
      </c>
      <c r="T855" s="350">
        <f t="shared" si="360"/>
        <v>1742445.5646010293</v>
      </c>
      <c r="U855" s="350">
        <f t="shared" si="361"/>
        <v>1759125.4028121408</v>
      </c>
      <c r="V855" s="350">
        <f t="shared" si="362"/>
        <v>8614840.9539112709</v>
      </c>
      <c r="W855" s="365"/>
      <c r="X855" s="377">
        <f t="shared" si="340"/>
        <v>0</v>
      </c>
      <c r="Y855" s="377">
        <f t="shared" si="341"/>
        <v>0</v>
      </c>
      <c r="Z855" s="377">
        <f t="shared" si="342"/>
        <v>0</v>
      </c>
      <c r="AA855" s="377">
        <f t="shared" si="343"/>
        <v>0</v>
      </c>
      <c r="AB855" s="377">
        <f t="shared" si="344"/>
        <v>0</v>
      </c>
      <c r="AC855" s="377">
        <f t="shared" si="345"/>
        <v>0</v>
      </c>
      <c r="AD855" s="376"/>
      <c r="AE855" s="332">
        <v>840</v>
      </c>
      <c r="AF855" s="350">
        <v>5420191.453258547</v>
      </c>
      <c r="AG855" s="350">
        <v>33480.375158730945</v>
      </c>
      <c r="AH855" s="350">
        <v>32056.284403104659</v>
      </c>
      <c r="AI855" s="350">
        <v>30593.873619628659</v>
      </c>
      <c r="AJ855" s="350">
        <v>29093.21750620945</v>
      </c>
      <c r="AK855" s="348">
        <v>5545415.2039462207</v>
      </c>
      <c r="AL855" s="369"/>
      <c r="AM855" s="350">
        <v>7556488.7146421205</v>
      </c>
      <c r="AN855" s="350">
        <v>2196169.3366800146</v>
      </c>
      <c r="AO855" s="350">
        <v>2219453.0860689003</v>
      </c>
      <c r="AP855" s="350">
        <v>2240954.2420943277</v>
      </c>
      <c r="AQ855" s="350">
        <v>2260612.6133177788</v>
      </c>
      <c r="AR855" s="348">
        <v>16473677.992803143</v>
      </c>
      <c r="AS855" s="369"/>
      <c r="AT855" s="350">
        <f t="shared" si="363"/>
        <v>2136297.2613835735</v>
      </c>
      <c r="AU855" s="350">
        <f t="shared" si="346"/>
        <v>2162688.9615212837</v>
      </c>
      <c r="AV855" s="350">
        <f t="shared" si="347"/>
        <v>2187396.8016657955</v>
      </c>
      <c r="AW855" s="350">
        <f t="shared" si="348"/>
        <v>2210360.3684746991</v>
      </c>
      <c r="AX855" s="350">
        <f t="shared" si="349"/>
        <v>2231519.3958115694</v>
      </c>
      <c r="AY855" s="350">
        <f t="shared" si="350"/>
        <v>10928262.788856924</v>
      </c>
      <c r="AZ855" s="365"/>
      <c r="BA855" s="377">
        <f t="shared" si="351"/>
        <v>0</v>
      </c>
      <c r="BB855" s="377">
        <f t="shared" si="352"/>
        <v>0</v>
      </c>
      <c r="BC855" s="377">
        <f t="shared" si="353"/>
        <v>0</v>
      </c>
      <c r="BD855" s="377">
        <f t="shared" si="354"/>
        <v>0</v>
      </c>
      <c r="BE855" s="377">
        <f t="shared" si="355"/>
        <v>0</v>
      </c>
      <c r="BF855" s="377">
        <f t="shared" si="356"/>
        <v>0</v>
      </c>
      <c r="BG855" s="328"/>
    </row>
    <row r="856" spans="2:59">
      <c r="B856" s="332">
        <v>841</v>
      </c>
      <c r="C856" s="350">
        <v>4598284.571961442</v>
      </c>
      <c r="D856" s="350">
        <v>28403.478711682186</v>
      </c>
      <c r="E856" s="350">
        <v>27195.334201080434</v>
      </c>
      <c r="F856" s="350">
        <v>25954.680434230588</v>
      </c>
      <c r="G856" s="350">
        <v>24681.580782002056</v>
      </c>
      <c r="H856" s="348">
        <v>4704519.6460904377</v>
      </c>
      <c r="I856" s="369"/>
      <c r="J856" s="350">
        <v>7233344.7622113936</v>
      </c>
      <c r="K856" s="350">
        <v>2696017.0591863883</v>
      </c>
      <c r="L856" s="350">
        <v>2725285.3128478732</v>
      </c>
      <c r="M856" s="350">
        <v>2752369.5471095229</v>
      </c>
      <c r="N856" s="350">
        <v>2777195.4888255768</v>
      </c>
      <c r="O856" s="348">
        <v>18184212.170180757</v>
      </c>
      <c r="P856" s="369"/>
      <c r="Q856" s="350">
        <f t="shared" si="357"/>
        <v>2635060.1902499516</v>
      </c>
      <c r="R856" s="350">
        <f t="shared" si="358"/>
        <v>2667613.5804747059</v>
      </c>
      <c r="S856" s="350">
        <f t="shared" si="359"/>
        <v>2698089.9786467929</v>
      </c>
      <c r="T856" s="350">
        <f t="shared" si="360"/>
        <v>2726414.8666752921</v>
      </c>
      <c r="U856" s="350">
        <f t="shared" si="361"/>
        <v>2752513.908043575</v>
      </c>
      <c r="V856" s="350">
        <f t="shared" si="362"/>
        <v>13479692.52409032</v>
      </c>
      <c r="W856" s="365"/>
      <c r="X856" s="377">
        <f t="shared" si="340"/>
        <v>0</v>
      </c>
      <c r="Y856" s="377">
        <f t="shared" si="341"/>
        <v>0</v>
      </c>
      <c r="Z856" s="377">
        <f t="shared" si="342"/>
        <v>0</v>
      </c>
      <c r="AA856" s="377">
        <f t="shared" si="343"/>
        <v>0</v>
      </c>
      <c r="AB856" s="377">
        <f t="shared" si="344"/>
        <v>0</v>
      </c>
      <c r="AC856" s="377">
        <f t="shared" si="345"/>
        <v>0</v>
      </c>
      <c r="AD856" s="376"/>
      <c r="AE856" s="332">
        <v>841</v>
      </c>
      <c r="AF856" s="350">
        <v>6597226.9443755932</v>
      </c>
      <c r="AG856" s="350">
        <v>40750.891367903831</v>
      </c>
      <c r="AH856" s="350">
        <v>39017.548554227942</v>
      </c>
      <c r="AI856" s="350">
        <v>37237.56422937561</v>
      </c>
      <c r="AJ856" s="350">
        <v>35411.029312470877</v>
      </c>
      <c r="AK856" s="348">
        <v>6749643.9778395714</v>
      </c>
      <c r="AL856" s="369"/>
      <c r="AM856" s="350">
        <v>9444902.4429239929</v>
      </c>
      <c r="AN856" s="350">
        <v>2923606.4180920273</v>
      </c>
      <c r="AO856" s="350">
        <v>2954808.5249807052</v>
      </c>
      <c r="AP856" s="350">
        <v>2983638.8811468752</v>
      </c>
      <c r="AQ856" s="350">
        <v>3010017.2429966778</v>
      </c>
      <c r="AR856" s="348">
        <v>21316973.510140277</v>
      </c>
      <c r="AS856" s="369"/>
      <c r="AT856" s="350">
        <f t="shared" si="363"/>
        <v>2847675.4985483997</v>
      </c>
      <c r="AU856" s="350">
        <f t="shared" si="346"/>
        <v>2882855.5267241234</v>
      </c>
      <c r="AV856" s="350">
        <f t="shared" si="347"/>
        <v>2915790.9764264771</v>
      </c>
      <c r="AW856" s="350">
        <f t="shared" si="348"/>
        <v>2946401.3169174995</v>
      </c>
      <c r="AX856" s="350">
        <f t="shared" si="349"/>
        <v>2974606.2136842068</v>
      </c>
      <c r="AY856" s="350">
        <f t="shared" si="350"/>
        <v>14567329.532300707</v>
      </c>
      <c r="AZ856" s="365"/>
      <c r="BA856" s="377">
        <f t="shared" si="351"/>
        <v>0</v>
      </c>
      <c r="BB856" s="377">
        <f t="shared" si="352"/>
        <v>0</v>
      </c>
      <c r="BC856" s="377">
        <f t="shared" si="353"/>
        <v>0</v>
      </c>
      <c r="BD856" s="377">
        <f t="shared" si="354"/>
        <v>0</v>
      </c>
      <c r="BE856" s="377">
        <f t="shared" si="355"/>
        <v>0</v>
      </c>
      <c r="BF856" s="377">
        <f t="shared" si="356"/>
        <v>0</v>
      </c>
      <c r="BG856" s="328"/>
    </row>
    <row r="857" spans="2:59">
      <c r="B857" s="332">
        <v>842</v>
      </c>
      <c r="C857" s="350">
        <v>5900643.6028612554</v>
      </c>
      <c r="D857" s="350">
        <v>36448.115016859141</v>
      </c>
      <c r="E857" s="350">
        <v>34897.791180597043</v>
      </c>
      <c r="F857" s="350">
        <v>33305.750584118286</v>
      </c>
      <c r="G857" s="350">
        <v>31672.074546641255</v>
      </c>
      <c r="H857" s="348">
        <v>6036967.3341894709</v>
      </c>
      <c r="I857" s="369"/>
      <c r="J857" s="350">
        <v>8324653.8461524881</v>
      </c>
      <c r="K857" s="350">
        <v>2490404.4489707034</v>
      </c>
      <c r="L857" s="350">
        <v>2516889.5763249313</v>
      </c>
      <c r="M857" s="350">
        <v>2541353.7977353735</v>
      </c>
      <c r="N857" s="350">
        <v>2563728.8118412551</v>
      </c>
      <c r="O857" s="348">
        <v>18437030.48102475</v>
      </c>
      <c r="P857" s="369"/>
      <c r="Q857" s="350">
        <f t="shared" si="357"/>
        <v>2424010.2432912327</v>
      </c>
      <c r="R857" s="350">
        <f t="shared" si="358"/>
        <v>2453956.3339538444</v>
      </c>
      <c r="S857" s="350">
        <f t="shared" si="359"/>
        <v>2481991.7851443342</v>
      </c>
      <c r="T857" s="350">
        <f t="shared" si="360"/>
        <v>2508048.0471512554</v>
      </c>
      <c r="U857" s="350">
        <f t="shared" si="361"/>
        <v>2532056.7372946138</v>
      </c>
      <c r="V857" s="350">
        <f t="shared" si="362"/>
        <v>12400063.146835279</v>
      </c>
      <c r="W857" s="365"/>
      <c r="X857" s="377">
        <f t="shared" si="340"/>
        <v>0</v>
      </c>
      <c r="Y857" s="377">
        <f t="shared" si="341"/>
        <v>0</v>
      </c>
      <c r="Z857" s="377">
        <f t="shared" si="342"/>
        <v>0</v>
      </c>
      <c r="AA857" s="377">
        <f t="shared" si="343"/>
        <v>0</v>
      </c>
      <c r="AB857" s="377">
        <f t="shared" si="344"/>
        <v>0</v>
      </c>
      <c r="AC857" s="377">
        <f t="shared" si="345"/>
        <v>0</v>
      </c>
      <c r="AD857" s="376"/>
      <c r="AE857" s="332">
        <v>842</v>
      </c>
      <c r="AF857" s="350">
        <v>6243035.6893965974</v>
      </c>
      <c r="AG857" s="350">
        <v>38563.061621130924</v>
      </c>
      <c r="AH857" s="350">
        <v>36922.778341661462</v>
      </c>
      <c r="AI857" s="350">
        <v>35238.357635761859</v>
      </c>
      <c r="AJ857" s="350">
        <v>33509.885541302123</v>
      </c>
      <c r="AK857" s="348">
        <v>6387269.7725364538</v>
      </c>
      <c r="AL857" s="369"/>
      <c r="AM857" s="350">
        <v>8364604.4436101709</v>
      </c>
      <c r="AN857" s="350">
        <v>2186341.5607961677</v>
      </c>
      <c r="AO857" s="350">
        <v>2209238.7717045397</v>
      </c>
      <c r="AP857" s="350">
        <v>2230359.5975847412</v>
      </c>
      <c r="AQ857" s="350">
        <v>2249644.2738376139</v>
      </c>
      <c r="AR857" s="348">
        <v>17240188.647533234</v>
      </c>
      <c r="AS857" s="369"/>
      <c r="AT857" s="350">
        <f t="shared" si="363"/>
        <v>2121568.7542135734</v>
      </c>
      <c r="AU857" s="350">
        <f t="shared" si="346"/>
        <v>2147778.4991750368</v>
      </c>
      <c r="AV857" s="350">
        <f t="shared" si="347"/>
        <v>2172315.993362878</v>
      </c>
      <c r="AW857" s="350">
        <f t="shared" si="348"/>
        <v>2195121.2399489791</v>
      </c>
      <c r="AX857" s="350">
        <f t="shared" si="349"/>
        <v>2216134.3882963117</v>
      </c>
      <c r="AY857" s="350">
        <f t="shared" si="350"/>
        <v>10852918.874996781</v>
      </c>
      <c r="AZ857" s="365"/>
      <c r="BA857" s="377">
        <f t="shared" si="351"/>
        <v>0</v>
      </c>
      <c r="BB857" s="377">
        <f t="shared" si="352"/>
        <v>0</v>
      </c>
      <c r="BC857" s="377">
        <f t="shared" si="353"/>
        <v>0</v>
      </c>
      <c r="BD857" s="377">
        <f t="shared" si="354"/>
        <v>0</v>
      </c>
      <c r="BE857" s="377">
        <f t="shared" si="355"/>
        <v>0</v>
      </c>
      <c r="BF857" s="377">
        <f t="shared" si="356"/>
        <v>0</v>
      </c>
      <c r="BG857" s="328"/>
    </row>
    <row r="858" spans="2:59">
      <c r="B858" s="332">
        <v>843</v>
      </c>
      <c r="C858" s="350">
        <v>5009613.0021499516</v>
      </c>
      <c r="D858" s="350">
        <v>30944.243235394682</v>
      </c>
      <c r="E858" s="350">
        <v>29628.0270782437</v>
      </c>
      <c r="F858" s="350">
        <v>28276.393627918758</v>
      </c>
      <c r="G858" s="350">
        <v>26889.411923975509</v>
      </c>
      <c r="H858" s="348">
        <v>5125351.0780154839</v>
      </c>
      <c r="I858" s="369"/>
      <c r="J858" s="350">
        <v>7475174.8325799387</v>
      </c>
      <c r="K858" s="350">
        <v>2526965.4903748105</v>
      </c>
      <c r="L858" s="350">
        <v>2554165.2999009113</v>
      </c>
      <c r="M858" s="350">
        <v>2579316.5763395801</v>
      </c>
      <c r="N858" s="350">
        <v>2602349.8338569477</v>
      </c>
      <c r="O858" s="348">
        <v>17737972.033052191</v>
      </c>
      <c r="P858" s="369"/>
      <c r="Q858" s="350">
        <f t="shared" si="357"/>
        <v>2465561.8304299871</v>
      </c>
      <c r="R858" s="350">
        <f t="shared" si="358"/>
        <v>2496021.2471394157</v>
      </c>
      <c r="S858" s="350">
        <f t="shared" si="359"/>
        <v>2524537.2728226674</v>
      </c>
      <c r="T858" s="350">
        <f t="shared" si="360"/>
        <v>2551040.1827116613</v>
      </c>
      <c r="U858" s="350">
        <f t="shared" si="361"/>
        <v>2575460.421932972</v>
      </c>
      <c r="V858" s="350">
        <f t="shared" si="362"/>
        <v>12612620.955036707</v>
      </c>
      <c r="W858" s="365"/>
      <c r="X858" s="377">
        <f t="shared" si="340"/>
        <v>0</v>
      </c>
      <c r="Y858" s="377">
        <f t="shared" si="341"/>
        <v>0</v>
      </c>
      <c r="Z858" s="377">
        <f t="shared" si="342"/>
        <v>0</v>
      </c>
      <c r="AA858" s="377">
        <f t="shared" si="343"/>
        <v>0</v>
      </c>
      <c r="AB858" s="377">
        <f t="shared" si="344"/>
        <v>0</v>
      </c>
      <c r="AC858" s="377">
        <f t="shared" si="345"/>
        <v>0</v>
      </c>
      <c r="AD858" s="376"/>
      <c r="AE858" s="332">
        <v>843</v>
      </c>
      <c r="AF858" s="350">
        <v>4570253.2914209906</v>
      </c>
      <c r="AG858" s="350">
        <v>28230.330254331955</v>
      </c>
      <c r="AH858" s="350">
        <v>27029.550628869223</v>
      </c>
      <c r="AI858" s="350">
        <v>25796.459924558803</v>
      </c>
      <c r="AJ858" s="350">
        <v>24531.121125959809</v>
      </c>
      <c r="AK858" s="348">
        <v>4675840.7533547105</v>
      </c>
      <c r="AL858" s="369"/>
      <c r="AM858" s="350">
        <v>6709613.03010769</v>
      </c>
      <c r="AN858" s="350">
        <v>2194019.6027567228</v>
      </c>
      <c r="AO858" s="350">
        <v>2217562.0830654339</v>
      </c>
      <c r="AP858" s="350">
        <v>2239325.4784661457</v>
      </c>
      <c r="AQ858" s="350">
        <v>2259249.4994128076</v>
      </c>
      <c r="AR858" s="348">
        <v>15619769.693808798</v>
      </c>
      <c r="AS858" s="369"/>
      <c r="AT858" s="350">
        <f t="shared" si="363"/>
        <v>2139359.7386866994</v>
      </c>
      <c r="AU858" s="350">
        <f t="shared" si="346"/>
        <v>2165789.2725023907</v>
      </c>
      <c r="AV858" s="350">
        <f t="shared" si="347"/>
        <v>2190532.5324365646</v>
      </c>
      <c r="AW858" s="350">
        <f t="shared" si="348"/>
        <v>2213529.0185415871</v>
      </c>
      <c r="AX858" s="350">
        <f t="shared" si="349"/>
        <v>2234718.3782868478</v>
      </c>
      <c r="AY858" s="350">
        <f t="shared" si="350"/>
        <v>10943928.940454088</v>
      </c>
      <c r="AZ858" s="365"/>
      <c r="BA858" s="377">
        <f t="shared" si="351"/>
        <v>0</v>
      </c>
      <c r="BB858" s="377">
        <f t="shared" si="352"/>
        <v>0</v>
      </c>
      <c r="BC858" s="377">
        <f t="shared" si="353"/>
        <v>0</v>
      </c>
      <c r="BD858" s="377">
        <f t="shared" si="354"/>
        <v>0</v>
      </c>
      <c r="BE858" s="377">
        <f t="shared" si="355"/>
        <v>0</v>
      </c>
      <c r="BF858" s="377">
        <f t="shared" si="356"/>
        <v>0</v>
      </c>
      <c r="BG858" s="328"/>
    </row>
    <row r="859" spans="2:59">
      <c r="B859" s="332">
        <v>844</v>
      </c>
      <c r="C859" s="350">
        <v>6040130.2488746522</v>
      </c>
      <c r="D859" s="350">
        <v>37309.720234761</v>
      </c>
      <c r="E859" s="350">
        <v>35722.747943398717</v>
      </c>
      <c r="F859" s="350">
        <v>34093.072739906493</v>
      </c>
      <c r="G859" s="350">
        <v>32420.777865825967</v>
      </c>
      <c r="H859" s="348">
        <v>6179676.5676585445</v>
      </c>
      <c r="I859" s="369"/>
      <c r="J859" s="350">
        <v>8218351.4725867305</v>
      </c>
      <c r="K859" s="350">
        <v>2242440.5704341987</v>
      </c>
      <c r="L859" s="350">
        <v>2266046.3195715053</v>
      </c>
      <c r="M859" s="350">
        <v>2287830.8618083717</v>
      </c>
      <c r="N859" s="350">
        <v>2307732.8315515807</v>
      </c>
      <c r="O859" s="348">
        <v>17322402.055952389</v>
      </c>
      <c r="P859" s="369"/>
      <c r="Q859" s="350">
        <f t="shared" si="357"/>
        <v>2178221.2237120783</v>
      </c>
      <c r="R859" s="350">
        <f t="shared" si="358"/>
        <v>2205130.8501994377</v>
      </c>
      <c r="S859" s="350">
        <f t="shared" si="359"/>
        <v>2230323.5716281068</v>
      </c>
      <c r="T859" s="350">
        <f t="shared" si="360"/>
        <v>2253737.7890684651</v>
      </c>
      <c r="U859" s="350">
        <f t="shared" si="361"/>
        <v>2275312.0536857545</v>
      </c>
      <c r="V859" s="350">
        <f t="shared" si="362"/>
        <v>11142725.488293845</v>
      </c>
      <c r="W859" s="365"/>
      <c r="X859" s="377">
        <f t="shared" si="340"/>
        <v>0</v>
      </c>
      <c r="Y859" s="377">
        <f t="shared" si="341"/>
        <v>0</v>
      </c>
      <c r="Z859" s="377">
        <f t="shared" si="342"/>
        <v>0</v>
      </c>
      <c r="AA859" s="377">
        <f t="shared" si="343"/>
        <v>0</v>
      </c>
      <c r="AB859" s="377">
        <f t="shared" si="344"/>
        <v>0</v>
      </c>
      <c r="AC859" s="377">
        <f t="shared" si="345"/>
        <v>0</v>
      </c>
      <c r="AD859" s="376"/>
      <c r="AE859" s="332">
        <v>844</v>
      </c>
      <c r="AF859" s="350">
        <v>5207793.891926297</v>
      </c>
      <c r="AG859" s="350">
        <v>32168.401200333334</v>
      </c>
      <c r="AH859" s="350">
        <v>30800.115374518518</v>
      </c>
      <c r="AI859" s="350">
        <v>29395.011143170988</v>
      </c>
      <c r="AJ859" s="350">
        <v>27953.160277066298</v>
      </c>
      <c r="AK859" s="348">
        <v>5328110.5799213871</v>
      </c>
      <c r="AL859" s="369"/>
      <c r="AM859" s="350">
        <v>7073242.3324032426</v>
      </c>
      <c r="AN859" s="350">
        <v>1920662.490217567</v>
      </c>
      <c r="AO859" s="350">
        <v>1940869.4798453576</v>
      </c>
      <c r="AP859" s="350">
        <v>1959516.524098116</v>
      </c>
      <c r="AQ859" s="350">
        <v>1976551.0694063969</v>
      </c>
      <c r="AR859" s="348">
        <v>14870841.89597068</v>
      </c>
      <c r="AS859" s="369"/>
      <c r="AT859" s="350">
        <f t="shared" si="363"/>
        <v>1865448.4404769456</v>
      </c>
      <c r="AU859" s="350">
        <f t="shared" si="346"/>
        <v>1888494.0890172336</v>
      </c>
      <c r="AV859" s="350">
        <f t="shared" si="347"/>
        <v>1910069.364470839</v>
      </c>
      <c r="AW859" s="350">
        <f t="shared" si="348"/>
        <v>1930121.512954945</v>
      </c>
      <c r="AX859" s="350">
        <f t="shared" si="349"/>
        <v>1948597.9091293307</v>
      </c>
      <c r="AY859" s="350">
        <f t="shared" si="350"/>
        <v>9542731.3160492927</v>
      </c>
      <c r="AZ859" s="365"/>
      <c r="BA859" s="377">
        <f t="shared" si="351"/>
        <v>0</v>
      </c>
      <c r="BB859" s="377">
        <f t="shared" si="352"/>
        <v>0</v>
      </c>
      <c r="BC859" s="377">
        <f t="shared" si="353"/>
        <v>0</v>
      </c>
      <c r="BD859" s="377">
        <f t="shared" si="354"/>
        <v>0</v>
      </c>
      <c r="BE859" s="377">
        <f t="shared" si="355"/>
        <v>0</v>
      </c>
      <c r="BF859" s="377">
        <f t="shared" si="356"/>
        <v>0</v>
      </c>
      <c r="BG859" s="328"/>
    </row>
    <row r="860" spans="2:59">
      <c r="B860" s="332">
        <v>845</v>
      </c>
      <c r="C860" s="350">
        <v>6787015.6571012801</v>
      </c>
      <c r="D860" s="350">
        <v>41923.21108349866</v>
      </c>
      <c r="E860" s="350">
        <v>40140.003545735068</v>
      </c>
      <c r="F860" s="350">
        <v>38308.812716007873</v>
      </c>
      <c r="G860" s="350">
        <v>36429.732128997261</v>
      </c>
      <c r="H860" s="348">
        <v>6943817.4165755194</v>
      </c>
      <c r="I860" s="369"/>
      <c r="J860" s="350">
        <v>8460215.1669079717</v>
      </c>
      <c r="K860" s="350">
        <v>1735793.3366006587</v>
      </c>
      <c r="L860" s="350">
        <v>1753361.9050378369</v>
      </c>
      <c r="M860" s="350">
        <v>1769516.3332615092</v>
      </c>
      <c r="N860" s="350">
        <v>1784209.5129156192</v>
      </c>
      <c r="O860" s="348">
        <v>15503096.254723595</v>
      </c>
      <c r="P860" s="369"/>
      <c r="Q860" s="350">
        <f t="shared" si="357"/>
        <v>1673199.5098066917</v>
      </c>
      <c r="R860" s="350">
        <f t="shared" si="358"/>
        <v>1693870.1255171602</v>
      </c>
      <c r="S860" s="350">
        <f t="shared" si="359"/>
        <v>1713221.9014921018</v>
      </c>
      <c r="T860" s="350">
        <f t="shared" si="360"/>
        <v>1731207.5205455013</v>
      </c>
      <c r="U860" s="350">
        <f t="shared" si="361"/>
        <v>1747779.7807866218</v>
      </c>
      <c r="V860" s="350">
        <f t="shared" si="362"/>
        <v>8559278.8381480761</v>
      </c>
      <c r="W860" s="365"/>
      <c r="X860" s="377">
        <f t="shared" si="340"/>
        <v>0</v>
      </c>
      <c r="Y860" s="377">
        <f t="shared" si="341"/>
        <v>0</v>
      </c>
      <c r="Z860" s="377">
        <f t="shared" si="342"/>
        <v>0</v>
      </c>
      <c r="AA860" s="377">
        <f t="shared" si="343"/>
        <v>0</v>
      </c>
      <c r="AB860" s="377">
        <f t="shared" si="344"/>
        <v>0</v>
      </c>
      <c r="AC860" s="377">
        <f t="shared" si="345"/>
        <v>0</v>
      </c>
      <c r="AD860" s="376"/>
      <c r="AE860" s="332">
        <v>845</v>
      </c>
      <c r="AF860" s="350">
        <v>7686110.3548306571</v>
      </c>
      <c r="AG860" s="350">
        <v>47476.894572872552</v>
      </c>
      <c r="AH860" s="350">
        <v>45457.460610541457</v>
      </c>
      <c r="AI860" s="350">
        <v>43383.686877118307</v>
      </c>
      <c r="AJ860" s="350">
        <v>41255.679298077077</v>
      </c>
      <c r="AK860" s="348">
        <v>7863684.0761892665</v>
      </c>
      <c r="AL860" s="369"/>
      <c r="AM860" s="350">
        <v>10623392.14622793</v>
      </c>
      <c r="AN860" s="350">
        <v>3021045.7054125196</v>
      </c>
      <c r="AO860" s="350">
        <v>3052998.0834601996</v>
      </c>
      <c r="AP860" s="350">
        <v>3082497.8495484963</v>
      </c>
      <c r="AQ860" s="350">
        <v>3109462.2472464312</v>
      </c>
      <c r="AR860" s="348">
        <v>22889396.031895578</v>
      </c>
      <c r="AS860" s="369"/>
      <c r="AT860" s="350">
        <f t="shared" si="363"/>
        <v>2937281.7913972726</v>
      </c>
      <c r="AU860" s="350">
        <f t="shared" si="346"/>
        <v>2973568.810839647</v>
      </c>
      <c r="AV860" s="350">
        <f t="shared" si="347"/>
        <v>3007540.6228496581</v>
      </c>
      <c r="AW860" s="350">
        <f t="shared" si="348"/>
        <v>3039114.1626713779</v>
      </c>
      <c r="AX860" s="350">
        <f t="shared" si="349"/>
        <v>3068206.5679483539</v>
      </c>
      <c r="AY860" s="350">
        <f t="shared" si="350"/>
        <v>15025711.955706311</v>
      </c>
      <c r="AZ860" s="365"/>
      <c r="BA860" s="377">
        <f t="shared" si="351"/>
        <v>0</v>
      </c>
      <c r="BB860" s="377">
        <f t="shared" si="352"/>
        <v>0</v>
      </c>
      <c r="BC860" s="377">
        <f t="shared" si="353"/>
        <v>0</v>
      </c>
      <c r="BD860" s="377">
        <f t="shared" si="354"/>
        <v>0</v>
      </c>
      <c r="BE860" s="377">
        <f t="shared" si="355"/>
        <v>0</v>
      </c>
      <c r="BF860" s="377">
        <f t="shared" si="356"/>
        <v>0</v>
      </c>
      <c r="BG860" s="328"/>
    </row>
    <row r="861" spans="2:59">
      <c r="B861" s="332">
        <v>846</v>
      </c>
      <c r="C861" s="350">
        <v>7767964.494618712</v>
      </c>
      <c r="D861" s="350">
        <v>47982.505367625272</v>
      </c>
      <c r="E861" s="350">
        <v>45941.565204862651</v>
      </c>
      <c r="F861" s="350">
        <v>43845.706573194751</v>
      </c>
      <c r="G861" s="350">
        <v>41695.036526172014</v>
      </c>
      <c r="H861" s="348">
        <v>7947429.3082905672</v>
      </c>
      <c r="I861" s="369"/>
      <c r="J861" s="350">
        <v>10288605.327594828</v>
      </c>
      <c r="K861" s="350">
        <v>2599763.1980539449</v>
      </c>
      <c r="L861" s="350">
        <v>2626875.3125192481</v>
      </c>
      <c r="M861" s="350">
        <v>2651874.4210607344</v>
      </c>
      <c r="N861" s="350">
        <v>2674689.5220491719</v>
      </c>
      <c r="O861" s="348">
        <v>20841807.781277925</v>
      </c>
      <c r="P861" s="369"/>
      <c r="Q861" s="350">
        <f t="shared" si="357"/>
        <v>2520640.8329761159</v>
      </c>
      <c r="R861" s="350">
        <f t="shared" si="358"/>
        <v>2551780.6926863194</v>
      </c>
      <c r="S861" s="350">
        <f t="shared" si="359"/>
        <v>2580933.7473143856</v>
      </c>
      <c r="T861" s="350">
        <f t="shared" si="360"/>
        <v>2608028.7144875396</v>
      </c>
      <c r="U861" s="350">
        <f t="shared" si="361"/>
        <v>2632994.4855229999</v>
      </c>
      <c r="V861" s="350">
        <f t="shared" si="362"/>
        <v>12894378.472987358</v>
      </c>
      <c r="W861" s="365"/>
      <c r="X861" s="377">
        <f t="shared" si="340"/>
        <v>0</v>
      </c>
      <c r="Y861" s="377">
        <f t="shared" si="341"/>
        <v>0</v>
      </c>
      <c r="Z861" s="377">
        <f t="shared" si="342"/>
        <v>0</v>
      </c>
      <c r="AA861" s="377">
        <f t="shared" si="343"/>
        <v>0</v>
      </c>
      <c r="AB861" s="377">
        <f t="shared" si="344"/>
        <v>0</v>
      </c>
      <c r="AC861" s="377">
        <f t="shared" si="345"/>
        <v>0</v>
      </c>
      <c r="AD861" s="376"/>
      <c r="AE861" s="332">
        <v>846</v>
      </c>
      <c r="AF861" s="350">
        <v>5314427.873086703</v>
      </c>
      <c r="AG861" s="350">
        <v>32827.076401146318</v>
      </c>
      <c r="AH861" s="350">
        <v>31430.773766679013</v>
      </c>
      <c r="AI861" s="350">
        <v>29996.898838710567</v>
      </c>
      <c r="AJ861" s="350">
        <v>28525.524857580382</v>
      </c>
      <c r="AK861" s="348">
        <v>5437208.1469508195</v>
      </c>
      <c r="AL861" s="369"/>
      <c r="AM861" s="350">
        <v>7293043.781425776</v>
      </c>
      <c r="AN861" s="350">
        <v>2035886.6980213786</v>
      </c>
      <c r="AO861" s="350">
        <v>2057374.5353679592</v>
      </c>
      <c r="AP861" s="350">
        <v>2077209.2729227275</v>
      </c>
      <c r="AQ861" s="350">
        <v>2095335.1660684578</v>
      </c>
      <c r="AR861" s="348">
        <v>15558849.4538063</v>
      </c>
      <c r="AS861" s="369"/>
      <c r="AT861" s="350">
        <f t="shared" si="363"/>
        <v>1978615.908339073</v>
      </c>
      <c r="AU861" s="350">
        <f t="shared" si="346"/>
        <v>2003059.6216202322</v>
      </c>
      <c r="AV861" s="350">
        <f t="shared" si="347"/>
        <v>2025943.7616012802</v>
      </c>
      <c r="AW861" s="350">
        <f t="shared" si="348"/>
        <v>2047212.374084017</v>
      </c>
      <c r="AX861" s="350">
        <f t="shared" si="349"/>
        <v>2066809.6412108773</v>
      </c>
      <c r="AY861" s="350">
        <f t="shared" si="350"/>
        <v>10121641.306855481</v>
      </c>
      <c r="AZ861" s="365"/>
      <c r="BA861" s="377">
        <f t="shared" si="351"/>
        <v>0</v>
      </c>
      <c r="BB861" s="377">
        <f t="shared" si="352"/>
        <v>0</v>
      </c>
      <c r="BC861" s="377">
        <f t="shared" si="353"/>
        <v>0</v>
      </c>
      <c r="BD861" s="377">
        <f t="shared" si="354"/>
        <v>0</v>
      </c>
      <c r="BE861" s="377">
        <f t="shared" si="355"/>
        <v>0</v>
      </c>
      <c r="BF861" s="377">
        <f t="shared" si="356"/>
        <v>0</v>
      </c>
      <c r="BG861" s="328"/>
    </row>
    <row r="862" spans="2:59">
      <c r="B862" s="332">
        <v>847</v>
      </c>
      <c r="C862" s="350">
        <v>5853023.652729067</v>
      </c>
      <c r="D862" s="350">
        <v>36153.967880320088</v>
      </c>
      <c r="E862" s="350">
        <v>34616.1556188537</v>
      </c>
      <c r="F862" s="350">
        <v>33036.963263840604</v>
      </c>
      <c r="G862" s="350">
        <v>31416.471478227741</v>
      </c>
      <c r="H862" s="348">
        <v>5988247.2109703086</v>
      </c>
      <c r="I862" s="369"/>
      <c r="J862" s="350">
        <v>8066832.6201743875</v>
      </c>
      <c r="K862" s="350">
        <v>2277312.2108628624</v>
      </c>
      <c r="L862" s="350">
        <v>2301378.7183123613</v>
      </c>
      <c r="M862" s="350">
        <v>2323596.2845101138</v>
      </c>
      <c r="N862" s="350">
        <v>2343902.5373342112</v>
      </c>
      <c r="O862" s="348">
        <v>17313022.371193934</v>
      </c>
      <c r="P862" s="369"/>
      <c r="Q862" s="350">
        <f t="shared" si="357"/>
        <v>2213808.9674453204</v>
      </c>
      <c r="R862" s="350">
        <f t="shared" si="358"/>
        <v>2241158.2429825421</v>
      </c>
      <c r="S862" s="350">
        <f t="shared" si="359"/>
        <v>2266762.5626935074</v>
      </c>
      <c r="T862" s="350">
        <f t="shared" si="360"/>
        <v>2290559.3212462733</v>
      </c>
      <c r="U862" s="350">
        <f t="shared" si="361"/>
        <v>2312486.0658559836</v>
      </c>
      <c r="V862" s="350">
        <f t="shared" si="362"/>
        <v>11324775.160223626</v>
      </c>
      <c r="W862" s="365"/>
      <c r="X862" s="377">
        <f t="shared" si="340"/>
        <v>0</v>
      </c>
      <c r="Y862" s="377">
        <f t="shared" si="341"/>
        <v>0</v>
      </c>
      <c r="Z862" s="377">
        <f t="shared" si="342"/>
        <v>0</v>
      </c>
      <c r="AA862" s="377">
        <f t="shared" si="343"/>
        <v>0</v>
      </c>
      <c r="AB862" s="377">
        <f t="shared" si="344"/>
        <v>0</v>
      </c>
      <c r="AC862" s="377">
        <f t="shared" si="345"/>
        <v>0</v>
      </c>
      <c r="AD862" s="376"/>
      <c r="AE862" s="332">
        <v>847</v>
      </c>
      <c r="AF862" s="350">
        <v>4782777.2825923115</v>
      </c>
      <c r="AG862" s="350">
        <v>29543.085166405828</v>
      </c>
      <c r="AH862" s="350">
        <v>28286.467393198007</v>
      </c>
      <c r="AI862" s="350">
        <v>26996.036024980007</v>
      </c>
      <c r="AJ862" s="350">
        <v>25671.856975192328</v>
      </c>
      <c r="AK862" s="348">
        <v>4893274.7281520879</v>
      </c>
      <c r="AL862" s="369"/>
      <c r="AM862" s="350">
        <v>6621970.228614267</v>
      </c>
      <c r="AN862" s="350">
        <v>1891457.3207786349</v>
      </c>
      <c r="AO862" s="350">
        <v>1911472.3144644964</v>
      </c>
      <c r="AP862" s="350">
        <v>1929951.8050326491</v>
      </c>
      <c r="AQ862" s="350">
        <v>1946843.9737384417</v>
      </c>
      <c r="AR862" s="348">
        <v>14301695.642628489</v>
      </c>
      <c r="AS862" s="369"/>
      <c r="AT862" s="350">
        <f t="shared" si="363"/>
        <v>1839192.9460219555</v>
      </c>
      <c r="AU862" s="350">
        <f t="shared" si="346"/>
        <v>1861914.235612229</v>
      </c>
      <c r="AV862" s="350">
        <f t="shared" si="347"/>
        <v>1883185.8470712984</v>
      </c>
      <c r="AW862" s="350">
        <f t="shared" si="348"/>
        <v>1902955.7690076691</v>
      </c>
      <c r="AX862" s="350">
        <f t="shared" si="349"/>
        <v>1921172.1167632493</v>
      </c>
      <c r="AY862" s="350">
        <f t="shared" si="350"/>
        <v>9408420.9144764021</v>
      </c>
      <c r="AZ862" s="365"/>
      <c r="BA862" s="377">
        <f t="shared" si="351"/>
        <v>0</v>
      </c>
      <c r="BB862" s="377">
        <f t="shared" si="352"/>
        <v>0</v>
      </c>
      <c r="BC862" s="377">
        <f t="shared" si="353"/>
        <v>0</v>
      </c>
      <c r="BD862" s="377">
        <f t="shared" si="354"/>
        <v>0</v>
      </c>
      <c r="BE862" s="377">
        <f t="shared" si="355"/>
        <v>0</v>
      </c>
      <c r="BF862" s="377">
        <f t="shared" si="356"/>
        <v>0</v>
      </c>
      <c r="BG862" s="328"/>
    </row>
    <row r="863" spans="2:59">
      <c r="B863" s="332">
        <v>848</v>
      </c>
      <c r="C863" s="350">
        <v>5775305.4499482932</v>
      </c>
      <c r="D863" s="350">
        <v>35673.904655947743</v>
      </c>
      <c r="E863" s="350">
        <v>34156.511926722109</v>
      </c>
      <c r="F863" s="350">
        <v>32598.288561234731</v>
      </c>
      <c r="G863" s="350">
        <v>30999.314151372346</v>
      </c>
      <c r="H863" s="348">
        <v>5908733.4692435702</v>
      </c>
      <c r="I863" s="369"/>
      <c r="J863" s="350">
        <v>8270751.4426734559</v>
      </c>
      <c r="K863" s="350">
        <v>2561948.5014056275</v>
      </c>
      <c r="L863" s="350">
        <v>2589292.7665514778</v>
      </c>
      <c r="M863" s="350">
        <v>2614558.6850354429</v>
      </c>
      <c r="N863" s="350">
        <v>2637675.9385271044</v>
      </c>
      <c r="O863" s="348">
        <v>18674227.334193107</v>
      </c>
      <c r="P863" s="369"/>
      <c r="Q863" s="350">
        <f t="shared" si="357"/>
        <v>2495445.9927251628</v>
      </c>
      <c r="R863" s="350">
        <f t="shared" si="358"/>
        <v>2526274.5967496797</v>
      </c>
      <c r="S863" s="350">
        <f t="shared" si="359"/>
        <v>2555136.2546247556</v>
      </c>
      <c r="T863" s="350">
        <f t="shared" si="360"/>
        <v>2581960.3964742082</v>
      </c>
      <c r="U863" s="350">
        <f t="shared" si="361"/>
        <v>2606676.6243757321</v>
      </c>
      <c r="V863" s="350">
        <f t="shared" si="362"/>
        <v>12765493.864949536</v>
      </c>
      <c r="W863" s="365"/>
      <c r="X863" s="377">
        <f t="shared" si="340"/>
        <v>0</v>
      </c>
      <c r="Y863" s="377">
        <f t="shared" si="341"/>
        <v>0</v>
      </c>
      <c r="Z863" s="377">
        <f t="shared" si="342"/>
        <v>0</v>
      </c>
      <c r="AA863" s="377">
        <f t="shared" si="343"/>
        <v>0</v>
      </c>
      <c r="AB863" s="377">
        <f t="shared" si="344"/>
        <v>0</v>
      </c>
      <c r="AC863" s="377">
        <f t="shared" si="345"/>
        <v>0</v>
      </c>
      <c r="AD863" s="376"/>
      <c r="AE863" s="332">
        <v>848</v>
      </c>
      <c r="AF863" s="350">
        <v>5851249.9312899383</v>
      </c>
      <c r="AG863" s="350">
        <v>36143.011651242283</v>
      </c>
      <c r="AH863" s="350">
        <v>34605.665413960131</v>
      </c>
      <c r="AI863" s="350">
        <v>33026.95162310559</v>
      </c>
      <c r="AJ863" s="350">
        <v>31406.950917180526</v>
      </c>
      <c r="AK863" s="348">
        <v>5986432.5108954264</v>
      </c>
      <c r="AL863" s="369"/>
      <c r="AM863" s="350">
        <v>8384567.6009790022</v>
      </c>
      <c r="AN863" s="350">
        <v>2600757.1500015515</v>
      </c>
      <c r="AO863" s="350">
        <v>2628519.4752797442</v>
      </c>
      <c r="AP863" s="350">
        <v>2654171.9949916629</v>
      </c>
      <c r="AQ863" s="350">
        <v>2677643.3234723983</v>
      </c>
      <c r="AR863" s="348">
        <v>18945659.54472436</v>
      </c>
      <c r="AS863" s="369"/>
      <c r="AT863" s="350">
        <f t="shared" si="363"/>
        <v>2533317.6696890639</v>
      </c>
      <c r="AU863" s="350">
        <f t="shared" si="346"/>
        <v>2564614.1383503093</v>
      </c>
      <c r="AV863" s="350">
        <f t="shared" si="347"/>
        <v>2593913.8098657839</v>
      </c>
      <c r="AW863" s="350">
        <f t="shared" si="348"/>
        <v>2621145.0433685575</v>
      </c>
      <c r="AX863" s="350">
        <f t="shared" si="349"/>
        <v>2646236.3725552177</v>
      </c>
      <c r="AY863" s="350">
        <f t="shared" si="350"/>
        <v>12959227.033828933</v>
      </c>
      <c r="AZ863" s="365"/>
      <c r="BA863" s="377">
        <f t="shared" si="351"/>
        <v>0</v>
      </c>
      <c r="BB863" s="377">
        <f t="shared" si="352"/>
        <v>0</v>
      </c>
      <c r="BC863" s="377">
        <f t="shared" si="353"/>
        <v>0</v>
      </c>
      <c r="BD863" s="377">
        <f t="shared" si="354"/>
        <v>0</v>
      </c>
      <c r="BE863" s="377">
        <f t="shared" si="355"/>
        <v>0</v>
      </c>
      <c r="BF863" s="377">
        <f t="shared" si="356"/>
        <v>0</v>
      </c>
      <c r="BG863" s="328"/>
    </row>
    <row r="864" spans="2:59">
      <c r="B864" s="332">
        <v>849</v>
      </c>
      <c r="C864" s="350">
        <v>6136297.1285895146</v>
      </c>
      <c r="D864" s="350">
        <v>37903.740434686995</v>
      </c>
      <c r="E864" s="350">
        <v>36291.501440923945</v>
      </c>
      <c r="F864" s="350">
        <v>34635.879648068738</v>
      </c>
      <c r="G864" s="350">
        <v>32936.959622976676</v>
      </c>
      <c r="H864" s="348">
        <v>6278065.2097361702</v>
      </c>
      <c r="I864" s="369"/>
      <c r="J864" s="350">
        <v>8639063.0514227934</v>
      </c>
      <c r="K864" s="350">
        <v>2571588.6973107848</v>
      </c>
      <c r="L864" s="350">
        <v>2598922.7765370086</v>
      </c>
      <c r="M864" s="350">
        <v>2624169.9802614236</v>
      </c>
      <c r="N864" s="350">
        <v>2647259.7886292711</v>
      </c>
      <c r="O864" s="348">
        <v>19081004.294161282</v>
      </c>
      <c r="P864" s="369"/>
      <c r="Q864" s="350">
        <f t="shared" si="357"/>
        <v>2502765.9228332788</v>
      </c>
      <c r="R864" s="350">
        <f t="shared" si="358"/>
        <v>2533684.9568760977</v>
      </c>
      <c r="S864" s="350">
        <f t="shared" si="359"/>
        <v>2562631.2750960845</v>
      </c>
      <c r="T864" s="350">
        <f t="shared" si="360"/>
        <v>2589534.1006133547</v>
      </c>
      <c r="U864" s="350">
        <f t="shared" si="361"/>
        <v>2614322.8290062943</v>
      </c>
      <c r="V864" s="350">
        <f t="shared" si="362"/>
        <v>12802939.084425112</v>
      </c>
      <c r="W864" s="365"/>
      <c r="X864" s="377">
        <f t="shared" si="340"/>
        <v>0</v>
      </c>
      <c r="Y864" s="377">
        <f t="shared" si="341"/>
        <v>0</v>
      </c>
      <c r="Z864" s="377">
        <f t="shared" si="342"/>
        <v>0</v>
      </c>
      <c r="AA864" s="377">
        <f t="shared" si="343"/>
        <v>0</v>
      </c>
      <c r="AB864" s="377">
        <f t="shared" si="344"/>
        <v>0</v>
      </c>
      <c r="AC864" s="377">
        <f t="shared" si="345"/>
        <v>0</v>
      </c>
      <c r="AD864" s="376"/>
      <c r="AE864" s="332">
        <v>849</v>
      </c>
      <c r="AF864" s="350">
        <v>4402740.8657880845</v>
      </c>
      <c r="AG864" s="350">
        <v>27195.61055811822</v>
      </c>
      <c r="AH864" s="350">
        <v>26038.842827595516</v>
      </c>
      <c r="AI864" s="350">
        <v>24850.948308645518</v>
      </c>
      <c r="AJ864" s="350">
        <v>23631.987677269764</v>
      </c>
      <c r="AK864" s="348">
        <v>4504458.2551597143</v>
      </c>
      <c r="AL864" s="369"/>
      <c r="AM864" s="350">
        <v>6314455.753110867</v>
      </c>
      <c r="AN864" s="350">
        <v>1962527.7195883072</v>
      </c>
      <c r="AO864" s="350">
        <v>1983481.3326047333</v>
      </c>
      <c r="AP864" s="350">
        <v>2002842.9155991231</v>
      </c>
      <c r="AQ864" s="350">
        <v>2020558.5987049986</v>
      </c>
      <c r="AR864" s="348">
        <v>14283866.319608031</v>
      </c>
      <c r="AS864" s="369"/>
      <c r="AT864" s="350">
        <f t="shared" si="363"/>
        <v>1911714.8873227825</v>
      </c>
      <c r="AU864" s="350">
        <f t="shared" si="346"/>
        <v>1935332.109030189</v>
      </c>
      <c r="AV864" s="350">
        <f t="shared" si="347"/>
        <v>1957442.4897771378</v>
      </c>
      <c r="AW864" s="350">
        <f t="shared" si="348"/>
        <v>1977991.9672904776</v>
      </c>
      <c r="AX864" s="350">
        <f t="shared" si="349"/>
        <v>1996926.6110277288</v>
      </c>
      <c r="AY864" s="350">
        <f t="shared" si="350"/>
        <v>9779408.0644483157</v>
      </c>
      <c r="AZ864" s="365"/>
      <c r="BA864" s="377">
        <f t="shared" si="351"/>
        <v>0</v>
      </c>
      <c r="BB864" s="377">
        <f t="shared" si="352"/>
        <v>0</v>
      </c>
      <c r="BC864" s="377">
        <f t="shared" si="353"/>
        <v>0</v>
      </c>
      <c r="BD864" s="377">
        <f t="shared" si="354"/>
        <v>0</v>
      </c>
      <c r="BE864" s="377">
        <f t="shared" si="355"/>
        <v>0</v>
      </c>
      <c r="BF864" s="377">
        <f t="shared" si="356"/>
        <v>0</v>
      </c>
      <c r="BG864" s="328"/>
    </row>
    <row r="865" spans="2:59">
      <c r="B865" s="332">
        <v>850</v>
      </c>
      <c r="C865" s="350">
        <v>6535246.0490590939</v>
      </c>
      <c r="D865" s="350">
        <v>40368.037063631244</v>
      </c>
      <c r="E865" s="350">
        <v>38650.978992071163</v>
      </c>
      <c r="F865" s="350">
        <v>36887.717605969061</v>
      </c>
      <c r="G865" s="350">
        <v>35078.3429702586</v>
      </c>
      <c r="H865" s="348">
        <v>6686231.1256910237</v>
      </c>
      <c r="I865" s="369"/>
      <c r="J865" s="350">
        <v>9205004.3171286304</v>
      </c>
      <c r="K865" s="350">
        <v>2743108.3535234891</v>
      </c>
      <c r="L865" s="350">
        <v>2772269.0022693914</v>
      </c>
      <c r="M865" s="350">
        <v>2799203.6067939196</v>
      </c>
      <c r="N865" s="350">
        <v>2823836.9417932611</v>
      </c>
      <c r="O865" s="348">
        <v>20343422.221508689</v>
      </c>
      <c r="P865" s="369"/>
      <c r="Q865" s="350">
        <f t="shared" si="357"/>
        <v>2669758.2680695364</v>
      </c>
      <c r="R865" s="350">
        <f t="shared" si="358"/>
        <v>2702740.3164598579</v>
      </c>
      <c r="S865" s="350">
        <f t="shared" si="359"/>
        <v>2733618.0232773204</v>
      </c>
      <c r="T865" s="350">
        <f t="shared" si="360"/>
        <v>2762315.8891879506</v>
      </c>
      <c r="U865" s="350">
        <f t="shared" si="361"/>
        <v>2788758.5988230025</v>
      </c>
      <c r="V865" s="350">
        <f t="shared" si="362"/>
        <v>13657191.095817667</v>
      </c>
      <c r="W865" s="365"/>
      <c r="X865" s="377">
        <f t="shared" si="340"/>
        <v>0</v>
      </c>
      <c r="Y865" s="377">
        <f t="shared" si="341"/>
        <v>0</v>
      </c>
      <c r="Z865" s="377">
        <f t="shared" si="342"/>
        <v>0</v>
      </c>
      <c r="AA865" s="377">
        <f t="shared" si="343"/>
        <v>0</v>
      </c>
      <c r="AB865" s="377">
        <f t="shared" si="344"/>
        <v>0</v>
      </c>
      <c r="AC865" s="377">
        <f t="shared" si="345"/>
        <v>0</v>
      </c>
      <c r="AD865" s="376"/>
      <c r="AE865" s="332">
        <v>850</v>
      </c>
      <c r="AF865" s="350">
        <v>8018284.3405112401</v>
      </c>
      <c r="AG865" s="350">
        <v>49528.724246134385</v>
      </c>
      <c r="AH865" s="350">
        <v>47422.015524906288</v>
      </c>
      <c r="AI865" s="350">
        <v>45258.618606978183</v>
      </c>
      <c r="AJ865" s="350">
        <v>43038.643995662111</v>
      </c>
      <c r="AK865" s="348">
        <v>8203532.3428849205</v>
      </c>
      <c r="AL865" s="369"/>
      <c r="AM865" s="350">
        <v>9790074.5674915966</v>
      </c>
      <c r="AN865" s="350">
        <v>1843207.5512929016</v>
      </c>
      <c r="AO865" s="350">
        <v>1861592.8922920793</v>
      </c>
      <c r="AP865" s="350">
        <v>1878474.8894698524</v>
      </c>
      <c r="AQ865" s="350">
        <v>1893803.6701397209</v>
      </c>
      <c r="AR865" s="348">
        <v>17267153.57068615</v>
      </c>
      <c r="AS865" s="369"/>
      <c r="AT865" s="350">
        <f t="shared" si="363"/>
        <v>1771790.2269803565</v>
      </c>
      <c r="AU865" s="350">
        <f t="shared" si="346"/>
        <v>1793678.8270467673</v>
      </c>
      <c r="AV865" s="350">
        <f t="shared" si="347"/>
        <v>1814170.8767671729</v>
      </c>
      <c r="AW865" s="350">
        <f t="shared" si="348"/>
        <v>1833216.2708628743</v>
      </c>
      <c r="AX865" s="350">
        <f t="shared" si="349"/>
        <v>1850765.0261440587</v>
      </c>
      <c r="AY865" s="350">
        <f t="shared" si="350"/>
        <v>9063621.2278012298</v>
      </c>
      <c r="AZ865" s="365"/>
      <c r="BA865" s="377">
        <f t="shared" si="351"/>
        <v>0</v>
      </c>
      <c r="BB865" s="377">
        <f t="shared" si="352"/>
        <v>0</v>
      </c>
      <c r="BC865" s="377">
        <f t="shared" si="353"/>
        <v>0</v>
      </c>
      <c r="BD865" s="377">
        <f t="shared" si="354"/>
        <v>0</v>
      </c>
      <c r="BE865" s="377">
        <f t="shared" si="355"/>
        <v>0</v>
      </c>
      <c r="BF865" s="377">
        <f t="shared" si="356"/>
        <v>0</v>
      </c>
      <c r="BG865" s="328"/>
    </row>
    <row r="866" spans="2:59">
      <c r="B866" s="332">
        <v>851</v>
      </c>
      <c r="C866" s="350">
        <v>5204797.3230461814</v>
      </c>
      <c r="D866" s="350">
        <v>32149.891475877426</v>
      </c>
      <c r="E866" s="350">
        <v>30782.392962850521</v>
      </c>
      <c r="F866" s="350">
        <v>29378.09722963188</v>
      </c>
      <c r="G866" s="350">
        <v>27937.076005697636</v>
      </c>
      <c r="H866" s="348">
        <v>5325044.7807202386</v>
      </c>
      <c r="I866" s="369"/>
      <c r="J866" s="350">
        <v>7833119.7055113129</v>
      </c>
      <c r="K866" s="350">
        <v>2692942.4256549734</v>
      </c>
      <c r="L866" s="350">
        <v>2721973.3976395093</v>
      </c>
      <c r="M866" s="350">
        <v>2748821.5636381269</v>
      </c>
      <c r="N866" s="350">
        <v>2773412.8489409881</v>
      </c>
      <c r="O866" s="348">
        <v>18770269.941384912</v>
      </c>
      <c r="P866" s="369"/>
      <c r="Q866" s="350">
        <f t="shared" si="357"/>
        <v>2628322.3824651316</v>
      </c>
      <c r="R866" s="350">
        <f t="shared" si="358"/>
        <v>2660792.5341790961</v>
      </c>
      <c r="S866" s="350">
        <f t="shared" si="359"/>
        <v>2691191.0046766587</v>
      </c>
      <c r="T866" s="350">
        <f t="shared" si="360"/>
        <v>2719443.4664084949</v>
      </c>
      <c r="U866" s="350">
        <f t="shared" si="361"/>
        <v>2745475.7729352904</v>
      </c>
      <c r="V866" s="350">
        <f t="shared" si="362"/>
        <v>13445225.160664674</v>
      </c>
      <c r="W866" s="365"/>
      <c r="X866" s="377">
        <f t="shared" si="340"/>
        <v>0</v>
      </c>
      <c r="Y866" s="377">
        <f t="shared" si="341"/>
        <v>0</v>
      </c>
      <c r="Z866" s="377">
        <f t="shared" si="342"/>
        <v>0</v>
      </c>
      <c r="AA866" s="377">
        <f t="shared" si="343"/>
        <v>0</v>
      </c>
      <c r="AB866" s="377">
        <f t="shared" si="344"/>
        <v>0</v>
      </c>
      <c r="AC866" s="377">
        <f t="shared" si="345"/>
        <v>0</v>
      </c>
      <c r="AD866" s="376"/>
      <c r="AE866" s="332">
        <v>851</v>
      </c>
      <c r="AF866" s="350">
        <v>4993039.4849522132</v>
      </c>
      <c r="AG866" s="350">
        <v>30841.869070521727</v>
      </c>
      <c r="AH866" s="350">
        <v>29530.007407640645</v>
      </c>
      <c r="AI866" s="350">
        <v>28182.845624134665</v>
      </c>
      <c r="AJ866" s="350">
        <v>26800.452531150284</v>
      </c>
      <c r="AK866" s="348">
        <v>5108394.6595856613</v>
      </c>
      <c r="AL866" s="369"/>
      <c r="AM866" s="350">
        <v>6923008.6496500615</v>
      </c>
      <c r="AN866" s="350">
        <v>1984653.7678253069</v>
      </c>
      <c r="AO866" s="350">
        <v>2005663.410976934</v>
      </c>
      <c r="AP866" s="350">
        <v>2025061.946271162</v>
      </c>
      <c r="AQ866" s="350">
        <v>2042794.9970133277</v>
      </c>
      <c r="AR866" s="348">
        <v>14981182.771736793</v>
      </c>
      <c r="AS866" s="369"/>
      <c r="AT866" s="350">
        <f t="shared" si="363"/>
        <v>1929969.1646978483</v>
      </c>
      <c r="AU866" s="350">
        <f t="shared" si="346"/>
        <v>1953811.8987547851</v>
      </c>
      <c r="AV866" s="350">
        <f t="shared" si="347"/>
        <v>1976133.4035692934</v>
      </c>
      <c r="AW866" s="350">
        <f t="shared" si="348"/>
        <v>1996879.1006470274</v>
      </c>
      <c r="AX866" s="350">
        <f t="shared" si="349"/>
        <v>2015994.5444821774</v>
      </c>
      <c r="AY866" s="350">
        <f t="shared" si="350"/>
        <v>9872788.112151131</v>
      </c>
      <c r="AZ866" s="365"/>
      <c r="BA866" s="377">
        <f t="shared" si="351"/>
        <v>0</v>
      </c>
      <c r="BB866" s="377">
        <f t="shared" si="352"/>
        <v>0</v>
      </c>
      <c r="BC866" s="377">
        <f t="shared" si="353"/>
        <v>0</v>
      </c>
      <c r="BD866" s="377">
        <f t="shared" si="354"/>
        <v>0</v>
      </c>
      <c r="BE866" s="377">
        <f t="shared" si="355"/>
        <v>0</v>
      </c>
      <c r="BF866" s="377">
        <f t="shared" si="356"/>
        <v>0</v>
      </c>
      <c r="BG866" s="328"/>
    </row>
    <row r="867" spans="2:59">
      <c r="B867" s="332">
        <v>852</v>
      </c>
      <c r="C867" s="350">
        <v>6166685.0535121504</v>
      </c>
      <c r="D867" s="350">
        <v>38091.44582027549</v>
      </c>
      <c r="E867" s="350">
        <v>36471.222761129684</v>
      </c>
      <c r="F867" s="350">
        <v>34807.402064326729</v>
      </c>
      <c r="G867" s="350">
        <v>33100.068715516725</v>
      </c>
      <c r="H867" s="348">
        <v>6309155.1928733997</v>
      </c>
      <c r="I867" s="369"/>
      <c r="J867" s="350">
        <v>7993118.5944535453</v>
      </c>
      <c r="K867" s="350">
        <v>1887088.6473557774</v>
      </c>
      <c r="L867" s="350">
        <v>1906592.4639047387</v>
      </c>
      <c r="M867" s="350">
        <v>1924561.411267688</v>
      </c>
      <c r="N867" s="350">
        <v>1940944.0497221097</v>
      </c>
      <c r="O867" s="348">
        <v>15652305.166703859</v>
      </c>
      <c r="P867" s="369"/>
      <c r="Q867" s="350">
        <f t="shared" si="357"/>
        <v>1826433.5409413949</v>
      </c>
      <c r="R867" s="350">
        <f t="shared" si="358"/>
        <v>1848997.201535502</v>
      </c>
      <c r="S867" s="350">
        <f t="shared" si="359"/>
        <v>1870121.2411436089</v>
      </c>
      <c r="T867" s="350">
        <f t="shared" si="360"/>
        <v>1889754.0092033613</v>
      </c>
      <c r="U867" s="350">
        <f t="shared" si="361"/>
        <v>1907843.981006593</v>
      </c>
      <c r="V867" s="350">
        <f t="shared" si="362"/>
        <v>9343149.9738304596</v>
      </c>
      <c r="W867" s="365"/>
      <c r="X867" s="377">
        <f t="shared" si="340"/>
        <v>0</v>
      </c>
      <c r="Y867" s="377">
        <f t="shared" si="341"/>
        <v>0</v>
      </c>
      <c r="Z867" s="377">
        <f t="shared" si="342"/>
        <v>0</v>
      </c>
      <c r="AA867" s="377">
        <f t="shared" si="343"/>
        <v>0</v>
      </c>
      <c r="AB867" s="377">
        <f t="shared" si="344"/>
        <v>0</v>
      </c>
      <c r="AC867" s="377">
        <f t="shared" si="345"/>
        <v>0</v>
      </c>
      <c r="AD867" s="376"/>
      <c r="AE867" s="332">
        <v>852</v>
      </c>
      <c r="AF867" s="350">
        <v>5735100.5925499303</v>
      </c>
      <c r="AG867" s="350">
        <v>35425.560345510879</v>
      </c>
      <c r="AH867" s="350">
        <v>33918.730963769238</v>
      </c>
      <c r="AI867" s="350">
        <v>32371.355188723905</v>
      </c>
      <c r="AJ867" s="350">
        <v>30783.512058183151</v>
      </c>
      <c r="AK867" s="348">
        <v>5867599.7511061179</v>
      </c>
      <c r="AL867" s="369"/>
      <c r="AM867" s="350">
        <v>7338782.7763932869</v>
      </c>
      <c r="AN867" s="350">
        <v>1658919.5466366073</v>
      </c>
      <c r="AO867" s="350">
        <v>1675960.4745156434</v>
      </c>
      <c r="AP867" s="350">
        <v>1691651.4595411345</v>
      </c>
      <c r="AQ867" s="350">
        <v>1705947.3399826689</v>
      </c>
      <c r="AR867" s="348">
        <v>14071261.597069342</v>
      </c>
      <c r="AS867" s="369"/>
      <c r="AT867" s="350">
        <f t="shared" si="363"/>
        <v>1603682.1838433566</v>
      </c>
      <c r="AU867" s="350">
        <f t="shared" si="346"/>
        <v>1623493.9862910963</v>
      </c>
      <c r="AV867" s="350">
        <f t="shared" si="347"/>
        <v>1642041.7435518743</v>
      </c>
      <c r="AW867" s="350">
        <f t="shared" si="348"/>
        <v>1659280.1043524106</v>
      </c>
      <c r="AX867" s="350">
        <f t="shared" si="349"/>
        <v>1675163.8279244858</v>
      </c>
      <c r="AY867" s="350">
        <f t="shared" si="350"/>
        <v>8203661.8459632238</v>
      </c>
      <c r="AZ867" s="365"/>
      <c r="BA867" s="377">
        <f t="shared" si="351"/>
        <v>0</v>
      </c>
      <c r="BB867" s="377">
        <f t="shared" si="352"/>
        <v>0</v>
      </c>
      <c r="BC867" s="377">
        <f t="shared" si="353"/>
        <v>0</v>
      </c>
      <c r="BD867" s="377">
        <f t="shared" si="354"/>
        <v>0</v>
      </c>
      <c r="BE867" s="377">
        <f t="shared" si="355"/>
        <v>0</v>
      </c>
      <c r="BF867" s="377">
        <f t="shared" si="356"/>
        <v>0</v>
      </c>
      <c r="BG867" s="328"/>
    </row>
    <row r="868" spans="2:59">
      <c r="B868" s="332">
        <v>853</v>
      </c>
      <c r="C868" s="350">
        <v>5088831.237652001</v>
      </c>
      <c r="D868" s="350">
        <v>31433.572121078087</v>
      </c>
      <c r="E868" s="350">
        <v>30096.542315957067</v>
      </c>
      <c r="F868" s="350">
        <v>28723.535155337941</v>
      </c>
      <c r="G868" s="350">
        <v>27314.620770524602</v>
      </c>
      <c r="H868" s="348">
        <v>5206399.5080148987</v>
      </c>
      <c r="I868" s="369"/>
      <c r="J868" s="350">
        <v>6819658.6022681678</v>
      </c>
      <c r="K868" s="350">
        <v>1783643.4838306715</v>
      </c>
      <c r="L868" s="350">
        <v>1802324.7382857613</v>
      </c>
      <c r="M868" s="350">
        <v>1819556.8056812424</v>
      </c>
      <c r="N868" s="350">
        <v>1835290.9285437819</v>
      </c>
      <c r="O868" s="348">
        <v>14060474.558609623</v>
      </c>
      <c r="P868" s="369"/>
      <c r="Q868" s="350">
        <f t="shared" si="357"/>
        <v>1730827.3646161668</v>
      </c>
      <c r="R868" s="350">
        <f t="shared" si="358"/>
        <v>1752209.9117095934</v>
      </c>
      <c r="S868" s="350">
        <f t="shared" si="359"/>
        <v>1772228.1959698042</v>
      </c>
      <c r="T868" s="350">
        <f t="shared" si="360"/>
        <v>1790833.2705259044</v>
      </c>
      <c r="U868" s="350">
        <f t="shared" si="361"/>
        <v>1807976.3077732574</v>
      </c>
      <c r="V868" s="350">
        <f t="shared" si="362"/>
        <v>8854075.0505947247</v>
      </c>
      <c r="W868" s="365"/>
      <c r="X868" s="377">
        <f t="shared" si="340"/>
        <v>0</v>
      </c>
      <c r="Y868" s="377">
        <f t="shared" si="341"/>
        <v>0</v>
      </c>
      <c r="Z868" s="377">
        <f t="shared" si="342"/>
        <v>0</v>
      </c>
      <c r="AA868" s="377">
        <f t="shared" si="343"/>
        <v>0</v>
      </c>
      <c r="AB868" s="377">
        <f t="shared" si="344"/>
        <v>0</v>
      </c>
      <c r="AC868" s="377">
        <f t="shared" si="345"/>
        <v>0</v>
      </c>
      <c r="AD868" s="376"/>
      <c r="AE868" s="332">
        <v>853</v>
      </c>
      <c r="AF868" s="350">
        <v>5550195.2564265635</v>
      </c>
      <c r="AG868" s="350">
        <v>34283.405114344467</v>
      </c>
      <c r="AH868" s="350">
        <v>32825.157407642677</v>
      </c>
      <c r="AI868" s="350">
        <v>31327.670563608215</v>
      </c>
      <c r="AJ868" s="350">
        <v>29791.021071787454</v>
      </c>
      <c r="AK868" s="348">
        <v>5678422.5105839456</v>
      </c>
      <c r="AL868" s="369"/>
      <c r="AM868" s="350">
        <v>7837014.3584787715</v>
      </c>
      <c r="AN868" s="350">
        <v>2349353.7459344491</v>
      </c>
      <c r="AO868" s="350">
        <v>2374344.2335392023</v>
      </c>
      <c r="AP868" s="350">
        <v>2397428.3085307321</v>
      </c>
      <c r="AQ868" s="350">
        <v>2418541.5349571481</v>
      </c>
      <c r="AR868" s="348">
        <v>17376682.181440305</v>
      </c>
      <c r="AS868" s="369"/>
      <c r="AT868" s="350">
        <f t="shared" si="363"/>
        <v>2286819.102052208</v>
      </c>
      <c r="AU868" s="350">
        <f t="shared" si="346"/>
        <v>2315070.3408201048</v>
      </c>
      <c r="AV868" s="350">
        <f t="shared" si="347"/>
        <v>2341519.0761315594</v>
      </c>
      <c r="AW868" s="350">
        <f t="shared" si="348"/>
        <v>2366100.6379671237</v>
      </c>
      <c r="AX868" s="350">
        <f t="shared" si="349"/>
        <v>2388750.5138853607</v>
      </c>
      <c r="AY868" s="350">
        <f t="shared" si="350"/>
        <v>11698259.67085636</v>
      </c>
      <c r="AZ868" s="365"/>
      <c r="BA868" s="377">
        <f t="shared" si="351"/>
        <v>0</v>
      </c>
      <c r="BB868" s="377">
        <f t="shared" si="352"/>
        <v>0</v>
      </c>
      <c r="BC868" s="377">
        <f t="shared" si="353"/>
        <v>0</v>
      </c>
      <c r="BD868" s="377">
        <f t="shared" si="354"/>
        <v>0</v>
      </c>
      <c r="BE868" s="377">
        <f t="shared" si="355"/>
        <v>0</v>
      </c>
      <c r="BF868" s="377">
        <f t="shared" si="356"/>
        <v>0</v>
      </c>
      <c r="BG868" s="328"/>
    </row>
    <row r="869" spans="2:59">
      <c r="B869" s="332">
        <v>854</v>
      </c>
      <c r="C869" s="350">
        <v>6509310.7603026144</v>
      </c>
      <c r="D869" s="350">
        <v>40207.835490510282</v>
      </c>
      <c r="E869" s="350">
        <v>38497.591607213209</v>
      </c>
      <c r="F869" s="350">
        <v>36741.327768386713</v>
      </c>
      <c r="G869" s="350">
        <v>34939.133681548497</v>
      </c>
      <c r="H869" s="348">
        <v>6659696.6488502724</v>
      </c>
      <c r="I869" s="369"/>
      <c r="J869" s="350">
        <v>8334876.5875078607</v>
      </c>
      <c r="K869" s="350">
        <v>1888326.6036015777</v>
      </c>
      <c r="L869" s="350">
        <v>1907730.3635824532</v>
      </c>
      <c r="M869" s="350">
        <v>1925597.5405422729</v>
      </c>
      <c r="N869" s="350">
        <v>1941876.7239590874</v>
      </c>
      <c r="O869" s="348">
        <v>15998407.819193251</v>
      </c>
      <c r="P869" s="369"/>
      <c r="Q869" s="350">
        <f t="shared" si="357"/>
        <v>1825565.8272052463</v>
      </c>
      <c r="R869" s="350">
        <f t="shared" si="358"/>
        <v>1848118.7681110674</v>
      </c>
      <c r="S869" s="350">
        <f t="shared" si="359"/>
        <v>1869232.77197524</v>
      </c>
      <c r="T869" s="350">
        <f t="shared" si="360"/>
        <v>1888856.212773886</v>
      </c>
      <c r="U869" s="350">
        <f t="shared" si="361"/>
        <v>1906937.5902775389</v>
      </c>
      <c r="V869" s="350">
        <f t="shared" si="362"/>
        <v>9338711.1703429781</v>
      </c>
      <c r="W869" s="365"/>
      <c r="X869" s="377">
        <f t="shared" si="340"/>
        <v>0</v>
      </c>
      <c r="Y869" s="377">
        <f t="shared" si="341"/>
        <v>0</v>
      </c>
      <c r="Z869" s="377">
        <f t="shared" si="342"/>
        <v>0</v>
      </c>
      <c r="AA869" s="377">
        <f t="shared" si="343"/>
        <v>0</v>
      </c>
      <c r="AB869" s="377">
        <f t="shared" si="344"/>
        <v>0</v>
      </c>
      <c r="AC869" s="377">
        <f t="shared" si="345"/>
        <v>0</v>
      </c>
      <c r="AD869" s="376"/>
      <c r="AE869" s="332">
        <v>854</v>
      </c>
      <c r="AF869" s="350">
        <v>5264980.6882436415</v>
      </c>
      <c r="AG869" s="350">
        <v>32521.642485505945</v>
      </c>
      <c r="AH869" s="350">
        <v>31138.331509993088</v>
      </c>
      <c r="AI869" s="350">
        <v>29717.797825954614</v>
      </c>
      <c r="AJ869" s="350">
        <v>28260.113992279232</v>
      </c>
      <c r="AK869" s="348">
        <v>5386618.5740573751</v>
      </c>
      <c r="AL869" s="369"/>
      <c r="AM869" s="350">
        <v>7892337.7061333219</v>
      </c>
      <c r="AN869" s="350">
        <v>2692336.8860277082</v>
      </c>
      <c r="AO869" s="350">
        <v>2721340.8804024546</v>
      </c>
      <c r="AP869" s="350">
        <v>2748162.4315170739</v>
      </c>
      <c r="AQ869" s="350">
        <v>2772727.4927246254</v>
      </c>
      <c r="AR869" s="348">
        <v>18826905.396805182</v>
      </c>
      <c r="AS869" s="369"/>
      <c r="AT869" s="350">
        <f t="shared" si="363"/>
        <v>2627357.0178896803</v>
      </c>
      <c r="AU869" s="350">
        <f t="shared" si="346"/>
        <v>2659815.2435422023</v>
      </c>
      <c r="AV869" s="350">
        <f t="shared" si="347"/>
        <v>2690202.5488924617</v>
      </c>
      <c r="AW869" s="350">
        <f t="shared" si="348"/>
        <v>2718444.6336911195</v>
      </c>
      <c r="AX869" s="350">
        <f t="shared" si="349"/>
        <v>2744467.378732346</v>
      </c>
      <c r="AY869" s="350">
        <f t="shared" si="350"/>
        <v>13440286.822747808</v>
      </c>
      <c r="AZ869" s="365"/>
      <c r="BA869" s="377">
        <f t="shared" si="351"/>
        <v>0</v>
      </c>
      <c r="BB869" s="377">
        <f t="shared" si="352"/>
        <v>0</v>
      </c>
      <c r="BC869" s="377">
        <f t="shared" si="353"/>
        <v>0</v>
      </c>
      <c r="BD869" s="377">
        <f t="shared" si="354"/>
        <v>0</v>
      </c>
      <c r="BE869" s="377">
        <f t="shared" si="355"/>
        <v>0</v>
      </c>
      <c r="BF869" s="377">
        <f t="shared" si="356"/>
        <v>0</v>
      </c>
      <c r="BG869" s="328"/>
    </row>
    <row r="870" spans="2:59">
      <c r="B870" s="332">
        <v>855</v>
      </c>
      <c r="C870" s="350">
        <v>7162453.7537904074</v>
      </c>
      <c r="D870" s="350">
        <v>44242.281993525197</v>
      </c>
      <c r="E870" s="350">
        <v>42360.432566927913</v>
      </c>
      <c r="F870" s="350">
        <v>40427.945551286481</v>
      </c>
      <c r="G870" s="350">
        <v>38444.919655360405</v>
      </c>
      <c r="H870" s="348">
        <v>7327929.333557507</v>
      </c>
      <c r="I870" s="369"/>
      <c r="J870" s="350">
        <v>10253006.645116828</v>
      </c>
      <c r="K870" s="350">
        <v>3172975.6955918279</v>
      </c>
      <c r="L870" s="350">
        <v>3206838.3505361271</v>
      </c>
      <c r="M870" s="350">
        <v>3238126.9508098289</v>
      </c>
      <c r="N870" s="350">
        <v>3266754.4089021115</v>
      </c>
      <c r="O870" s="348">
        <v>23137702.050956722</v>
      </c>
      <c r="P870" s="369"/>
      <c r="Q870" s="350">
        <f t="shared" si="357"/>
        <v>3090552.8913264209</v>
      </c>
      <c r="R870" s="350">
        <f t="shared" si="358"/>
        <v>3128733.4135983028</v>
      </c>
      <c r="S870" s="350">
        <f t="shared" si="359"/>
        <v>3164477.9179691994</v>
      </c>
      <c r="T870" s="350">
        <f t="shared" si="360"/>
        <v>3197699.0052585425</v>
      </c>
      <c r="U870" s="350">
        <f t="shared" si="361"/>
        <v>3228309.4892467512</v>
      </c>
      <c r="V870" s="350">
        <f t="shared" si="362"/>
        <v>15809772.717399215</v>
      </c>
      <c r="W870" s="365"/>
      <c r="X870" s="377">
        <f t="shared" si="340"/>
        <v>0</v>
      </c>
      <c r="Y870" s="377">
        <f t="shared" si="341"/>
        <v>0</v>
      </c>
      <c r="Z870" s="377">
        <f t="shared" si="342"/>
        <v>0</v>
      </c>
      <c r="AA870" s="377">
        <f t="shared" si="343"/>
        <v>0</v>
      </c>
      <c r="AB870" s="377">
        <f t="shared" si="344"/>
        <v>0</v>
      </c>
      <c r="AC870" s="377">
        <f t="shared" si="345"/>
        <v>0</v>
      </c>
      <c r="AD870" s="376"/>
      <c r="AE870" s="332">
        <v>855</v>
      </c>
      <c r="AF870" s="350">
        <v>5747984.0899313604</v>
      </c>
      <c r="AG870" s="350">
        <v>35505.141358359797</v>
      </c>
      <c r="AH870" s="350">
        <v>33994.92699110922</v>
      </c>
      <c r="AI870" s="350">
        <v>32444.075145956929</v>
      </c>
      <c r="AJ870" s="350">
        <v>30852.665038255171</v>
      </c>
      <c r="AK870" s="348">
        <v>5880780.8984650411</v>
      </c>
      <c r="AL870" s="369"/>
      <c r="AM870" s="350">
        <v>7504618.5179326516</v>
      </c>
      <c r="AN870" s="350">
        <v>1813840.9355100526</v>
      </c>
      <c r="AO870" s="350">
        <v>1832647.4829642775</v>
      </c>
      <c r="AP870" s="350">
        <v>1849979.1119308558</v>
      </c>
      <c r="AQ870" s="350">
        <v>1865786.3459888503</v>
      </c>
      <c r="AR870" s="348">
        <v>14866872.394326689</v>
      </c>
      <c r="AS870" s="369"/>
      <c r="AT870" s="350">
        <f t="shared" si="363"/>
        <v>1756634.4280012911</v>
      </c>
      <c r="AU870" s="350">
        <f t="shared" si="346"/>
        <v>1778335.7941516929</v>
      </c>
      <c r="AV870" s="350">
        <f t="shared" si="347"/>
        <v>1798652.5559731682</v>
      </c>
      <c r="AW870" s="350">
        <f t="shared" si="348"/>
        <v>1817535.036784899</v>
      </c>
      <c r="AX870" s="350">
        <f t="shared" si="349"/>
        <v>1834933.6809505951</v>
      </c>
      <c r="AY870" s="350">
        <f t="shared" si="350"/>
        <v>8986091.4958616477</v>
      </c>
      <c r="AZ870" s="365"/>
      <c r="BA870" s="377">
        <f t="shared" si="351"/>
        <v>0</v>
      </c>
      <c r="BB870" s="377">
        <f t="shared" si="352"/>
        <v>0</v>
      </c>
      <c r="BC870" s="377">
        <f t="shared" si="353"/>
        <v>0</v>
      </c>
      <c r="BD870" s="377">
        <f t="shared" si="354"/>
        <v>0</v>
      </c>
      <c r="BE870" s="377">
        <f t="shared" si="355"/>
        <v>0</v>
      </c>
      <c r="BF870" s="377">
        <f t="shared" si="356"/>
        <v>0</v>
      </c>
      <c r="BG870" s="328"/>
    </row>
    <row r="871" spans="2:59">
      <c r="B871" s="332">
        <v>856</v>
      </c>
      <c r="C871" s="350">
        <v>5463194.3920266321</v>
      </c>
      <c r="D871" s="350">
        <v>33746.003141671834</v>
      </c>
      <c r="E871" s="350">
        <v>32310.613876003503</v>
      </c>
      <c r="F871" s="350">
        <v>30836.600557465346</v>
      </c>
      <c r="G871" s="350">
        <v>29324.038476608472</v>
      </c>
      <c r="H871" s="348">
        <v>5589411.6480783811</v>
      </c>
      <c r="I871" s="369"/>
      <c r="J871" s="350">
        <v>6996512.9618888553</v>
      </c>
      <c r="K871" s="350">
        <v>1586007.1071927832</v>
      </c>
      <c r="L871" s="350">
        <v>1602305.6685338914</v>
      </c>
      <c r="M871" s="350">
        <v>1617313.6608120629</v>
      </c>
      <c r="N871" s="350">
        <v>1630987.9035463932</v>
      </c>
      <c r="O871" s="348">
        <v>13433127.301973986</v>
      </c>
      <c r="P871" s="369"/>
      <c r="Q871" s="350">
        <f t="shared" si="357"/>
        <v>1533318.5698622232</v>
      </c>
      <c r="R871" s="350">
        <f t="shared" si="358"/>
        <v>1552261.1040511113</v>
      </c>
      <c r="S871" s="350">
        <f t="shared" si="359"/>
        <v>1569995.0546578879</v>
      </c>
      <c r="T871" s="350">
        <f t="shared" si="360"/>
        <v>1586477.0602545976</v>
      </c>
      <c r="U871" s="350">
        <f t="shared" si="361"/>
        <v>1601663.8650697847</v>
      </c>
      <c r="V871" s="350">
        <f t="shared" si="362"/>
        <v>7843715.6538956044</v>
      </c>
      <c r="W871" s="365"/>
      <c r="X871" s="377">
        <f t="shared" si="340"/>
        <v>0</v>
      </c>
      <c r="Y871" s="377">
        <f t="shared" si="341"/>
        <v>0</v>
      </c>
      <c r="Z871" s="377">
        <f t="shared" si="342"/>
        <v>0</v>
      </c>
      <c r="AA871" s="377">
        <f t="shared" si="343"/>
        <v>0</v>
      </c>
      <c r="AB871" s="377">
        <f t="shared" si="344"/>
        <v>0</v>
      </c>
      <c r="AC871" s="377">
        <f t="shared" si="345"/>
        <v>0</v>
      </c>
      <c r="AD871" s="376"/>
      <c r="AE871" s="332">
        <v>856</v>
      </c>
      <c r="AF871" s="350">
        <v>4140872.2597466605</v>
      </c>
      <c r="AG871" s="350">
        <v>25578.055302336557</v>
      </c>
      <c r="AH871" s="350">
        <v>24490.090429474403</v>
      </c>
      <c r="AI871" s="350">
        <v>23372.850144167573</v>
      </c>
      <c r="AJ871" s="350">
        <v>22226.391513497692</v>
      </c>
      <c r="AK871" s="348">
        <v>4236539.6471361369</v>
      </c>
      <c r="AL871" s="369"/>
      <c r="AM871" s="350">
        <v>5857775.3904068638</v>
      </c>
      <c r="AN871" s="350">
        <v>1763691.7138272496</v>
      </c>
      <c r="AO871" s="350">
        <v>1782460.9892658261</v>
      </c>
      <c r="AP871" s="350">
        <v>1799799.1486376789</v>
      </c>
      <c r="AQ871" s="350">
        <v>1815657.8142156466</v>
      </c>
      <c r="AR871" s="348">
        <v>13019385.056353265</v>
      </c>
      <c r="AS871" s="369"/>
      <c r="AT871" s="350">
        <f t="shared" si="363"/>
        <v>1716903.1306602033</v>
      </c>
      <c r="AU871" s="350">
        <f t="shared" si="346"/>
        <v>1738113.658524913</v>
      </c>
      <c r="AV871" s="350">
        <f t="shared" si="347"/>
        <v>1757970.8988363517</v>
      </c>
      <c r="AW871" s="350">
        <f t="shared" si="348"/>
        <v>1776426.2984935113</v>
      </c>
      <c r="AX871" s="350">
        <f t="shared" si="349"/>
        <v>1793431.4227021488</v>
      </c>
      <c r="AY871" s="350">
        <f t="shared" si="350"/>
        <v>8782845.4092171285</v>
      </c>
      <c r="AZ871" s="365"/>
      <c r="BA871" s="377">
        <f t="shared" si="351"/>
        <v>0</v>
      </c>
      <c r="BB871" s="377">
        <f t="shared" si="352"/>
        <v>0</v>
      </c>
      <c r="BC871" s="377">
        <f t="shared" si="353"/>
        <v>0</v>
      </c>
      <c r="BD871" s="377">
        <f t="shared" si="354"/>
        <v>0</v>
      </c>
      <c r="BE871" s="377">
        <f t="shared" si="355"/>
        <v>0</v>
      </c>
      <c r="BF871" s="377">
        <f t="shared" si="356"/>
        <v>0</v>
      </c>
      <c r="BG871" s="328"/>
    </row>
    <row r="872" spans="2:59">
      <c r="B872" s="332">
        <v>857</v>
      </c>
      <c r="C872" s="350">
        <v>6721397.137533362</v>
      </c>
      <c r="D872" s="350">
        <v>41517.887273178814</v>
      </c>
      <c r="E872" s="350">
        <v>39751.920219986539</v>
      </c>
      <c r="F872" s="350">
        <v>37938.433788975934</v>
      </c>
      <c r="G872" s="350">
        <v>36077.520610513617</v>
      </c>
      <c r="H872" s="348">
        <v>6876682.899426016</v>
      </c>
      <c r="I872" s="369"/>
      <c r="J872" s="350">
        <v>9141679.9811121039</v>
      </c>
      <c r="K872" s="350">
        <v>2491700.7734212801</v>
      </c>
      <c r="L872" s="350">
        <v>2517927.1474549836</v>
      </c>
      <c r="M872" s="350">
        <v>2542129.8563258201</v>
      </c>
      <c r="N872" s="350">
        <v>2564240.7151361834</v>
      </c>
      <c r="O872" s="348">
        <v>19257678.47345037</v>
      </c>
      <c r="P872" s="369"/>
      <c r="Q872" s="350">
        <f t="shared" si="357"/>
        <v>2420282.8435787419</v>
      </c>
      <c r="R872" s="350">
        <f t="shared" si="358"/>
        <v>2450182.8861481012</v>
      </c>
      <c r="S872" s="350">
        <f t="shared" si="359"/>
        <v>2478175.2272349969</v>
      </c>
      <c r="T872" s="350">
        <f t="shared" si="360"/>
        <v>2504191.4225368444</v>
      </c>
      <c r="U872" s="350">
        <f t="shared" si="361"/>
        <v>2528163.1945256698</v>
      </c>
      <c r="V872" s="350">
        <f t="shared" si="362"/>
        <v>12380995.574024353</v>
      </c>
      <c r="W872" s="365"/>
      <c r="X872" s="377">
        <f t="shared" si="340"/>
        <v>0</v>
      </c>
      <c r="Y872" s="377">
        <f t="shared" si="341"/>
        <v>0</v>
      </c>
      <c r="Z872" s="377">
        <f t="shared" si="342"/>
        <v>0</v>
      </c>
      <c r="AA872" s="377">
        <f t="shared" si="343"/>
        <v>0</v>
      </c>
      <c r="AB872" s="377">
        <f t="shared" si="344"/>
        <v>0</v>
      </c>
      <c r="AC872" s="377">
        <f t="shared" si="345"/>
        <v>0</v>
      </c>
      <c r="AD872" s="376"/>
      <c r="AE872" s="332">
        <v>857</v>
      </c>
      <c r="AF872" s="350">
        <v>5094788.7616792498</v>
      </c>
      <c r="AG872" s="350">
        <v>31470.371584929802</v>
      </c>
      <c r="AH872" s="350">
        <v>30131.776511315853</v>
      </c>
      <c r="AI872" s="350">
        <v>28757.161963311533</v>
      </c>
      <c r="AJ872" s="350">
        <v>27346.598154317267</v>
      </c>
      <c r="AK872" s="348">
        <v>5212494.6698931251</v>
      </c>
      <c r="AL872" s="369"/>
      <c r="AM872" s="350">
        <v>7085196.9393416317</v>
      </c>
      <c r="AN872" s="350">
        <v>2046467.9435821108</v>
      </c>
      <c r="AO872" s="350">
        <v>2068149.8747081882</v>
      </c>
      <c r="AP872" s="350">
        <v>2088170.6305475133</v>
      </c>
      <c r="AQ872" s="350">
        <v>2106474.1307894229</v>
      </c>
      <c r="AR872" s="348">
        <v>15394459.518968867</v>
      </c>
      <c r="AS872" s="369"/>
      <c r="AT872" s="350">
        <f t="shared" si="363"/>
        <v>1990408.1776623819</v>
      </c>
      <c r="AU872" s="350">
        <f t="shared" si="346"/>
        <v>2014997.571997181</v>
      </c>
      <c r="AV872" s="350">
        <f t="shared" si="347"/>
        <v>2038018.0981968723</v>
      </c>
      <c r="AW872" s="350">
        <f t="shared" si="348"/>
        <v>2059413.4685842018</v>
      </c>
      <c r="AX872" s="350">
        <f t="shared" si="349"/>
        <v>2079127.5326351055</v>
      </c>
      <c r="AY872" s="350">
        <f t="shared" si="350"/>
        <v>10181964.849075742</v>
      </c>
      <c r="AZ872" s="365"/>
      <c r="BA872" s="377">
        <f t="shared" si="351"/>
        <v>0</v>
      </c>
      <c r="BB872" s="377">
        <f t="shared" si="352"/>
        <v>0</v>
      </c>
      <c r="BC872" s="377">
        <f t="shared" si="353"/>
        <v>0</v>
      </c>
      <c r="BD872" s="377">
        <f t="shared" si="354"/>
        <v>0</v>
      </c>
      <c r="BE872" s="377">
        <f t="shared" si="355"/>
        <v>0</v>
      </c>
      <c r="BF872" s="377">
        <f t="shared" si="356"/>
        <v>0</v>
      </c>
      <c r="BG872" s="328"/>
    </row>
    <row r="873" spans="2:59">
      <c r="B873" s="332">
        <v>858</v>
      </c>
      <c r="C873" s="350">
        <v>4049569.1386973821</v>
      </c>
      <c r="D873" s="350">
        <v>25014.078407377379</v>
      </c>
      <c r="E873" s="350">
        <v>23950.102342247941</v>
      </c>
      <c r="F873" s="350">
        <v>22857.496365514129</v>
      </c>
      <c r="G873" s="350">
        <v>21736.316285973568</v>
      </c>
      <c r="H873" s="348">
        <v>4143127.132098495</v>
      </c>
      <c r="I873" s="369"/>
      <c r="J873" s="350">
        <v>5608538.3189388942</v>
      </c>
      <c r="K873" s="350">
        <v>1603242.6790828328</v>
      </c>
      <c r="L873" s="350">
        <v>1620209.3216923161</v>
      </c>
      <c r="M873" s="350">
        <v>1635874.4458173877</v>
      </c>
      <c r="N873" s="350">
        <v>1650194.1278773751</v>
      </c>
      <c r="O873" s="348">
        <v>12118058.893408807</v>
      </c>
      <c r="P873" s="369"/>
      <c r="Q873" s="350">
        <f t="shared" si="357"/>
        <v>1558969.1802415121</v>
      </c>
      <c r="R873" s="350">
        <f t="shared" si="358"/>
        <v>1578228.6006754553</v>
      </c>
      <c r="S873" s="350">
        <f t="shared" si="359"/>
        <v>1596259.2193500681</v>
      </c>
      <c r="T873" s="350">
        <f t="shared" si="360"/>
        <v>1613016.9494518735</v>
      </c>
      <c r="U873" s="350">
        <f t="shared" si="361"/>
        <v>1628457.8115914015</v>
      </c>
      <c r="V873" s="350">
        <f t="shared" si="362"/>
        <v>7974931.761310312</v>
      </c>
      <c r="W873" s="365"/>
      <c r="X873" s="377">
        <f t="shared" si="340"/>
        <v>0</v>
      </c>
      <c r="Y873" s="377">
        <f t="shared" si="341"/>
        <v>0</v>
      </c>
      <c r="Z873" s="377">
        <f t="shared" si="342"/>
        <v>0</v>
      </c>
      <c r="AA873" s="377">
        <f t="shared" si="343"/>
        <v>0</v>
      </c>
      <c r="AB873" s="377">
        <f t="shared" si="344"/>
        <v>0</v>
      </c>
      <c r="AC873" s="377">
        <f t="shared" si="345"/>
        <v>0</v>
      </c>
      <c r="AD873" s="376"/>
      <c r="AE873" s="332">
        <v>858</v>
      </c>
      <c r="AF873" s="350">
        <v>5355782.396335924</v>
      </c>
      <c r="AG873" s="350">
        <v>33082.522166269482</v>
      </c>
      <c r="AH873" s="350">
        <v>31675.354123307599</v>
      </c>
      <c r="AI873" s="350">
        <v>30230.321415901151</v>
      </c>
      <c r="AJ873" s="350">
        <v>28747.497854314573</v>
      </c>
      <c r="AK873" s="348">
        <v>5479518.0918957172</v>
      </c>
      <c r="AL873" s="369"/>
      <c r="AM873" s="350">
        <v>7314154.3867394514</v>
      </c>
      <c r="AN873" s="350">
        <v>2015648.1335901916</v>
      </c>
      <c r="AO873" s="350">
        <v>2036890.9698125748</v>
      </c>
      <c r="AP873" s="350">
        <v>2056496.9429044195</v>
      </c>
      <c r="AQ873" s="350">
        <v>2074410.8799106351</v>
      </c>
      <c r="AR873" s="348">
        <v>15497601.312957274</v>
      </c>
      <c r="AS873" s="369"/>
      <c r="AT873" s="350">
        <f t="shared" si="363"/>
        <v>1958371.9904035274</v>
      </c>
      <c r="AU873" s="350">
        <f t="shared" si="346"/>
        <v>1982565.6114239222</v>
      </c>
      <c r="AV873" s="350">
        <f t="shared" si="347"/>
        <v>2005215.6156892672</v>
      </c>
      <c r="AW873" s="350">
        <f t="shared" si="348"/>
        <v>2026266.6214885183</v>
      </c>
      <c r="AX873" s="350">
        <f t="shared" si="349"/>
        <v>2045663.3820563206</v>
      </c>
      <c r="AY873" s="350">
        <f t="shared" si="350"/>
        <v>10018083.221061558</v>
      </c>
      <c r="AZ873" s="365"/>
      <c r="BA873" s="377">
        <f t="shared" si="351"/>
        <v>0</v>
      </c>
      <c r="BB873" s="377">
        <f t="shared" si="352"/>
        <v>0</v>
      </c>
      <c r="BC873" s="377">
        <f t="shared" si="353"/>
        <v>0</v>
      </c>
      <c r="BD873" s="377">
        <f t="shared" si="354"/>
        <v>0</v>
      </c>
      <c r="BE873" s="377">
        <f t="shared" si="355"/>
        <v>0</v>
      </c>
      <c r="BF873" s="377">
        <f t="shared" si="356"/>
        <v>0</v>
      </c>
      <c r="BG873" s="328"/>
    </row>
    <row r="874" spans="2:59">
      <c r="B874" s="332">
        <v>859</v>
      </c>
      <c r="C874" s="350">
        <v>6989860.2876283322</v>
      </c>
      <c r="D874" s="350">
        <v>43176.176848183757</v>
      </c>
      <c r="E874" s="350">
        <v>41339.674299415703</v>
      </c>
      <c r="F874" s="350">
        <v>39453.754374302254</v>
      </c>
      <c r="G874" s="350">
        <v>37518.513403014993</v>
      </c>
      <c r="H874" s="348">
        <v>7151348.4065532489</v>
      </c>
      <c r="I874" s="369"/>
      <c r="J874" s="350">
        <v>9334005.838453522</v>
      </c>
      <c r="K874" s="350">
        <v>2416281.174270452</v>
      </c>
      <c r="L874" s="350">
        <v>2441556.4293371718</v>
      </c>
      <c r="M874" s="350">
        <v>2464868.2868652288</v>
      </c>
      <c r="N874" s="350">
        <v>2486150.7135322918</v>
      </c>
      <c r="O874" s="348">
        <v>19142862.442458667</v>
      </c>
      <c r="P874" s="369"/>
      <c r="Q874" s="350">
        <f t="shared" si="357"/>
        <v>2344145.5508251898</v>
      </c>
      <c r="R874" s="350">
        <f t="shared" si="358"/>
        <v>2373104.9974222681</v>
      </c>
      <c r="S874" s="350">
        <f t="shared" si="359"/>
        <v>2400216.7550377562</v>
      </c>
      <c r="T874" s="350">
        <f t="shared" si="360"/>
        <v>2425414.5324909263</v>
      </c>
      <c r="U874" s="350">
        <f t="shared" si="361"/>
        <v>2448632.2001292766</v>
      </c>
      <c r="V874" s="350">
        <f t="shared" si="362"/>
        <v>11991514.035905417</v>
      </c>
      <c r="W874" s="365"/>
      <c r="X874" s="377">
        <f t="shared" si="340"/>
        <v>0</v>
      </c>
      <c r="Y874" s="377">
        <f t="shared" si="341"/>
        <v>0</v>
      </c>
      <c r="Z874" s="377">
        <f t="shared" si="342"/>
        <v>0</v>
      </c>
      <c r="AA874" s="377">
        <f t="shared" si="343"/>
        <v>0</v>
      </c>
      <c r="AB874" s="377">
        <f t="shared" si="344"/>
        <v>0</v>
      </c>
      <c r="AC874" s="377">
        <f t="shared" si="345"/>
        <v>0</v>
      </c>
      <c r="AD874" s="376"/>
      <c r="AE874" s="332">
        <v>859</v>
      </c>
      <c r="AF874" s="350">
        <v>4616883.9712465657</v>
      </c>
      <c r="AG874" s="350">
        <v>28518.366695098463</v>
      </c>
      <c r="AH874" s="350">
        <v>27305.335413833029</v>
      </c>
      <c r="AI874" s="350">
        <v>26059.663381057155</v>
      </c>
      <c r="AJ874" s="350">
        <v>24781.414223966964</v>
      </c>
      <c r="AK874" s="348">
        <v>4723548.7509605214</v>
      </c>
      <c r="AL874" s="369"/>
      <c r="AM874" s="350">
        <v>5825235.158511389</v>
      </c>
      <c r="AN874" s="350">
        <v>1251797.4587846866</v>
      </c>
      <c r="AO874" s="350">
        <v>1264559.8926753583</v>
      </c>
      <c r="AP874" s="350">
        <v>1276303.074637275</v>
      </c>
      <c r="AQ874" s="350">
        <v>1286992.9800371577</v>
      </c>
      <c r="AR874" s="348">
        <v>10904888.564645868</v>
      </c>
      <c r="AS874" s="369"/>
      <c r="AT874" s="350">
        <f t="shared" si="363"/>
        <v>1208351.1872648234</v>
      </c>
      <c r="AU874" s="350">
        <f t="shared" si="346"/>
        <v>1223279.0920895883</v>
      </c>
      <c r="AV874" s="350">
        <f t="shared" si="347"/>
        <v>1237254.5572615254</v>
      </c>
      <c r="AW874" s="350">
        <f t="shared" si="348"/>
        <v>1250243.4112562179</v>
      </c>
      <c r="AX874" s="350">
        <f t="shared" si="349"/>
        <v>1262211.5658131908</v>
      </c>
      <c r="AY874" s="350">
        <f t="shared" si="350"/>
        <v>6181339.8136853464</v>
      </c>
      <c r="AZ874" s="365"/>
      <c r="BA874" s="377">
        <f t="shared" si="351"/>
        <v>0</v>
      </c>
      <c r="BB874" s="377">
        <f t="shared" si="352"/>
        <v>0</v>
      </c>
      <c r="BC874" s="377">
        <f t="shared" si="353"/>
        <v>0</v>
      </c>
      <c r="BD874" s="377">
        <f t="shared" si="354"/>
        <v>0</v>
      </c>
      <c r="BE874" s="377">
        <f t="shared" si="355"/>
        <v>0</v>
      </c>
      <c r="BF874" s="377">
        <f t="shared" si="356"/>
        <v>0</v>
      </c>
      <c r="BG874" s="328"/>
    </row>
    <row r="875" spans="2:59">
      <c r="B875" s="332">
        <v>860</v>
      </c>
      <c r="C875" s="350">
        <v>4982586.8784656459</v>
      </c>
      <c r="D875" s="350">
        <v>30777.303604600962</v>
      </c>
      <c r="E875" s="350">
        <v>29468.188239596071</v>
      </c>
      <c r="F875" s="350">
        <v>28123.846652492037</v>
      </c>
      <c r="G875" s="350">
        <v>26744.347510389012</v>
      </c>
      <c r="H875" s="348">
        <v>5097700.5644727238</v>
      </c>
      <c r="I875" s="369"/>
      <c r="J875" s="350">
        <v>6696469.7680732571</v>
      </c>
      <c r="K875" s="350">
        <v>1765833.409183281</v>
      </c>
      <c r="L875" s="350">
        <v>1784346.60283318</v>
      </c>
      <c r="M875" s="350">
        <v>1801425.1956146047</v>
      </c>
      <c r="N875" s="350">
        <v>1817020.9066030984</v>
      </c>
      <c r="O875" s="348">
        <v>13865095.88230742</v>
      </c>
      <c r="P875" s="369"/>
      <c r="Q875" s="350">
        <f t="shared" si="357"/>
        <v>1713882.8896076111</v>
      </c>
      <c r="R875" s="350">
        <f t="shared" si="358"/>
        <v>1735056.1055786801</v>
      </c>
      <c r="S875" s="350">
        <f t="shared" si="359"/>
        <v>1754878.4145935839</v>
      </c>
      <c r="T875" s="350">
        <f t="shared" si="360"/>
        <v>1773301.3489621128</v>
      </c>
      <c r="U875" s="350">
        <f t="shared" si="361"/>
        <v>1790276.5590927093</v>
      </c>
      <c r="V875" s="350">
        <f t="shared" si="362"/>
        <v>8767395.3178346958</v>
      </c>
      <c r="W875" s="365"/>
      <c r="X875" s="377">
        <f t="shared" si="340"/>
        <v>0</v>
      </c>
      <c r="Y875" s="377">
        <f t="shared" si="341"/>
        <v>0</v>
      </c>
      <c r="Z875" s="377">
        <f t="shared" si="342"/>
        <v>0</v>
      </c>
      <c r="AA875" s="377">
        <f t="shared" si="343"/>
        <v>0</v>
      </c>
      <c r="AB875" s="377">
        <f t="shared" si="344"/>
        <v>0</v>
      </c>
      <c r="AC875" s="377">
        <f t="shared" si="345"/>
        <v>0</v>
      </c>
      <c r="AD875" s="376"/>
      <c r="AE875" s="332">
        <v>860</v>
      </c>
      <c r="AF875" s="350">
        <v>8416365.3485101946</v>
      </c>
      <c r="AG875" s="350">
        <v>51987.659803356706</v>
      </c>
      <c r="AH875" s="350">
        <v>49776.360037998806</v>
      </c>
      <c r="AI875" s="350">
        <v>47505.557696513803</v>
      </c>
      <c r="AJ875" s="350">
        <v>45175.368768336113</v>
      </c>
      <c r="AK875" s="348">
        <v>8610810.2948164009</v>
      </c>
      <c r="AL875" s="369"/>
      <c r="AM875" s="350">
        <v>11564139.474280737</v>
      </c>
      <c r="AN875" s="350">
        <v>3238649.2158628749</v>
      </c>
      <c r="AO875" s="350">
        <v>3272844.2258917806</v>
      </c>
      <c r="AP875" s="350">
        <v>3304409.5954834297</v>
      </c>
      <c r="AQ875" s="350">
        <v>3333256.6401647502</v>
      </c>
      <c r="AR875" s="348">
        <v>24713299.151683573</v>
      </c>
      <c r="AS875" s="369"/>
      <c r="AT875" s="350">
        <f t="shared" si="363"/>
        <v>3147774.1257705428</v>
      </c>
      <c r="AU875" s="350">
        <f t="shared" si="346"/>
        <v>3186661.5560595184</v>
      </c>
      <c r="AV875" s="350">
        <f t="shared" si="347"/>
        <v>3223067.8658537818</v>
      </c>
      <c r="AW875" s="350">
        <f t="shared" si="348"/>
        <v>3256904.0377869159</v>
      </c>
      <c r="AX875" s="350">
        <f t="shared" si="349"/>
        <v>3288081.2713964139</v>
      </c>
      <c r="AY875" s="350">
        <f t="shared" si="350"/>
        <v>16102488.856867172</v>
      </c>
      <c r="AZ875" s="365"/>
      <c r="BA875" s="377">
        <f t="shared" si="351"/>
        <v>0</v>
      </c>
      <c r="BB875" s="377">
        <f t="shared" si="352"/>
        <v>0</v>
      </c>
      <c r="BC875" s="377">
        <f t="shared" si="353"/>
        <v>0</v>
      </c>
      <c r="BD875" s="377">
        <f t="shared" si="354"/>
        <v>0</v>
      </c>
      <c r="BE875" s="377">
        <f t="shared" si="355"/>
        <v>0</v>
      </c>
      <c r="BF875" s="377">
        <f t="shared" si="356"/>
        <v>0</v>
      </c>
      <c r="BG875" s="328"/>
    </row>
    <row r="876" spans="2:59">
      <c r="B876" s="332">
        <v>861</v>
      </c>
      <c r="C876" s="350">
        <v>7244121.3715424389</v>
      </c>
      <c r="D876" s="350">
        <v>44746.740646737126</v>
      </c>
      <c r="E876" s="350">
        <v>42843.43402614801</v>
      </c>
      <c r="F876" s="350">
        <v>40888.912437396975</v>
      </c>
      <c r="G876" s="350">
        <v>38883.275714727191</v>
      </c>
      <c r="H876" s="348">
        <v>7411483.7343674479</v>
      </c>
      <c r="I876" s="369"/>
      <c r="J876" s="350">
        <v>9323255.890392134</v>
      </c>
      <c r="K876" s="350">
        <v>2149566.77422293</v>
      </c>
      <c r="L876" s="350">
        <v>2171710.1788251996</v>
      </c>
      <c r="M876" s="350">
        <v>2192104.7681450006</v>
      </c>
      <c r="N876" s="350">
        <v>2210691.9884729832</v>
      </c>
      <c r="O876" s="348">
        <v>18047329.60005825</v>
      </c>
      <c r="P876" s="369"/>
      <c r="Q876" s="350">
        <f t="shared" si="357"/>
        <v>2079134.5188496951</v>
      </c>
      <c r="R876" s="350">
        <f t="shared" si="358"/>
        <v>2104820.0335761928</v>
      </c>
      <c r="S876" s="350">
        <f t="shared" si="359"/>
        <v>2128866.7447990514</v>
      </c>
      <c r="T876" s="350">
        <f t="shared" si="360"/>
        <v>2151215.8557076035</v>
      </c>
      <c r="U876" s="350">
        <f t="shared" si="361"/>
        <v>2171808.7127582561</v>
      </c>
      <c r="V876" s="350">
        <f t="shared" si="362"/>
        <v>10635845.865690801</v>
      </c>
      <c r="W876" s="365"/>
      <c r="X876" s="377">
        <f t="shared" si="340"/>
        <v>0</v>
      </c>
      <c r="Y876" s="377">
        <f t="shared" si="341"/>
        <v>0</v>
      </c>
      <c r="Z876" s="377">
        <f t="shared" si="342"/>
        <v>0</v>
      </c>
      <c r="AA876" s="377">
        <f t="shared" si="343"/>
        <v>0</v>
      </c>
      <c r="AB876" s="377">
        <f t="shared" si="344"/>
        <v>0</v>
      </c>
      <c r="AC876" s="377">
        <f t="shared" si="345"/>
        <v>0</v>
      </c>
      <c r="AD876" s="376"/>
      <c r="AE876" s="332">
        <v>861</v>
      </c>
      <c r="AF876" s="350">
        <v>5183139.0707639465</v>
      </c>
      <c r="AG876" s="350">
        <v>32016.109040709624</v>
      </c>
      <c r="AH876" s="350">
        <v>30654.300975543465</v>
      </c>
      <c r="AI876" s="350">
        <v>29255.848811128606</v>
      </c>
      <c r="AJ876" s="350">
        <v>27820.823978461442</v>
      </c>
      <c r="AK876" s="348">
        <v>5302886.1535697887</v>
      </c>
      <c r="AL876" s="369"/>
      <c r="AM876" s="350">
        <v>7012493.2873463789</v>
      </c>
      <c r="AN876" s="350">
        <v>1883970.0680852151</v>
      </c>
      <c r="AO876" s="350">
        <v>1903766.079377892</v>
      </c>
      <c r="AP876" s="350">
        <v>1922031.7903095935</v>
      </c>
      <c r="AQ876" s="350">
        <v>1938715.6652092705</v>
      </c>
      <c r="AR876" s="348">
        <v>14660976.89032835</v>
      </c>
      <c r="AS876" s="369"/>
      <c r="AT876" s="350">
        <f t="shared" si="363"/>
        <v>1829354.2165824324</v>
      </c>
      <c r="AU876" s="350">
        <f t="shared" si="346"/>
        <v>1851953.9590445054</v>
      </c>
      <c r="AV876" s="350">
        <f t="shared" si="347"/>
        <v>1873111.7784023485</v>
      </c>
      <c r="AW876" s="350">
        <f t="shared" si="348"/>
        <v>1892775.9414984649</v>
      </c>
      <c r="AX876" s="350">
        <f t="shared" si="349"/>
        <v>1910894.8412308092</v>
      </c>
      <c r="AY876" s="350">
        <f t="shared" si="350"/>
        <v>9358090.7367585599</v>
      </c>
      <c r="AZ876" s="365"/>
      <c r="BA876" s="377">
        <f t="shared" si="351"/>
        <v>0</v>
      </c>
      <c r="BB876" s="377">
        <f t="shared" si="352"/>
        <v>0</v>
      </c>
      <c r="BC876" s="377">
        <f t="shared" si="353"/>
        <v>0</v>
      </c>
      <c r="BD876" s="377">
        <f t="shared" si="354"/>
        <v>0</v>
      </c>
      <c r="BE876" s="377">
        <f t="shared" si="355"/>
        <v>0</v>
      </c>
      <c r="BF876" s="377">
        <f t="shared" si="356"/>
        <v>0</v>
      </c>
      <c r="BG876" s="328"/>
    </row>
    <row r="877" spans="2:59">
      <c r="B877" s="332">
        <v>862</v>
      </c>
      <c r="C877" s="350">
        <v>3984088.522127918</v>
      </c>
      <c r="D877" s="350">
        <v>24609.606420128548</v>
      </c>
      <c r="E877" s="350">
        <v>23562.834607197357</v>
      </c>
      <c r="F877" s="350">
        <v>22487.895821855574</v>
      </c>
      <c r="G877" s="350">
        <v>21384.844970480346</v>
      </c>
      <c r="H877" s="348">
        <v>4076133.70394758</v>
      </c>
      <c r="I877" s="369"/>
      <c r="J877" s="350">
        <v>5855649.6252382174</v>
      </c>
      <c r="K877" s="350">
        <v>1919291.8735723181</v>
      </c>
      <c r="L877" s="350">
        <v>1939891.0746266586</v>
      </c>
      <c r="M877" s="350">
        <v>1958933.9907883303</v>
      </c>
      <c r="N877" s="350">
        <v>1976367.8791818633</v>
      </c>
      <c r="O877" s="348">
        <v>13650134.443407388</v>
      </c>
      <c r="P877" s="369"/>
      <c r="Q877" s="350">
        <f t="shared" si="357"/>
        <v>1871561.1031102994</v>
      </c>
      <c r="R877" s="350">
        <f t="shared" si="358"/>
        <v>1894682.2671521895</v>
      </c>
      <c r="S877" s="350">
        <f t="shared" si="359"/>
        <v>1916328.2400194611</v>
      </c>
      <c r="T877" s="350">
        <f t="shared" si="360"/>
        <v>1936446.0949664747</v>
      </c>
      <c r="U877" s="350">
        <f t="shared" si="361"/>
        <v>1954983.034211383</v>
      </c>
      <c r="V877" s="350">
        <f t="shared" si="362"/>
        <v>9574000.7394598089</v>
      </c>
      <c r="W877" s="365"/>
      <c r="X877" s="377">
        <f t="shared" si="340"/>
        <v>0</v>
      </c>
      <c r="Y877" s="377">
        <f t="shared" si="341"/>
        <v>0</v>
      </c>
      <c r="Z877" s="377">
        <f t="shared" si="342"/>
        <v>0</v>
      </c>
      <c r="AA877" s="377">
        <f t="shared" si="343"/>
        <v>0</v>
      </c>
      <c r="AB877" s="377">
        <f t="shared" si="344"/>
        <v>0</v>
      </c>
      <c r="AC877" s="377">
        <f t="shared" si="345"/>
        <v>0</v>
      </c>
      <c r="AD877" s="376"/>
      <c r="AE877" s="332">
        <v>862</v>
      </c>
      <c r="AF877" s="350">
        <v>4798191.3140736576</v>
      </c>
      <c r="AG877" s="350">
        <v>29638.297219550361</v>
      </c>
      <c r="AH877" s="350">
        <v>28377.629593136277</v>
      </c>
      <c r="AI877" s="350">
        <v>27083.03939657197</v>
      </c>
      <c r="AJ877" s="350">
        <v>25754.592755727135</v>
      </c>
      <c r="AK877" s="348">
        <v>4909044.873038644</v>
      </c>
      <c r="AL877" s="369"/>
      <c r="AM877" s="350">
        <v>6393474.5926713059</v>
      </c>
      <c r="AN877" s="350">
        <v>1644629.6186464925</v>
      </c>
      <c r="AO877" s="350">
        <v>1661819.5687994044</v>
      </c>
      <c r="AP877" s="350">
        <v>1677673.0575754594</v>
      </c>
      <c r="AQ877" s="350">
        <v>1692145.1472701058</v>
      </c>
      <c r="AR877" s="348">
        <v>13069741.984962767</v>
      </c>
      <c r="AS877" s="369"/>
      <c r="AT877" s="350">
        <f t="shared" si="363"/>
        <v>1595283.2785976483</v>
      </c>
      <c r="AU877" s="350">
        <f t="shared" si="346"/>
        <v>1614991.321426942</v>
      </c>
      <c r="AV877" s="350">
        <f t="shared" si="347"/>
        <v>1633441.9392062682</v>
      </c>
      <c r="AW877" s="350">
        <f t="shared" si="348"/>
        <v>1650590.0181788874</v>
      </c>
      <c r="AX877" s="350">
        <f t="shared" si="349"/>
        <v>1666390.5545143785</v>
      </c>
      <c r="AY877" s="350">
        <f t="shared" si="350"/>
        <v>8160697.111924123</v>
      </c>
      <c r="AZ877" s="365"/>
      <c r="BA877" s="377">
        <f t="shared" si="351"/>
        <v>0</v>
      </c>
      <c r="BB877" s="377">
        <f t="shared" si="352"/>
        <v>0</v>
      </c>
      <c r="BC877" s="377">
        <f t="shared" si="353"/>
        <v>0</v>
      </c>
      <c r="BD877" s="377">
        <f t="shared" si="354"/>
        <v>0</v>
      </c>
      <c r="BE877" s="377">
        <f t="shared" si="355"/>
        <v>0</v>
      </c>
      <c r="BF877" s="377">
        <f t="shared" si="356"/>
        <v>0</v>
      </c>
      <c r="BG877" s="328"/>
    </row>
    <row r="878" spans="2:59">
      <c r="B878" s="332">
        <v>863</v>
      </c>
      <c r="C878" s="350">
        <v>7565269.5655886009</v>
      </c>
      <c r="D878" s="350">
        <v>46730.464305012785</v>
      </c>
      <c r="E878" s="350">
        <v>44742.779820970405</v>
      </c>
      <c r="F878" s="350">
        <v>42701.609894036374</v>
      </c>
      <c r="G878" s="350">
        <v>40607.058784326742</v>
      </c>
      <c r="H878" s="348">
        <v>7740051.4783929465</v>
      </c>
      <c r="I878" s="369"/>
      <c r="J878" s="350">
        <v>9810538.7302944977</v>
      </c>
      <c r="K878" s="350">
        <v>2319737.5621134331</v>
      </c>
      <c r="L878" s="350">
        <v>2343718.0575291412</v>
      </c>
      <c r="M878" s="350">
        <v>2365811.8192897099</v>
      </c>
      <c r="N878" s="350">
        <v>2385955.6113607069</v>
      </c>
      <c r="O878" s="348">
        <v>19225761.780587487</v>
      </c>
      <c r="P878" s="369"/>
      <c r="Q878" s="350">
        <f t="shared" si="357"/>
        <v>2245269.1647058968</v>
      </c>
      <c r="R878" s="350">
        <f t="shared" si="358"/>
        <v>2273007.0978084202</v>
      </c>
      <c r="S878" s="350">
        <f t="shared" si="359"/>
        <v>2298975.2777081709</v>
      </c>
      <c r="T878" s="350">
        <f t="shared" si="360"/>
        <v>2323110.2093956736</v>
      </c>
      <c r="U878" s="350">
        <f t="shared" si="361"/>
        <v>2345348.5525763803</v>
      </c>
      <c r="V878" s="350">
        <f t="shared" si="362"/>
        <v>11485710.302194539</v>
      </c>
      <c r="W878" s="365"/>
      <c r="X878" s="377">
        <f t="shared" si="340"/>
        <v>0</v>
      </c>
      <c r="Y878" s="377">
        <f t="shared" si="341"/>
        <v>0</v>
      </c>
      <c r="Z878" s="377">
        <f t="shared" si="342"/>
        <v>0</v>
      </c>
      <c r="AA878" s="377">
        <f t="shared" si="343"/>
        <v>0</v>
      </c>
      <c r="AB878" s="377">
        <f t="shared" si="344"/>
        <v>0</v>
      </c>
      <c r="AC878" s="377">
        <f t="shared" si="345"/>
        <v>0</v>
      </c>
      <c r="AD878" s="376"/>
      <c r="AE878" s="332">
        <v>863</v>
      </c>
      <c r="AF878" s="350">
        <v>5260122.7768715238</v>
      </c>
      <c r="AG878" s="350">
        <v>32491.63529911307</v>
      </c>
      <c r="AH878" s="350">
        <v>31109.600681958978</v>
      </c>
      <c r="AI878" s="350">
        <v>29690.377701064852</v>
      </c>
      <c r="AJ878" s="350">
        <v>28234.038848367185</v>
      </c>
      <c r="AK878" s="348">
        <v>5381648.4294020273</v>
      </c>
      <c r="AL878" s="369"/>
      <c r="AM878" s="350">
        <v>7319138.88540891</v>
      </c>
      <c r="AN878" s="350">
        <v>2116944.7168165809</v>
      </c>
      <c r="AO878" s="350">
        <v>2139376.7092940314</v>
      </c>
      <c r="AP878" s="350">
        <v>2160090.3396494631</v>
      </c>
      <c r="AQ878" s="350">
        <v>2179027.594382795</v>
      </c>
      <c r="AR878" s="348">
        <v>15914578.24555178</v>
      </c>
      <c r="AS878" s="369"/>
      <c r="AT878" s="350">
        <f t="shared" si="363"/>
        <v>2059016.1085373862</v>
      </c>
      <c r="AU878" s="350">
        <f t="shared" si="346"/>
        <v>2084453.0815174677</v>
      </c>
      <c r="AV878" s="350">
        <f t="shared" si="347"/>
        <v>2108267.1086120722</v>
      </c>
      <c r="AW878" s="350">
        <f t="shared" si="348"/>
        <v>2130399.961948398</v>
      </c>
      <c r="AX878" s="350">
        <f t="shared" si="349"/>
        <v>2150793.555534428</v>
      </c>
      <c r="AY878" s="350">
        <f t="shared" si="350"/>
        <v>10532929.816149753</v>
      </c>
      <c r="AZ878" s="365"/>
      <c r="BA878" s="377">
        <f t="shared" si="351"/>
        <v>0</v>
      </c>
      <c r="BB878" s="377">
        <f t="shared" si="352"/>
        <v>0</v>
      </c>
      <c r="BC878" s="377">
        <f t="shared" si="353"/>
        <v>0</v>
      </c>
      <c r="BD878" s="377">
        <f t="shared" si="354"/>
        <v>0</v>
      </c>
      <c r="BE878" s="377">
        <f t="shared" si="355"/>
        <v>0</v>
      </c>
      <c r="BF878" s="377">
        <f t="shared" si="356"/>
        <v>0</v>
      </c>
      <c r="BG878" s="328"/>
    </row>
    <row r="879" spans="2:59">
      <c r="B879" s="332">
        <v>864</v>
      </c>
      <c r="C879" s="350">
        <v>6641448.4412597436</v>
      </c>
      <c r="D879" s="350">
        <v>41024.046351180492</v>
      </c>
      <c r="E879" s="350">
        <v>39279.084865827557</v>
      </c>
      <c r="F879" s="350">
        <v>37487.169229237465</v>
      </c>
      <c r="G879" s="350">
        <v>35648.390969968779</v>
      </c>
      <c r="H879" s="348">
        <v>6794887.1326759569</v>
      </c>
      <c r="I879" s="369"/>
      <c r="J879" s="350">
        <v>8642782.1728633419</v>
      </c>
      <c r="K879" s="350">
        <v>2067082.1459885421</v>
      </c>
      <c r="L879" s="350">
        <v>2088484.0727242855</v>
      </c>
      <c r="M879" s="350">
        <v>2108204.9688500529</v>
      </c>
      <c r="N879" s="350">
        <v>2126188.4671543846</v>
      </c>
      <c r="O879" s="348">
        <v>17032741.827580608</v>
      </c>
      <c r="P879" s="369"/>
      <c r="Q879" s="350">
        <f t="shared" si="357"/>
        <v>2001333.7316035982</v>
      </c>
      <c r="R879" s="350">
        <f t="shared" si="358"/>
        <v>2026058.0996373617</v>
      </c>
      <c r="S879" s="350">
        <f t="shared" si="359"/>
        <v>2049204.987858458</v>
      </c>
      <c r="T879" s="350">
        <f t="shared" si="360"/>
        <v>2070717.7996208156</v>
      </c>
      <c r="U879" s="350">
        <f t="shared" si="361"/>
        <v>2090540.0761844157</v>
      </c>
      <c r="V879" s="350">
        <f t="shared" si="362"/>
        <v>10237854.694904651</v>
      </c>
      <c r="W879" s="365"/>
      <c r="X879" s="377">
        <f t="shared" si="340"/>
        <v>0</v>
      </c>
      <c r="Y879" s="377">
        <f t="shared" si="341"/>
        <v>0</v>
      </c>
      <c r="Z879" s="377">
        <f t="shared" si="342"/>
        <v>0</v>
      </c>
      <c r="AA879" s="377">
        <f t="shared" si="343"/>
        <v>0</v>
      </c>
      <c r="AB879" s="377">
        <f t="shared" si="344"/>
        <v>0</v>
      </c>
      <c r="AC879" s="377">
        <f t="shared" si="345"/>
        <v>0</v>
      </c>
      <c r="AD879" s="376"/>
      <c r="AE879" s="332">
        <v>864</v>
      </c>
      <c r="AF879" s="350">
        <v>7056590.2113606492</v>
      </c>
      <c r="AG879" s="350">
        <v>43588.365771794175</v>
      </c>
      <c r="AH879" s="350">
        <v>41734.3307302463</v>
      </c>
      <c r="AI879" s="350">
        <v>39830.40654072816</v>
      </c>
      <c r="AJ879" s="350">
        <v>37876.690453042647</v>
      </c>
      <c r="AK879" s="348">
        <v>7219620.0048564598</v>
      </c>
      <c r="AL879" s="369"/>
      <c r="AM879" s="350">
        <v>8987934.4057599828</v>
      </c>
      <c r="AN879" s="350">
        <v>1998792.2812701883</v>
      </c>
      <c r="AO879" s="350">
        <v>2019275.6542672319</v>
      </c>
      <c r="AP879" s="350">
        <v>2038132.2076763914</v>
      </c>
      <c r="AQ879" s="350">
        <v>2055307.554451305</v>
      </c>
      <c r="AR879" s="348">
        <v>17099442.1034251</v>
      </c>
      <c r="AS879" s="369"/>
      <c r="AT879" s="350">
        <f t="shared" si="363"/>
        <v>1931344.1943993336</v>
      </c>
      <c r="AU879" s="350">
        <f t="shared" si="346"/>
        <v>1955203.9154983941</v>
      </c>
      <c r="AV879" s="350">
        <f t="shared" si="347"/>
        <v>1977541.3235369856</v>
      </c>
      <c r="AW879" s="350">
        <f t="shared" si="348"/>
        <v>1998301.8011356632</v>
      </c>
      <c r="AX879" s="350">
        <f t="shared" si="349"/>
        <v>2017430.8639982622</v>
      </c>
      <c r="AY879" s="350">
        <f t="shared" si="350"/>
        <v>9879822.0985686406</v>
      </c>
      <c r="AZ879" s="365"/>
      <c r="BA879" s="377">
        <f t="shared" si="351"/>
        <v>0</v>
      </c>
      <c r="BB879" s="377">
        <f t="shared" si="352"/>
        <v>0</v>
      </c>
      <c r="BC879" s="377">
        <f t="shared" si="353"/>
        <v>0</v>
      </c>
      <c r="BD879" s="377">
        <f t="shared" si="354"/>
        <v>0</v>
      </c>
      <c r="BE879" s="377">
        <f t="shared" si="355"/>
        <v>0</v>
      </c>
      <c r="BF879" s="377">
        <f t="shared" si="356"/>
        <v>0</v>
      </c>
      <c r="BG879" s="328"/>
    </row>
    <row r="880" spans="2:59">
      <c r="B880" s="332">
        <v>865</v>
      </c>
      <c r="C880" s="350">
        <v>5750513.4204829279</v>
      </c>
      <c r="D880" s="350">
        <v>35520.7649643697</v>
      </c>
      <c r="E880" s="350">
        <v>34009.886045639643</v>
      </c>
      <c r="F880" s="350">
        <v>32458.351766976302</v>
      </c>
      <c r="G880" s="350">
        <v>30866.241378596758</v>
      </c>
      <c r="H880" s="348">
        <v>5883368.6646385109</v>
      </c>
      <c r="I880" s="369"/>
      <c r="J880" s="350">
        <v>8439974.5788881201</v>
      </c>
      <c r="K880" s="350">
        <v>2758207.3801951166</v>
      </c>
      <c r="L880" s="350">
        <v>2787802.086429697</v>
      </c>
      <c r="M880" s="350">
        <v>2815160.2091109375</v>
      </c>
      <c r="N880" s="350">
        <v>2840205.9562907927</v>
      </c>
      <c r="O880" s="348">
        <v>19641350.210914664</v>
      </c>
      <c r="P880" s="369"/>
      <c r="Q880" s="350">
        <f t="shared" si="357"/>
        <v>2689461.1584051922</v>
      </c>
      <c r="R880" s="350">
        <f t="shared" si="358"/>
        <v>2722686.615230747</v>
      </c>
      <c r="S880" s="350">
        <f t="shared" si="359"/>
        <v>2753792.2003840571</v>
      </c>
      <c r="T880" s="350">
        <f t="shared" si="360"/>
        <v>2782701.857343961</v>
      </c>
      <c r="U880" s="350">
        <f t="shared" si="361"/>
        <v>2809339.7149121957</v>
      </c>
      <c r="V880" s="350">
        <f t="shared" si="362"/>
        <v>13757981.546276152</v>
      </c>
      <c r="W880" s="365"/>
      <c r="X880" s="377">
        <f t="shared" si="340"/>
        <v>0</v>
      </c>
      <c r="Y880" s="377">
        <f t="shared" si="341"/>
        <v>0</v>
      </c>
      <c r="Z880" s="377">
        <f t="shared" si="342"/>
        <v>0</v>
      </c>
      <c r="AA880" s="377">
        <f t="shared" si="343"/>
        <v>0</v>
      </c>
      <c r="AB880" s="377">
        <f t="shared" si="344"/>
        <v>0</v>
      </c>
      <c r="AC880" s="377">
        <f t="shared" si="345"/>
        <v>0</v>
      </c>
      <c r="AD880" s="376"/>
      <c r="AE880" s="332">
        <v>865</v>
      </c>
      <c r="AF880" s="350">
        <v>6793829.7526533259</v>
      </c>
      <c r="AG880" s="350">
        <v>41965.301566356509</v>
      </c>
      <c r="AH880" s="350">
        <v>40180.303706135717</v>
      </c>
      <c r="AI880" s="350">
        <v>38347.274379208146</v>
      </c>
      <c r="AJ880" s="350">
        <v>36466.307214160937</v>
      </c>
      <c r="AK880" s="348">
        <v>6950788.9395191874</v>
      </c>
      <c r="AL880" s="369"/>
      <c r="AM880" s="350">
        <v>8296980.6065493757</v>
      </c>
      <c r="AN880" s="350">
        <v>1563685.99932958</v>
      </c>
      <c r="AO880" s="350">
        <v>1579286.0403787384</v>
      </c>
      <c r="AP880" s="350">
        <v>1593610.7367022852</v>
      </c>
      <c r="AQ880" s="350">
        <v>1606617.7772054374</v>
      </c>
      <c r="AR880" s="348">
        <v>14640181.160165418</v>
      </c>
      <c r="AS880" s="369"/>
      <c r="AT880" s="350">
        <f t="shared" si="363"/>
        <v>1503150.8538960498</v>
      </c>
      <c r="AU880" s="350">
        <f t="shared" si="346"/>
        <v>1521720.6977632234</v>
      </c>
      <c r="AV880" s="350">
        <f t="shared" si="347"/>
        <v>1539105.7366726026</v>
      </c>
      <c r="AW880" s="350">
        <f t="shared" si="348"/>
        <v>1555263.462323077</v>
      </c>
      <c r="AX880" s="350">
        <f t="shared" si="349"/>
        <v>1570151.4699912765</v>
      </c>
      <c r="AY880" s="350">
        <f t="shared" si="350"/>
        <v>7689392.2206462305</v>
      </c>
      <c r="AZ880" s="365"/>
      <c r="BA880" s="377">
        <f t="shared" si="351"/>
        <v>0</v>
      </c>
      <c r="BB880" s="377">
        <f t="shared" si="352"/>
        <v>0</v>
      </c>
      <c r="BC880" s="377">
        <f t="shared" si="353"/>
        <v>0</v>
      </c>
      <c r="BD880" s="377">
        <f t="shared" si="354"/>
        <v>0</v>
      </c>
      <c r="BE880" s="377">
        <f t="shared" si="355"/>
        <v>0</v>
      </c>
      <c r="BF880" s="377">
        <f t="shared" si="356"/>
        <v>0</v>
      </c>
      <c r="BG880" s="328"/>
    </row>
    <row r="881" spans="2:59">
      <c r="B881" s="332">
        <v>866</v>
      </c>
      <c r="C881" s="350">
        <v>4908377.4045078345</v>
      </c>
      <c r="D881" s="350">
        <v>30318.913702717688</v>
      </c>
      <c r="E881" s="350">
        <v>29029.29599324091</v>
      </c>
      <c r="F881" s="350">
        <v>27704.976712708456</v>
      </c>
      <c r="G881" s="350">
        <v>26346.023505508976</v>
      </c>
      <c r="H881" s="348">
        <v>5021776.6144220103</v>
      </c>
      <c r="I881" s="369"/>
      <c r="J881" s="350">
        <v>6930323.2267980557</v>
      </c>
      <c r="K881" s="350">
        <v>2077243.7446736014</v>
      </c>
      <c r="L881" s="350">
        <v>2099339.4090880454</v>
      </c>
      <c r="M881" s="350">
        <v>2119749.4658297286</v>
      </c>
      <c r="N881" s="350">
        <v>2138416.9423244521</v>
      </c>
      <c r="O881" s="348">
        <v>15365072.788713882</v>
      </c>
      <c r="P881" s="369"/>
      <c r="Q881" s="350">
        <f t="shared" si="357"/>
        <v>2021945.8222902212</v>
      </c>
      <c r="R881" s="350">
        <f t="shared" si="358"/>
        <v>2046924.8309708836</v>
      </c>
      <c r="S881" s="350">
        <f t="shared" si="359"/>
        <v>2070310.1130948043</v>
      </c>
      <c r="T881" s="350">
        <f t="shared" si="360"/>
        <v>2092044.4891170203</v>
      </c>
      <c r="U881" s="350">
        <f t="shared" si="361"/>
        <v>2112070.9188189432</v>
      </c>
      <c r="V881" s="350">
        <f t="shared" si="362"/>
        <v>10343296.174291871</v>
      </c>
      <c r="W881" s="365"/>
      <c r="X881" s="377">
        <f t="shared" si="340"/>
        <v>0</v>
      </c>
      <c r="Y881" s="377">
        <f t="shared" si="341"/>
        <v>0</v>
      </c>
      <c r="Z881" s="377">
        <f t="shared" si="342"/>
        <v>0</v>
      </c>
      <c r="AA881" s="377">
        <f t="shared" si="343"/>
        <v>0</v>
      </c>
      <c r="AB881" s="377">
        <f t="shared" si="344"/>
        <v>0</v>
      </c>
      <c r="AC881" s="377">
        <f t="shared" si="345"/>
        <v>0</v>
      </c>
      <c r="AD881" s="376"/>
      <c r="AE881" s="332">
        <v>866</v>
      </c>
      <c r="AF881" s="350">
        <v>5654298.0566582009</v>
      </c>
      <c r="AG881" s="350">
        <v>34926.44527941764</v>
      </c>
      <c r="AH881" s="350">
        <v>33440.845801708194</v>
      </c>
      <c r="AI881" s="350">
        <v>31915.271193807021</v>
      </c>
      <c r="AJ881" s="350">
        <v>30349.799379946777</v>
      </c>
      <c r="AK881" s="348">
        <v>5784930.4183130804</v>
      </c>
      <c r="AL881" s="369"/>
      <c r="AM881" s="350">
        <v>7883488.2053148691</v>
      </c>
      <c r="AN881" s="350">
        <v>2291655.8877491485</v>
      </c>
      <c r="AO881" s="350">
        <v>2315952.5025916779</v>
      </c>
      <c r="AP881" s="350">
        <v>2338389.0225076741</v>
      </c>
      <c r="AQ881" s="350">
        <v>2358902.6387248356</v>
      </c>
      <c r="AR881" s="348">
        <v>17188388.256888203</v>
      </c>
      <c r="AS881" s="369"/>
      <c r="AT881" s="350">
        <f t="shared" si="363"/>
        <v>2229190.1486566681</v>
      </c>
      <c r="AU881" s="350">
        <f t="shared" si="346"/>
        <v>2256729.442469731</v>
      </c>
      <c r="AV881" s="350">
        <f t="shared" si="347"/>
        <v>2282511.6567899697</v>
      </c>
      <c r="AW881" s="350">
        <f t="shared" si="348"/>
        <v>2306473.751313867</v>
      </c>
      <c r="AX881" s="350">
        <f t="shared" si="349"/>
        <v>2328552.8393448889</v>
      </c>
      <c r="AY881" s="350">
        <f t="shared" si="350"/>
        <v>11403457.838575123</v>
      </c>
      <c r="AZ881" s="365"/>
      <c r="BA881" s="377">
        <f t="shared" si="351"/>
        <v>0</v>
      </c>
      <c r="BB881" s="377">
        <f t="shared" si="352"/>
        <v>0</v>
      </c>
      <c r="BC881" s="377">
        <f t="shared" si="353"/>
        <v>0</v>
      </c>
      <c r="BD881" s="377">
        <f t="shared" si="354"/>
        <v>0</v>
      </c>
      <c r="BE881" s="377">
        <f t="shared" si="355"/>
        <v>0</v>
      </c>
      <c r="BF881" s="377">
        <f t="shared" si="356"/>
        <v>0</v>
      </c>
      <c r="BG881" s="328"/>
    </row>
    <row r="882" spans="2:59">
      <c r="B882" s="332">
        <v>867</v>
      </c>
      <c r="C882" s="350">
        <v>4357272.6729941256</v>
      </c>
      <c r="D882" s="350">
        <v>26914.754768123206</v>
      </c>
      <c r="E882" s="350">
        <v>25769.933263778905</v>
      </c>
      <c r="F882" s="350">
        <v>24594.306425042592</v>
      </c>
      <c r="G882" s="350">
        <v>23387.934301300385</v>
      </c>
      <c r="H882" s="348">
        <v>4457939.6017523697</v>
      </c>
      <c r="I882" s="369"/>
      <c r="J882" s="350">
        <v>6138238.9633499756</v>
      </c>
      <c r="K882" s="350">
        <v>1829883.0057780817</v>
      </c>
      <c r="L882" s="350">
        <v>1849336.3618777189</v>
      </c>
      <c r="M882" s="350">
        <v>1867304.7648199778</v>
      </c>
      <c r="N882" s="350">
        <v>1883738.032602567</v>
      </c>
      <c r="O882" s="348">
        <v>13568501.128428321</v>
      </c>
      <c r="P882" s="369"/>
      <c r="Q882" s="350">
        <f t="shared" si="357"/>
        <v>1780966.29035585</v>
      </c>
      <c r="R882" s="350">
        <f t="shared" si="358"/>
        <v>1802968.2510099586</v>
      </c>
      <c r="S882" s="350">
        <f t="shared" si="359"/>
        <v>1823566.42861394</v>
      </c>
      <c r="T882" s="350">
        <f t="shared" si="360"/>
        <v>1842710.4583949351</v>
      </c>
      <c r="U882" s="350">
        <f t="shared" si="361"/>
        <v>1860350.0983012666</v>
      </c>
      <c r="V882" s="350">
        <f t="shared" si="362"/>
        <v>9110561.5266759507</v>
      </c>
      <c r="W882" s="365"/>
      <c r="X882" s="377">
        <f t="shared" si="340"/>
        <v>0</v>
      </c>
      <c r="Y882" s="377">
        <f t="shared" si="341"/>
        <v>0</v>
      </c>
      <c r="Z882" s="377">
        <f t="shared" si="342"/>
        <v>0</v>
      </c>
      <c r="AA882" s="377">
        <f t="shared" si="343"/>
        <v>0</v>
      </c>
      <c r="AB882" s="377">
        <f t="shared" si="344"/>
        <v>0</v>
      </c>
      <c r="AC882" s="377">
        <f t="shared" si="345"/>
        <v>0</v>
      </c>
      <c r="AD882" s="376"/>
      <c r="AE882" s="332">
        <v>867</v>
      </c>
      <c r="AF882" s="350">
        <v>6794199.4434929658</v>
      </c>
      <c r="AG882" s="350">
        <v>41967.585136615984</v>
      </c>
      <c r="AH882" s="350">
        <v>40182.490144530246</v>
      </c>
      <c r="AI882" s="350">
        <v>38349.361072071209</v>
      </c>
      <c r="AJ882" s="350">
        <v>36468.291552924798</v>
      </c>
      <c r="AK882" s="348">
        <v>6951167.1713991072</v>
      </c>
      <c r="AL882" s="369"/>
      <c r="AM882" s="350">
        <v>9032027.3583557066</v>
      </c>
      <c r="AN882" s="350">
        <v>2307441.5043061748</v>
      </c>
      <c r="AO882" s="350">
        <v>2331538.5257174717</v>
      </c>
      <c r="AP882" s="350">
        <v>2353760.34057004</v>
      </c>
      <c r="AQ882" s="350">
        <v>2374043.9121248261</v>
      </c>
      <c r="AR882" s="348">
        <v>18398811.641074222</v>
      </c>
      <c r="AS882" s="369"/>
      <c r="AT882" s="350">
        <f t="shared" si="363"/>
        <v>2237827.9148627408</v>
      </c>
      <c r="AU882" s="350">
        <f t="shared" si="346"/>
        <v>2265473.9191695587</v>
      </c>
      <c r="AV882" s="350">
        <f t="shared" si="347"/>
        <v>2291356.0355729414</v>
      </c>
      <c r="AW882" s="350">
        <f t="shared" si="348"/>
        <v>2315410.9794979687</v>
      </c>
      <c r="AX882" s="350">
        <f t="shared" si="349"/>
        <v>2337575.6205719011</v>
      </c>
      <c r="AY882" s="350">
        <f t="shared" si="350"/>
        <v>11447644.469675114</v>
      </c>
      <c r="AZ882" s="365"/>
      <c r="BA882" s="377">
        <f t="shared" si="351"/>
        <v>0</v>
      </c>
      <c r="BB882" s="377">
        <f t="shared" si="352"/>
        <v>0</v>
      </c>
      <c r="BC882" s="377">
        <f t="shared" si="353"/>
        <v>0</v>
      </c>
      <c r="BD882" s="377">
        <f t="shared" si="354"/>
        <v>0</v>
      </c>
      <c r="BE882" s="377">
        <f t="shared" si="355"/>
        <v>0</v>
      </c>
      <c r="BF882" s="377">
        <f t="shared" si="356"/>
        <v>0</v>
      </c>
      <c r="BG882" s="328"/>
    </row>
    <row r="883" spans="2:59">
      <c r="B883" s="332">
        <v>868</v>
      </c>
      <c r="C883" s="350">
        <v>6598481.8085477501</v>
      </c>
      <c r="D883" s="350">
        <v>40758.642629757807</v>
      </c>
      <c r="E883" s="350">
        <v>39024.970115467113</v>
      </c>
      <c r="F883" s="350">
        <v>37244.647218273436</v>
      </c>
      <c r="G883" s="350">
        <v>35417.764874603505</v>
      </c>
      <c r="H883" s="348">
        <v>6750927.8333858512</v>
      </c>
      <c r="I883" s="369"/>
      <c r="J883" s="350">
        <v>9122515.1825785078</v>
      </c>
      <c r="K883" s="350">
        <v>2595973.787638329</v>
      </c>
      <c r="L883" s="350">
        <v>2623432.4069704353</v>
      </c>
      <c r="M883" s="350">
        <v>2648783.5184761994</v>
      </c>
      <c r="N883" s="350">
        <v>2671956.008703792</v>
      </c>
      <c r="O883" s="348">
        <v>19662660.904367261</v>
      </c>
      <c r="P883" s="369"/>
      <c r="Q883" s="350">
        <f t="shared" si="357"/>
        <v>2524033.3740307577</v>
      </c>
      <c r="R883" s="350">
        <f t="shared" si="358"/>
        <v>2555215.145008571</v>
      </c>
      <c r="S883" s="350">
        <f t="shared" si="359"/>
        <v>2584407.4368549683</v>
      </c>
      <c r="T883" s="350">
        <f t="shared" si="360"/>
        <v>2611538.8712579259</v>
      </c>
      <c r="U883" s="350">
        <f t="shared" si="361"/>
        <v>2636538.2438291884</v>
      </c>
      <c r="V883" s="350">
        <f t="shared" si="362"/>
        <v>12911733.070981409</v>
      </c>
      <c r="W883" s="365"/>
      <c r="X883" s="377">
        <f t="shared" si="340"/>
        <v>0</v>
      </c>
      <c r="Y883" s="377">
        <f t="shared" si="341"/>
        <v>0</v>
      </c>
      <c r="Z883" s="377">
        <f t="shared" si="342"/>
        <v>0</v>
      </c>
      <c r="AA883" s="377">
        <f t="shared" si="343"/>
        <v>0</v>
      </c>
      <c r="AB883" s="377">
        <f t="shared" si="344"/>
        <v>0</v>
      </c>
      <c r="AC883" s="377">
        <f t="shared" si="345"/>
        <v>0</v>
      </c>
      <c r="AD883" s="376"/>
      <c r="AE883" s="332">
        <v>868</v>
      </c>
      <c r="AF883" s="350">
        <v>4615039.5772039369</v>
      </c>
      <c r="AG883" s="350">
        <v>28506.97392327102</v>
      </c>
      <c r="AH883" s="350">
        <v>27294.42723457592</v>
      </c>
      <c r="AI883" s="350">
        <v>26049.252833988165</v>
      </c>
      <c r="AJ883" s="350">
        <v>24771.51432328796</v>
      </c>
      <c r="AK883" s="348">
        <v>4721661.7455190597</v>
      </c>
      <c r="AL883" s="369"/>
      <c r="AM883" s="350">
        <v>6472706.0793707352</v>
      </c>
      <c r="AN883" s="350">
        <v>1909122.9869878651</v>
      </c>
      <c r="AO883" s="350">
        <v>1929395.7119451342</v>
      </c>
      <c r="AP883" s="350">
        <v>1948119.0361249049</v>
      </c>
      <c r="AQ883" s="350">
        <v>1965240.6173215569</v>
      </c>
      <c r="AR883" s="348">
        <v>14224584.431750197</v>
      </c>
      <c r="AS883" s="369"/>
      <c r="AT883" s="350">
        <f t="shared" si="363"/>
        <v>1857666.5021667983</v>
      </c>
      <c r="AU883" s="350">
        <f t="shared" si="346"/>
        <v>1880616.013064594</v>
      </c>
      <c r="AV883" s="350">
        <f t="shared" si="347"/>
        <v>1902101.2847105584</v>
      </c>
      <c r="AW883" s="350">
        <f t="shared" si="348"/>
        <v>1922069.7832909168</v>
      </c>
      <c r="AX883" s="350">
        <f t="shared" si="349"/>
        <v>1940469.102998269</v>
      </c>
      <c r="AY883" s="350">
        <f t="shared" si="350"/>
        <v>9502922.6862311363</v>
      </c>
      <c r="AZ883" s="365"/>
      <c r="BA883" s="377">
        <f t="shared" si="351"/>
        <v>0</v>
      </c>
      <c r="BB883" s="377">
        <f t="shared" si="352"/>
        <v>0</v>
      </c>
      <c r="BC883" s="377">
        <f t="shared" si="353"/>
        <v>0</v>
      </c>
      <c r="BD883" s="377">
        <f t="shared" si="354"/>
        <v>0</v>
      </c>
      <c r="BE883" s="377">
        <f t="shared" si="355"/>
        <v>0</v>
      </c>
      <c r="BF883" s="377">
        <f t="shared" si="356"/>
        <v>0</v>
      </c>
      <c r="BG883" s="328"/>
    </row>
    <row r="884" spans="2:59">
      <c r="B884" s="332">
        <v>869</v>
      </c>
      <c r="C884" s="350">
        <v>5951863.9257293325</v>
      </c>
      <c r="D884" s="350">
        <v>36764.501557843483</v>
      </c>
      <c r="E884" s="350">
        <v>35200.720191729721</v>
      </c>
      <c r="F884" s="350">
        <v>33594.859944570773</v>
      </c>
      <c r="G884" s="350">
        <v>31947.002841477457</v>
      </c>
      <c r="H884" s="348">
        <v>6089371.0102649545</v>
      </c>
      <c r="I884" s="369"/>
      <c r="J884" s="350">
        <v>8778068.0732179843</v>
      </c>
      <c r="K884" s="350">
        <v>2897883.4213194167</v>
      </c>
      <c r="L884" s="350">
        <v>2929006.7577782264</v>
      </c>
      <c r="M884" s="350">
        <v>2957780.4373683352</v>
      </c>
      <c r="N884" s="350">
        <v>2984124.8133206558</v>
      </c>
      <c r="O884" s="348">
        <v>20546863.503004622</v>
      </c>
      <c r="P884" s="369"/>
      <c r="Q884" s="350">
        <f t="shared" si="357"/>
        <v>2826204.1474886518</v>
      </c>
      <c r="R884" s="350">
        <f t="shared" si="358"/>
        <v>2861118.9197615734</v>
      </c>
      <c r="S884" s="350">
        <f t="shared" si="359"/>
        <v>2893806.0375864967</v>
      </c>
      <c r="T884" s="350">
        <f t="shared" si="360"/>
        <v>2924185.5774237644</v>
      </c>
      <c r="U884" s="350">
        <f t="shared" si="361"/>
        <v>2952177.8104791786</v>
      </c>
      <c r="V884" s="350">
        <f t="shared" si="362"/>
        <v>14457492.492739666</v>
      </c>
      <c r="W884" s="365"/>
      <c r="X884" s="377">
        <f t="shared" si="340"/>
        <v>0</v>
      </c>
      <c r="Y884" s="377">
        <f t="shared" si="341"/>
        <v>0</v>
      </c>
      <c r="Z884" s="377">
        <f t="shared" si="342"/>
        <v>0</v>
      </c>
      <c r="AA884" s="377">
        <f t="shared" si="343"/>
        <v>0</v>
      </c>
      <c r="AB884" s="377">
        <f t="shared" si="344"/>
        <v>0</v>
      </c>
      <c r="AC884" s="377">
        <f t="shared" si="345"/>
        <v>0</v>
      </c>
      <c r="AD884" s="376"/>
      <c r="AE884" s="332">
        <v>869</v>
      </c>
      <c r="AF884" s="350">
        <v>7340177.7210454615</v>
      </c>
      <c r="AG884" s="350">
        <v>45340.07810454943</v>
      </c>
      <c r="AH884" s="350">
        <v>43411.533822058198</v>
      </c>
      <c r="AI884" s="350">
        <v>41431.095465875282</v>
      </c>
      <c r="AJ884" s="350">
        <v>39398.864194034424</v>
      </c>
      <c r="AK884" s="348">
        <v>7509759.2926319782</v>
      </c>
      <c r="AL884" s="369"/>
      <c r="AM884" s="350">
        <v>9540840.095319612</v>
      </c>
      <c r="AN884" s="350">
        <v>2273189.3156191497</v>
      </c>
      <c r="AO884" s="350">
        <v>2296713.0410832353</v>
      </c>
      <c r="AP884" s="350">
        <v>2318388.0454264218</v>
      </c>
      <c r="AQ884" s="350">
        <v>2338152.3478946174</v>
      </c>
      <c r="AR884" s="348">
        <v>18767282.845343035</v>
      </c>
      <c r="AS884" s="369"/>
      <c r="AT884" s="350">
        <f t="shared" si="363"/>
        <v>2200662.3742741505</v>
      </c>
      <c r="AU884" s="350">
        <f t="shared" si="346"/>
        <v>2227849.2375146002</v>
      </c>
      <c r="AV884" s="350">
        <f t="shared" si="347"/>
        <v>2253301.5072611771</v>
      </c>
      <c r="AW884" s="350">
        <f t="shared" si="348"/>
        <v>2276956.9499605466</v>
      </c>
      <c r="AX884" s="350">
        <f t="shared" si="349"/>
        <v>2298753.4837005828</v>
      </c>
      <c r="AY884" s="350">
        <f t="shared" si="350"/>
        <v>11257523.552711057</v>
      </c>
      <c r="AZ884" s="365"/>
      <c r="BA884" s="377">
        <f t="shared" si="351"/>
        <v>0</v>
      </c>
      <c r="BB884" s="377">
        <f t="shared" si="352"/>
        <v>0</v>
      </c>
      <c r="BC884" s="377">
        <f t="shared" si="353"/>
        <v>0</v>
      </c>
      <c r="BD884" s="377">
        <f t="shared" si="354"/>
        <v>0</v>
      </c>
      <c r="BE884" s="377">
        <f t="shared" si="355"/>
        <v>0</v>
      </c>
      <c r="BF884" s="377">
        <f t="shared" si="356"/>
        <v>0</v>
      </c>
      <c r="BG884" s="328"/>
    </row>
    <row r="885" spans="2:59">
      <c r="B885" s="332">
        <v>870</v>
      </c>
      <c r="C885" s="350">
        <v>6056883.1182953613</v>
      </c>
      <c r="D885" s="350">
        <v>37413.202253436124</v>
      </c>
      <c r="E885" s="350">
        <v>35821.828345143986</v>
      </c>
      <c r="F885" s="350">
        <v>34187.63308417458</v>
      </c>
      <c r="G885" s="350">
        <v>32510.69994295427</v>
      </c>
      <c r="H885" s="348">
        <v>6196816.4819210693</v>
      </c>
      <c r="I885" s="369"/>
      <c r="J885" s="350">
        <v>8340344.3364931792</v>
      </c>
      <c r="K885" s="350">
        <v>2349084.1761047035</v>
      </c>
      <c r="L885" s="350">
        <v>2373902.7011254076</v>
      </c>
      <c r="M885" s="350">
        <v>2396813.9730086741</v>
      </c>
      <c r="N885" s="350">
        <v>2417753.6575132804</v>
      </c>
      <c r="O885" s="348">
        <v>17877898.844245244</v>
      </c>
      <c r="P885" s="369"/>
      <c r="Q885" s="350">
        <f t="shared" si="357"/>
        <v>2283461.2181978179</v>
      </c>
      <c r="R885" s="350">
        <f t="shared" si="358"/>
        <v>2311670.9738512672</v>
      </c>
      <c r="S885" s="350">
        <f t="shared" si="359"/>
        <v>2338080.8727802634</v>
      </c>
      <c r="T885" s="350">
        <f t="shared" si="360"/>
        <v>2362626.3399244994</v>
      </c>
      <c r="U885" s="350">
        <f t="shared" si="361"/>
        <v>2385242.957570326</v>
      </c>
      <c r="V885" s="350">
        <f t="shared" si="362"/>
        <v>11681082.362324174</v>
      </c>
      <c r="W885" s="365"/>
      <c r="X885" s="377">
        <f t="shared" si="340"/>
        <v>0</v>
      </c>
      <c r="Y885" s="377">
        <f t="shared" si="341"/>
        <v>0</v>
      </c>
      <c r="Z885" s="377">
        <f t="shared" si="342"/>
        <v>0</v>
      </c>
      <c r="AA885" s="377">
        <f t="shared" si="343"/>
        <v>0</v>
      </c>
      <c r="AB885" s="377">
        <f t="shared" si="344"/>
        <v>0</v>
      </c>
      <c r="AC885" s="377">
        <f t="shared" si="345"/>
        <v>0</v>
      </c>
      <c r="AD885" s="376"/>
      <c r="AE885" s="332">
        <v>870</v>
      </c>
      <c r="AF885" s="350">
        <v>6834203.0877765836</v>
      </c>
      <c r="AG885" s="350">
        <v>42214.686559116635</v>
      </c>
      <c r="AH885" s="350">
        <v>40419.081085898099</v>
      </c>
      <c r="AI885" s="350">
        <v>38575.158711894401</v>
      </c>
      <c r="AJ885" s="350">
        <v>36683.013622104263</v>
      </c>
      <c r="AK885" s="348">
        <v>6992095.0277555967</v>
      </c>
      <c r="AL885" s="369"/>
      <c r="AM885" s="350">
        <v>9275548.0649426356</v>
      </c>
      <c r="AN885" s="350">
        <v>2513719.9067469398</v>
      </c>
      <c r="AO885" s="350">
        <v>2540160.2413387103</v>
      </c>
      <c r="AP885" s="350">
        <v>2564558.916144473</v>
      </c>
      <c r="AQ885" s="350">
        <v>2586847.1536467262</v>
      </c>
      <c r="AR885" s="348">
        <v>19480834.282819483</v>
      </c>
      <c r="AS885" s="369"/>
      <c r="AT885" s="350">
        <f t="shared" si="363"/>
        <v>2441344.977166052</v>
      </c>
      <c r="AU885" s="350">
        <f t="shared" si="346"/>
        <v>2471505.2201878233</v>
      </c>
      <c r="AV885" s="350">
        <f t="shared" si="347"/>
        <v>2499741.1602528123</v>
      </c>
      <c r="AW885" s="350">
        <f t="shared" si="348"/>
        <v>2525983.7574325786</v>
      </c>
      <c r="AX885" s="350">
        <f t="shared" si="349"/>
        <v>2550164.140024622</v>
      </c>
      <c r="AY885" s="350">
        <f t="shared" si="350"/>
        <v>12488739.255063888</v>
      </c>
      <c r="AZ885" s="365"/>
      <c r="BA885" s="377">
        <f t="shared" si="351"/>
        <v>0</v>
      </c>
      <c r="BB885" s="377">
        <f t="shared" si="352"/>
        <v>0</v>
      </c>
      <c r="BC885" s="377">
        <f t="shared" si="353"/>
        <v>0</v>
      </c>
      <c r="BD885" s="377">
        <f t="shared" si="354"/>
        <v>0</v>
      </c>
      <c r="BE885" s="377">
        <f t="shared" si="355"/>
        <v>0</v>
      </c>
      <c r="BF885" s="377">
        <f t="shared" si="356"/>
        <v>0</v>
      </c>
      <c r="BG885" s="328"/>
    </row>
    <row r="886" spans="2:59">
      <c r="B886" s="332">
        <v>871</v>
      </c>
      <c r="C886" s="350">
        <v>5303473.192634617</v>
      </c>
      <c r="D886" s="350">
        <v>32759.409637999455</v>
      </c>
      <c r="E886" s="350">
        <v>31365.985215361579</v>
      </c>
      <c r="F886" s="350">
        <v>29935.065947347233</v>
      </c>
      <c r="G886" s="350">
        <v>28466.724923325397</v>
      </c>
      <c r="H886" s="348">
        <v>5426000.378358651</v>
      </c>
      <c r="I886" s="369"/>
      <c r="J886" s="350">
        <v>7708635.0415666467</v>
      </c>
      <c r="K886" s="350">
        <v>2467634.4971942101</v>
      </c>
      <c r="L886" s="350">
        <v>2494058.5284970952</v>
      </c>
      <c r="M886" s="350">
        <v>2518481.2653669892</v>
      </c>
      <c r="N886" s="350">
        <v>2540834.9299369827</v>
      </c>
      <c r="O886" s="348">
        <v>17729644.262561925</v>
      </c>
      <c r="P886" s="369"/>
      <c r="Q886" s="350">
        <f t="shared" si="357"/>
        <v>2405161.8489320297</v>
      </c>
      <c r="R886" s="350">
        <f t="shared" si="358"/>
        <v>2434875.0875562108</v>
      </c>
      <c r="S886" s="350">
        <f t="shared" si="359"/>
        <v>2462692.5432817335</v>
      </c>
      <c r="T886" s="350">
        <f t="shared" si="360"/>
        <v>2488546.1994196419</v>
      </c>
      <c r="U886" s="350">
        <f t="shared" si="361"/>
        <v>2512368.2050136575</v>
      </c>
      <c r="V886" s="350">
        <f t="shared" si="362"/>
        <v>12303643.884203274</v>
      </c>
      <c r="W886" s="365"/>
      <c r="X886" s="377">
        <f t="shared" si="340"/>
        <v>0</v>
      </c>
      <c r="Y886" s="377">
        <f t="shared" si="341"/>
        <v>0</v>
      </c>
      <c r="Z886" s="377">
        <f t="shared" si="342"/>
        <v>0</v>
      </c>
      <c r="AA886" s="377">
        <f t="shared" si="343"/>
        <v>0</v>
      </c>
      <c r="AB886" s="377">
        <f t="shared" si="344"/>
        <v>0</v>
      </c>
      <c r="AC886" s="377">
        <f t="shared" si="345"/>
        <v>0</v>
      </c>
      <c r="AD886" s="376"/>
      <c r="AE886" s="332">
        <v>871</v>
      </c>
      <c r="AF886" s="350">
        <v>7794997.4599027568</v>
      </c>
      <c r="AG886" s="350">
        <v>48149.487258794841</v>
      </c>
      <c r="AH886" s="350">
        <v>46101.444506337248</v>
      </c>
      <c r="AI886" s="350">
        <v>43998.292165530584</v>
      </c>
      <c r="AJ886" s="350">
        <v>41840.137662473433</v>
      </c>
      <c r="AK886" s="348">
        <v>7975086.8214958925</v>
      </c>
      <c r="AL886" s="369"/>
      <c r="AM886" s="350">
        <v>10151382.035077058</v>
      </c>
      <c r="AN886" s="350">
        <v>2433644.7092710948</v>
      </c>
      <c r="AO886" s="350">
        <v>2458849.9774013646</v>
      </c>
      <c r="AP886" s="350">
        <v>2482076.1626942316</v>
      </c>
      <c r="AQ886" s="350">
        <v>2503256.8976535909</v>
      </c>
      <c r="AR886" s="348">
        <v>20029209.78209734</v>
      </c>
      <c r="AS886" s="369"/>
      <c r="AT886" s="350">
        <f t="shared" si="363"/>
        <v>2356384.5751743009</v>
      </c>
      <c r="AU886" s="350">
        <f t="shared" si="346"/>
        <v>2385495.2220123</v>
      </c>
      <c r="AV886" s="350">
        <f t="shared" si="347"/>
        <v>2412748.5328950272</v>
      </c>
      <c r="AW886" s="350">
        <f t="shared" si="348"/>
        <v>2438077.8705287012</v>
      </c>
      <c r="AX886" s="350">
        <f t="shared" si="349"/>
        <v>2461416.7599911173</v>
      </c>
      <c r="AY886" s="350">
        <f t="shared" si="350"/>
        <v>12054122.960601447</v>
      </c>
      <c r="AZ886" s="365"/>
      <c r="BA886" s="377">
        <f t="shared" si="351"/>
        <v>0</v>
      </c>
      <c r="BB886" s="377">
        <f t="shared" si="352"/>
        <v>0</v>
      </c>
      <c r="BC886" s="377">
        <f t="shared" si="353"/>
        <v>0</v>
      </c>
      <c r="BD886" s="377">
        <f t="shared" si="354"/>
        <v>0</v>
      </c>
      <c r="BE886" s="377">
        <f t="shared" si="355"/>
        <v>0</v>
      </c>
      <c r="BF886" s="377">
        <f t="shared" si="356"/>
        <v>0</v>
      </c>
      <c r="BG886" s="328"/>
    </row>
    <row r="887" spans="2:59">
      <c r="B887" s="332">
        <v>872</v>
      </c>
      <c r="C887" s="350">
        <v>3548546.8787297374</v>
      </c>
      <c r="D887" s="350">
        <v>21919.277537104637</v>
      </c>
      <c r="E887" s="350">
        <v>20986.939104138455</v>
      </c>
      <c r="F887" s="350">
        <v>20029.51291986425</v>
      </c>
      <c r="G887" s="350">
        <v>19047.047888280496</v>
      </c>
      <c r="H887" s="348">
        <v>3630529.656179125</v>
      </c>
      <c r="I887" s="369"/>
      <c r="J887" s="350">
        <v>4796097.1883868352</v>
      </c>
      <c r="K887" s="350">
        <v>1284881.7558442974</v>
      </c>
      <c r="L887" s="350">
        <v>1298378.2491008309</v>
      </c>
      <c r="M887" s="350">
        <v>1310831.037590859</v>
      </c>
      <c r="N887" s="350">
        <v>1322204.9761288133</v>
      </c>
      <c r="O887" s="348">
        <v>10012393.207051635</v>
      </c>
      <c r="P887" s="369"/>
      <c r="Q887" s="350">
        <f t="shared" si="357"/>
        <v>1247550.3096570978</v>
      </c>
      <c r="R887" s="350">
        <f t="shared" si="358"/>
        <v>1262962.4783071927</v>
      </c>
      <c r="S887" s="350">
        <f t="shared" si="359"/>
        <v>1277391.3099966925</v>
      </c>
      <c r="T887" s="350">
        <f t="shared" si="360"/>
        <v>1290801.5246709948</v>
      </c>
      <c r="U887" s="350">
        <f t="shared" si="361"/>
        <v>1303157.9282405328</v>
      </c>
      <c r="V887" s="350">
        <f t="shared" si="362"/>
        <v>6381863.5508725103</v>
      </c>
      <c r="W887" s="365"/>
      <c r="X887" s="377">
        <f t="shared" si="340"/>
        <v>0</v>
      </c>
      <c r="Y887" s="377">
        <f t="shared" si="341"/>
        <v>0</v>
      </c>
      <c r="Z887" s="377">
        <f t="shared" si="342"/>
        <v>0</v>
      </c>
      <c r="AA887" s="377">
        <f t="shared" si="343"/>
        <v>0</v>
      </c>
      <c r="AB887" s="377">
        <f t="shared" si="344"/>
        <v>0</v>
      </c>
      <c r="AC887" s="377">
        <f t="shared" si="345"/>
        <v>0</v>
      </c>
      <c r="AD887" s="376"/>
      <c r="AE887" s="332">
        <v>872</v>
      </c>
      <c r="AF887" s="350">
        <v>5896336.5631550448</v>
      </c>
      <c r="AG887" s="350">
        <v>36421.510549760285</v>
      </c>
      <c r="AH887" s="350">
        <v>34872.318336889934</v>
      </c>
      <c r="AI887" s="350">
        <v>33281.4398139939</v>
      </c>
      <c r="AJ887" s="350">
        <v>31648.956240937747</v>
      </c>
      <c r="AK887" s="348">
        <v>6032560.7880966272</v>
      </c>
      <c r="AL887" s="369"/>
      <c r="AM887" s="350">
        <v>7957845.3827162152</v>
      </c>
      <c r="AN887" s="350">
        <v>2123398.0979073783</v>
      </c>
      <c r="AO887" s="350">
        <v>2145691.7628150694</v>
      </c>
      <c r="AP887" s="350">
        <v>2166260.5323715182</v>
      </c>
      <c r="AQ887" s="350">
        <v>2185046.3315238049</v>
      </c>
      <c r="AR887" s="348">
        <v>16578242.107333988</v>
      </c>
      <c r="AS887" s="369"/>
      <c r="AT887" s="350">
        <f t="shared" si="363"/>
        <v>2061508.8195611704</v>
      </c>
      <c r="AU887" s="350">
        <f t="shared" si="346"/>
        <v>2086976.5873576181</v>
      </c>
      <c r="AV887" s="350">
        <f t="shared" si="347"/>
        <v>2110819.4444781793</v>
      </c>
      <c r="AW887" s="350">
        <f t="shared" si="348"/>
        <v>2132979.0925575243</v>
      </c>
      <c r="AX887" s="350">
        <f t="shared" si="349"/>
        <v>2153397.3752828673</v>
      </c>
      <c r="AY887" s="350">
        <f t="shared" si="350"/>
        <v>10545681.319237361</v>
      </c>
      <c r="AZ887" s="365"/>
      <c r="BA887" s="377">
        <f t="shared" si="351"/>
        <v>0</v>
      </c>
      <c r="BB887" s="377">
        <f t="shared" si="352"/>
        <v>0</v>
      </c>
      <c r="BC887" s="377">
        <f t="shared" si="353"/>
        <v>0</v>
      </c>
      <c r="BD887" s="377">
        <f t="shared" si="354"/>
        <v>0</v>
      </c>
      <c r="BE887" s="377">
        <f t="shared" si="355"/>
        <v>0</v>
      </c>
      <c r="BF887" s="377">
        <f t="shared" si="356"/>
        <v>0</v>
      </c>
      <c r="BG887" s="328"/>
    </row>
    <row r="888" spans="2:59">
      <c r="B888" s="332">
        <v>873</v>
      </c>
      <c r="C888" s="350">
        <v>6907048.8445077259</v>
      </c>
      <c r="D888" s="350">
        <v>42664.652816788213</v>
      </c>
      <c r="E888" s="350">
        <v>40849.907988502244</v>
      </c>
      <c r="F888" s="350">
        <v>38986.331249687741</v>
      </c>
      <c r="G888" s="350">
        <v>37074.017789253456</v>
      </c>
      <c r="H888" s="348">
        <v>7066623.7543519577</v>
      </c>
      <c r="I888" s="369"/>
      <c r="J888" s="350">
        <v>9095415.2990094796</v>
      </c>
      <c r="K888" s="350">
        <v>2258066.06743511</v>
      </c>
      <c r="L888" s="350">
        <v>2281561.381048982</v>
      </c>
      <c r="M888" s="350">
        <v>2303221.0752466125</v>
      </c>
      <c r="N888" s="350">
        <v>2322983.5101795262</v>
      </c>
      <c r="O888" s="348">
        <v>18261247.332919713</v>
      </c>
      <c r="P888" s="369"/>
      <c r="Q888" s="350">
        <f t="shared" si="357"/>
        <v>2188366.4545017537</v>
      </c>
      <c r="R888" s="350">
        <f t="shared" si="358"/>
        <v>2215401.4146183217</v>
      </c>
      <c r="S888" s="350">
        <f t="shared" si="359"/>
        <v>2240711.4730604799</v>
      </c>
      <c r="T888" s="350">
        <f t="shared" si="360"/>
        <v>2264234.7439969247</v>
      </c>
      <c r="U888" s="350">
        <f t="shared" si="361"/>
        <v>2285909.4923902727</v>
      </c>
      <c r="V888" s="350">
        <f t="shared" si="362"/>
        <v>11194623.578567754</v>
      </c>
      <c r="W888" s="365"/>
      <c r="X888" s="377">
        <f t="shared" si="340"/>
        <v>0</v>
      </c>
      <c r="Y888" s="377">
        <f t="shared" si="341"/>
        <v>0</v>
      </c>
      <c r="Z888" s="377">
        <f t="shared" si="342"/>
        <v>0</v>
      </c>
      <c r="AA888" s="377">
        <f t="shared" si="343"/>
        <v>0</v>
      </c>
      <c r="AB888" s="377">
        <f t="shared" si="344"/>
        <v>0</v>
      </c>
      <c r="AC888" s="377">
        <f t="shared" si="345"/>
        <v>0</v>
      </c>
      <c r="AD888" s="376"/>
      <c r="AE888" s="332">
        <v>873</v>
      </c>
      <c r="AF888" s="350">
        <v>5114253.9913039887</v>
      </c>
      <c r="AG888" s="350">
        <v>31590.607778800397</v>
      </c>
      <c r="AH888" s="350">
        <v>30246.898447911903</v>
      </c>
      <c r="AI888" s="350">
        <v>28867.032026066838</v>
      </c>
      <c r="AJ888" s="350">
        <v>27451.078994922522</v>
      </c>
      <c r="AK888" s="348">
        <v>5232409.6085516904</v>
      </c>
      <c r="AL888" s="369"/>
      <c r="AM888" s="350">
        <v>7084348.1620671069</v>
      </c>
      <c r="AN888" s="350">
        <v>2026023.214740708</v>
      </c>
      <c r="AO888" s="350">
        <v>2047465.0852636853</v>
      </c>
      <c r="AP888" s="350">
        <v>2067262.2291427576</v>
      </c>
      <c r="AQ888" s="350">
        <v>2085359.1394049888</v>
      </c>
      <c r="AR888" s="348">
        <v>15310457.830619246</v>
      </c>
      <c r="AS888" s="369"/>
      <c r="AT888" s="350">
        <f t="shared" si="363"/>
        <v>1970094.1707631182</v>
      </c>
      <c r="AU888" s="350">
        <f t="shared" si="346"/>
        <v>1994432.6069619076</v>
      </c>
      <c r="AV888" s="350">
        <f t="shared" si="347"/>
        <v>2017218.1868157734</v>
      </c>
      <c r="AW888" s="350">
        <f t="shared" si="348"/>
        <v>2038395.1971166907</v>
      </c>
      <c r="AX888" s="350">
        <f t="shared" si="349"/>
        <v>2057908.0604100663</v>
      </c>
      <c r="AY888" s="350">
        <f t="shared" si="350"/>
        <v>10078048.222067555</v>
      </c>
      <c r="AZ888" s="365"/>
      <c r="BA888" s="377">
        <f t="shared" si="351"/>
        <v>0</v>
      </c>
      <c r="BB888" s="377">
        <f t="shared" si="352"/>
        <v>0</v>
      </c>
      <c r="BC888" s="377">
        <f t="shared" si="353"/>
        <v>0</v>
      </c>
      <c r="BD888" s="377">
        <f t="shared" si="354"/>
        <v>0</v>
      </c>
      <c r="BE888" s="377">
        <f t="shared" si="355"/>
        <v>0</v>
      </c>
      <c r="BF888" s="377">
        <f t="shared" si="356"/>
        <v>0</v>
      </c>
      <c r="BG888" s="328"/>
    </row>
    <row r="889" spans="2:59">
      <c r="B889" s="332">
        <v>874</v>
      </c>
      <c r="C889" s="350">
        <v>6194275.5614103256</v>
      </c>
      <c r="D889" s="350">
        <v>38261.871637005439</v>
      </c>
      <c r="E889" s="350">
        <v>36634.399500482017</v>
      </c>
      <c r="F889" s="350">
        <v>34963.134665106496</v>
      </c>
      <c r="G889" s="350">
        <v>33248.162496762205</v>
      </c>
      <c r="H889" s="348">
        <v>6337383.1297096815</v>
      </c>
      <c r="I889" s="369"/>
      <c r="J889" s="350">
        <v>8573988.180183325</v>
      </c>
      <c r="K889" s="350">
        <v>2447373.3306294149</v>
      </c>
      <c r="L889" s="350">
        <v>2473268.9752600985</v>
      </c>
      <c r="M889" s="350">
        <v>2497177.806741369</v>
      </c>
      <c r="N889" s="350">
        <v>2519032.7774197911</v>
      </c>
      <c r="O889" s="348">
        <v>18510841.070233997</v>
      </c>
      <c r="P889" s="369"/>
      <c r="Q889" s="350">
        <f t="shared" si="357"/>
        <v>2379712.6187729994</v>
      </c>
      <c r="R889" s="350">
        <f t="shared" si="358"/>
        <v>2409111.4589924095</v>
      </c>
      <c r="S889" s="350">
        <f t="shared" si="359"/>
        <v>2436634.5757596167</v>
      </c>
      <c r="T889" s="350">
        <f t="shared" si="360"/>
        <v>2462214.6720762625</v>
      </c>
      <c r="U889" s="350">
        <f t="shared" si="361"/>
        <v>2485784.6149230287</v>
      </c>
      <c r="V889" s="350">
        <f t="shared" si="362"/>
        <v>12173457.940524315</v>
      </c>
      <c r="W889" s="365"/>
      <c r="X889" s="377">
        <f t="shared" si="340"/>
        <v>0</v>
      </c>
      <c r="Y889" s="377">
        <f t="shared" si="341"/>
        <v>0</v>
      </c>
      <c r="Z889" s="377">
        <f t="shared" si="342"/>
        <v>0</v>
      </c>
      <c r="AA889" s="377">
        <f t="shared" si="343"/>
        <v>0</v>
      </c>
      <c r="AB889" s="377">
        <f t="shared" si="344"/>
        <v>0</v>
      </c>
      <c r="AC889" s="377">
        <f t="shared" si="345"/>
        <v>0</v>
      </c>
      <c r="AD889" s="376"/>
      <c r="AE889" s="332">
        <v>874</v>
      </c>
      <c r="AF889" s="350">
        <v>4852773.8477888051</v>
      </c>
      <c r="AG889" s="350">
        <v>29975.452045475246</v>
      </c>
      <c r="AH889" s="350">
        <v>28700.443508346161</v>
      </c>
      <c r="AI889" s="350">
        <v>27391.126509862679</v>
      </c>
      <c r="AJ889" s="350">
        <v>26047.567928119584</v>
      </c>
      <c r="AK889" s="348">
        <v>4964888.4377806094</v>
      </c>
      <c r="AL889" s="369"/>
      <c r="AM889" s="350">
        <v>6151221.761559682</v>
      </c>
      <c r="AN889" s="350">
        <v>1344464.3206984838</v>
      </c>
      <c r="AO889" s="350">
        <v>1358206.8118648618</v>
      </c>
      <c r="AP889" s="350">
        <v>1370854.8199796632</v>
      </c>
      <c r="AQ889" s="350">
        <v>1382371.7819816489</v>
      </c>
      <c r="AR889" s="348">
        <v>11607119.49608434</v>
      </c>
      <c r="AS889" s="369"/>
      <c r="AT889" s="350">
        <f t="shared" si="363"/>
        <v>1298447.9137708768</v>
      </c>
      <c r="AU889" s="350">
        <f t="shared" si="346"/>
        <v>1314488.8686530087</v>
      </c>
      <c r="AV889" s="350">
        <f t="shared" si="347"/>
        <v>1329506.3683565157</v>
      </c>
      <c r="AW889" s="350">
        <f t="shared" si="348"/>
        <v>1343463.6934698005</v>
      </c>
      <c r="AX889" s="350">
        <f t="shared" si="349"/>
        <v>1356324.2140535293</v>
      </c>
      <c r="AY889" s="350">
        <f t="shared" si="350"/>
        <v>6642231.0583037306</v>
      </c>
      <c r="AZ889" s="365"/>
      <c r="BA889" s="377">
        <f t="shared" si="351"/>
        <v>0</v>
      </c>
      <c r="BB889" s="377">
        <f t="shared" si="352"/>
        <v>0</v>
      </c>
      <c r="BC889" s="377">
        <f t="shared" si="353"/>
        <v>0</v>
      </c>
      <c r="BD889" s="377">
        <f t="shared" si="354"/>
        <v>0</v>
      </c>
      <c r="BE889" s="377">
        <f t="shared" si="355"/>
        <v>0</v>
      </c>
      <c r="BF889" s="377">
        <f t="shared" si="356"/>
        <v>0</v>
      </c>
      <c r="BG889" s="328"/>
    </row>
    <row r="890" spans="2:59">
      <c r="B890" s="332">
        <v>875</v>
      </c>
      <c r="C890" s="350">
        <v>6402207.0417065378</v>
      </c>
      <c r="D890" s="350">
        <v>39546.258734336123</v>
      </c>
      <c r="E890" s="350">
        <v>37864.155077608004</v>
      </c>
      <c r="F890" s="350">
        <v>36136.788674301206</v>
      </c>
      <c r="G890" s="350">
        <v>34364.247755893077</v>
      </c>
      <c r="H890" s="348">
        <v>6550118.4919486772</v>
      </c>
      <c r="I890" s="369"/>
      <c r="J890" s="350">
        <v>8442587.8126527425</v>
      </c>
      <c r="K890" s="350">
        <v>2105133.7827139106</v>
      </c>
      <c r="L890" s="350">
        <v>2127050.1748441523</v>
      </c>
      <c r="M890" s="350">
        <v>2147255.3461059816</v>
      </c>
      <c r="N890" s="350">
        <v>2165691.8244521087</v>
      </c>
      <c r="O890" s="348">
        <v>16987718.940768898</v>
      </c>
      <c r="P890" s="369"/>
      <c r="Q890" s="350">
        <f t="shared" si="357"/>
        <v>2040380.7709462047</v>
      </c>
      <c r="R890" s="350">
        <f t="shared" si="358"/>
        <v>2065587.5239795744</v>
      </c>
      <c r="S890" s="350">
        <f t="shared" si="359"/>
        <v>2089186.0197665442</v>
      </c>
      <c r="T890" s="350">
        <f t="shared" si="360"/>
        <v>2111118.5574316806</v>
      </c>
      <c r="U890" s="350">
        <f t="shared" si="361"/>
        <v>2131327.5766962157</v>
      </c>
      <c r="V890" s="350">
        <f t="shared" si="362"/>
        <v>10437600.44882022</v>
      </c>
      <c r="W890" s="365"/>
      <c r="X890" s="377">
        <f t="shared" si="340"/>
        <v>0</v>
      </c>
      <c r="Y890" s="377">
        <f t="shared" si="341"/>
        <v>0</v>
      </c>
      <c r="Z890" s="377">
        <f t="shared" si="342"/>
        <v>0</v>
      </c>
      <c r="AA890" s="377">
        <f t="shared" si="343"/>
        <v>0</v>
      </c>
      <c r="AB890" s="377">
        <f t="shared" si="344"/>
        <v>0</v>
      </c>
      <c r="AC890" s="377">
        <f t="shared" si="345"/>
        <v>0</v>
      </c>
      <c r="AD890" s="376"/>
      <c r="AE890" s="332">
        <v>875</v>
      </c>
      <c r="AF890" s="350">
        <v>6114949.4998206319</v>
      </c>
      <c r="AG890" s="350">
        <v>37771.876712510624</v>
      </c>
      <c r="AH890" s="350">
        <v>36165.246553980462</v>
      </c>
      <c r="AI890" s="350">
        <v>34515.384521232649</v>
      </c>
      <c r="AJ890" s="350">
        <v>32822.374886926933</v>
      </c>
      <c r="AK890" s="348">
        <v>6256224.3824952831</v>
      </c>
      <c r="AL890" s="369"/>
      <c r="AM890" s="350">
        <v>8051293.3577553369</v>
      </c>
      <c r="AN890" s="350">
        <v>1998037.2213175723</v>
      </c>
      <c r="AO890" s="350">
        <v>2018825.8239627734</v>
      </c>
      <c r="AP890" s="350">
        <v>2037990.1820998774</v>
      </c>
      <c r="AQ890" s="350">
        <v>2055475.754662083</v>
      </c>
      <c r="AR890" s="348">
        <v>16161622.339797644</v>
      </c>
      <c r="AS890" s="369"/>
      <c r="AT890" s="350">
        <f t="shared" si="363"/>
        <v>1936343.857934705</v>
      </c>
      <c r="AU890" s="350">
        <f t="shared" si="346"/>
        <v>1960265.3446050617</v>
      </c>
      <c r="AV890" s="350">
        <f t="shared" si="347"/>
        <v>1982660.5774087929</v>
      </c>
      <c r="AW890" s="350">
        <f t="shared" si="348"/>
        <v>2003474.7975786447</v>
      </c>
      <c r="AX890" s="350">
        <f t="shared" si="349"/>
        <v>2022653.379775156</v>
      </c>
      <c r="AY890" s="350">
        <f t="shared" si="350"/>
        <v>9905397.9573023617</v>
      </c>
      <c r="AZ890" s="365"/>
      <c r="BA890" s="377">
        <f t="shared" si="351"/>
        <v>0</v>
      </c>
      <c r="BB890" s="377">
        <f t="shared" si="352"/>
        <v>0</v>
      </c>
      <c r="BC890" s="377">
        <f t="shared" si="353"/>
        <v>0</v>
      </c>
      <c r="BD890" s="377">
        <f t="shared" si="354"/>
        <v>0</v>
      </c>
      <c r="BE890" s="377">
        <f t="shared" si="355"/>
        <v>0</v>
      </c>
      <c r="BF890" s="377">
        <f t="shared" si="356"/>
        <v>0</v>
      </c>
      <c r="BG890" s="328"/>
    </row>
    <row r="891" spans="2:59">
      <c r="B891" s="332">
        <v>876</v>
      </c>
      <c r="C891" s="350">
        <v>4927648.5933930697</v>
      </c>
      <c r="D891" s="350">
        <v>30437.951312219258</v>
      </c>
      <c r="E891" s="350">
        <v>29143.270327361333</v>
      </c>
      <c r="F891" s="350">
        <v>27813.751526723645</v>
      </c>
      <c r="G891" s="350">
        <v>26449.462820277295</v>
      </c>
      <c r="H891" s="348">
        <v>5041493.029379651</v>
      </c>
      <c r="I891" s="369"/>
      <c r="J891" s="350">
        <v>6890714.0391442869</v>
      </c>
      <c r="K891" s="350">
        <v>2017755.0007758397</v>
      </c>
      <c r="L891" s="350">
        <v>2039164.6072998377</v>
      </c>
      <c r="M891" s="350">
        <v>2058936.5453650672</v>
      </c>
      <c r="N891" s="350">
        <v>2077015.5037111458</v>
      </c>
      <c r="O891" s="348">
        <v>15083585.696296178</v>
      </c>
      <c r="P891" s="369"/>
      <c r="Q891" s="350">
        <f t="shared" si="357"/>
        <v>1963065.4457512172</v>
      </c>
      <c r="R891" s="350">
        <f t="shared" si="358"/>
        <v>1987317.0494636204</v>
      </c>
      <c r="S891" s="350">
        <f t="shared" si="359"/>
        <v>2010021.3369724764</v>
      </c>
      <c r="T891" s="350">
        <f t="shared" si="360"/>
        <v>2031122.7938383436</v>
      </c>
      <c r="U891" s="350">
        <f t="shared" si="361"/>
        <v>2050566.0408908685</v>
      </c>
      <c r="V891" s="350">
        <f t="shared" si="362"/>
        <v>10042092.666916527</v>
      </c>
      <c r="W891" s="365"/>
      <c r="X891" s="377">
        <f t="shared" si="340"/>
        <v>0</v>
      </c>
      <c r="Y891" s="377">
        <f t="shared" si="341"/>
        <v>0</v>
      </c>
      <c r="Z891" s="377">
        <f t="shared" si="342"/>
        <v>0</v>
      </c>
      <c r="AA891" s="377">
        <f t="shared" si="343"/>
        <v>0</v>
      </c>
      <c r="AB891" s="377">
        <f t="shared" si="344"/>
        <v>0</v>
      </c>
      <c r="AC891" s="377">
        <f t="shared" si="345"/>
        <v>0</v>
      </c>
      <c r="AD891" s="376"/>
      <c r="AE891" s="332">
        <v>876</v>
      </c>
      <c r="AF891" s="350">
        <v>4963583.356587505</v>
      </c>
      <c r="AG891" s="350">
        <v>30659.919366920309</v>
      </c>
      <c r="AH891" s="350">
        <v>29355.796950977892</v>
      </c>
      <c r="AI891" s="350">
        <v>28016.582665292222</v>
      </c>
      <c r="AJ891" s="350">
        <v>26642.344915064299</v>
      </c>
      <c r="AK891" s="348">
        <v>5078258.0004857602</v>
      </c>
      <c r="AL891" s="369"/>
      <c r="AM891" s="350">
        <v>7285074.2755330931</v>
      </c>
      <c r="AN891" s="350">
        <v>2380830.4108199165</v>
      </c>
      <c r="AO891" s="350">
        <v>2406376.0286339894</v>
      </c>
      <c r="AP891" s="350">
        <v>2429991.0717810681</v>
      </c>
      <c r="AQ891" s="350">
        <v>2451610.118113623</v>
      </c>
      <c r="AR891" s="348">
        <v>16953881.90488169</v>
      </c>
      <c r="AS891" s="369"/>
      <c r="AT891" s="350">
        <f t="shared" si="363"/>
        <v>2321490.9189455882</v>
      </c>
      <c r="AU891" s="350">
        <f t="shared" si="346"/>
        <v>2350170.4914529962</v>
      </c>
      <c r="AV891" s="350">
        <f t="shared" si="347"/>
        <v>2377020.2316830116</v>
      </c>
      <c r="AW891" s="350">
        <f t="shared" si="348"/>
        <v>2401974.489115776</v>
      </c>
      <c r="AX891" s="350">
        <f t="shared" si="349"/>
        <v>2424967.7731985585</v>
      </c>
      <c r="AY891" s="350">
        <f t="shared" si="350"/>
        <v>11875623.90439593</v>
      </c>
      <c r="AZ891" s="365"/>
      <c r="BA891" s="377">
        <f t="shared" si="351"/>
        <v>0</v>
      </c>
      <c r="BB891" s="377">
        <f t="shared" si="352"/>
        <v>0</v>
      </c>
      <c r="BC891" s="377">
        <f t="shared" si="353"/>
        <v>0</v>
      </c>
      <c r="BD891" s="377">
        <f t="shared" si="354"/>
        <v>0</v>
      </c>
      <c r="BE891" s="377">
        <f t="shared" si="355"/>
        <v>0</v>
      </c>
      <c r="BF891" s="377">
        <f t="shared" si="356"/>
        <v>0</v>
      </c>
      <c r="BG891" s="328"/>
    </row>
    <row r="892" spans="2:59">
      <c r="B892" s="332">
        <v>877</v>
      </c>
      <c r="C892" s="350">
        <v>5880993.007006011</v>
      </c>
      <c r="D892" s="350">
        <v>36326.733820825015</v>
      </c>
      <c r="E892" s="350">
        <v>34781.572944608415</v>
      </c>
      <c r="F892" s="350">
        <v>33194.834235253235</v>
      </c>
      <c r="G892" s="350">
        <v>31566.59874116756</v>
      </c>
      <c r="H892" s="348">
        <v>6016862.7467478644</v>
      </c>
      <c r="I892" s="369"/>
      <c r="J892" s="350">
        <v>7761183.4036896871</v>
      </c>
      <c r="K892" s="350">
        <v>1939744.9003697007</v>
      </c>
      <c r="L892" s="350">
        <v>1959945.516451708</v>
      </c>
      <c r="M892" s="350">
        <v>1978569.3910161494</v>
      </c>
      <c r="N892" s="350">
        <v>1995563.5638924185</v>
      </c>
      <c r="O892" s="348">
        <v>15635006.775419664</v>
      </c>
      <c r="P892" s="369"/>
      <c r="Q892" s="350">
        <f t="shared" si="357"/>
        <v>1880190.3966836762</v>
      </c>
      <c r="R892" s="350">
        <f t="shared" si="358"/>
        <v>1903418.1665488756</v>
      </c>
      <c r="S892" s="350">
        <f t="shared" si="359"/>
        <v>1925163.9435070995</v>
      </c>
      <c r="T892" s="350">
        <f t="shared" si="360"/>
        <v>1945374.5567808961</v>
      </c>
      <c r="U892" s="350">
        <f t="shared" si="361"/>
        <v>1963996.9651512511</v>
      </c>
      <c r="V892" s="350">
        <f t="shared" si="362"/>
        <v>9618144.0286717992</v>
      </c>
      <c r="W892" s="365"/>
      <c r="X892" s="377">
        <f t="shared" si="340"/>
        <v>0</v>
      </c>
      <c r="Y892" s="377">
        <f t="shared" si="341"/>
        <v>0</v>
      </c>
      <c r="Z892" s="377">
        <f t="shared" si="342"/>
        <v>0</v>
      </c>
      <c r="AA892" s="377">
        <f t="shared" si="343"/>
        <v>0</v>
      </c>
      <c r="AB892" s="377">
        <f t="shared" si="344"/>
        <v>0</v>
      </c>
      <c r="AC892" s="377">
        <f t="shared" si="345"/>
        <v>0</v>
      </c>
      <c r="AD892" s="376"/>
      <c r="AE892" s="332">
        <v>877</v>
      </c>
      <c r="AF892" s="350">
        <v>5142319.4854903072</v>
      </c>
      <c r="AG892" s="350">
        <v>31763.967572910409</v>
      </c>
      <c r="AH892" s="350">
        <v>30412.884367655461</v>
      </c>
      <c r="AI892" s="350">
        <v>29025.445652155558</v>
      </c>
      <c r="AJ892" s="350">
        <v>27601.722294855077</v>
      </c>
      <c r="AK892" s="348">
        <v>5261123.5053778831</v>
      </c>
      <c r="AL892" s="369"/>
      <c r="AM892" s="350">
        <v>6791447.6520743184</v>
      </c>
      <c r="AN892" s="350">
        <v>1701265.3738028628</v>
      </c>
      <c r="AO892" s="350">
        <v>1718987.6638843312</v>
      </c>
      <c r="AP892" s="350">
        <v>1735327.0956350039</v>
      </c>
      <c r="AQ892" s="350">
        <v>1750237.2170986063</v>
      </c>
      <c r="AR892" s="348">
        <v>13697265.002495123</v>
      </c>
      <c r="AS892" s="369"/>
      <c r="AT892" s="350">
        <f t="shared" si="363"/>
        <v>1649128.1665840112</v>
      </c>
      <c r="AU892" s="350">
        <f t="shared" si="346"/>
        <v>1669501.4062299524</v>
      </c>
      <c r="AV892" s="350">
        <f t="shared" si="347"/>
        <v>1688574.7795166757</v>
      </c>
      <c r="AW892" s="350">
        <f t="shared" si="348"/>
        <v>1706301.6499828482</v>
      </c>
      <c r="AX892" s="350">
        <f t="shared" si="349"/>
        <v>1722635.4948037511</v>
      </c>
      <c r="AY892" s="350">
        <f t="shared" si="350"/>
        <v>8436141.49711724</v>
      </c>
      <c r="AZ892" s="365"/>
      <c r="BA892" s="377">
        <f t="shared" si="351"/>
        <v>0</v>
      </c>
      <c r="BB892" s="377">
        <f t="shared" si="352"/>
        <v>0</v>
      </c>
      <c r="BC892" s="377">
        <f t="shared" si="353"/>
        <v>0</v>
      </c>
      <c r="BD892" s="377">
        <f t="shared" si="354"/>
        <v>0</v>
      </c>
      <c r="BE892" s="377">
        <f t="shared" si="355"/>
        <v>0</v>
      </c>
      <c r="BF892" s="377">
        <f t="shared" si="356"/>
        <v>0</v>
      </c>
      <c r="BG892" s="328"/>
    </row>
    <row r="893" spans="2:59">
      <c r="B893" s="332">
        <v>878</v>
      </c>
      <c r="C893" s="350">
        <v>5519191.6749688862</v>
      </c>
      <c r="D893" s="350">
        <v>34091.896835086511</v>
      </c>
      <c r="E893" s="350">
        <v>32641.794950191783</v>
      </c>
      <c r="F893" s="350">
        <v>31152.673119135266</v>
      </c>
      <c r="G893" s="350">
        <v>29624.607404190643</v>
      </c>
      <c r="H893" s="348">
        <v>5646702.6472774912</v>
      </c>
      <c r="I893" s="369"/>
      <c r="J893" s="350">
        <v>7868518.2866467163</v>
      </c>
      <c r="K893" s="350">
        <v>2412441.9616538859</v>
      </c>
      <c r="L893" s="350">
        <v>2438163.5401422475</v>
      </c>
      <c r="M893" s="350">
        <v>2461927.8882183973</v>
      </c>
      <c r="N893" s="350">
        <v>2483668.8061314793</v>
      </c>
      <c r="O893" s="348">
        <v>17664720.482792728</v>
      </c>
      <c r="P893" s="369"/>
      <c r="Q893" s="350">
        <f t="shared" si="357"/>
        <v>2349326.6116778301</v>
      </c>
      <c r="R893" s="350">
        <f t="shared" si="358"/>
        <v>2378350.0648187995</v>
      </c>
      <c r="S893" s="350">
        <f t="shared" si="359"/>
        <v>2405521.7451920556</v>
      </c>
      <c r="T893" s="350">
        <f t="shared" si="360"/>
        <v>2430775.2150992621</v>
      </c>
      <c r="U893" s="350">
        <f t="shared" si="361"/>
        <v>2454044.1987272887</v>
      </c>
      <c r="V893" s="350">
        <f t="shared" si="362"/>
        <v>12018017.835515236</v>
      </c>
      <c r="W893" s="365"/>
      <c r="X893" s="377">
        <f t="shared" si="340"/>
        <v>0</v>
      </c>
      <c r="Y893" s="377">
        <f t="shared" si="341"/>
        <v>0</v>
      </c>
      <c r="Z893" s="377">
        <f t="shared" si="342"/>
        <v>0</v>
      </c>
      <c r="AA893" s="377">
        <f t="shared" si="343"/>
        <v>0</v>
      </c>
      <c r="AB893" s="377">
        <f t="shared" si="344"/>
        <v>0</v>
      </c>
      <c r="AC893" s="377">
        <f t="shared" si="345"/>
        <v>0</v>
      </c>
      <c r="AD893" s="376"/>
      <c r="AE893" s="332">
        <v>878</v>
      </c>
      <c r="AF893" s="350">
        <v>5493800.9828829924</v>
      </c>
      <c r="AG893" s="350">
        <v>33935.059220786774</v>
      </c>
      <c r="AH893" s="350">
        <v>32491.628437861782</v>
      </c>
      <c r="AI893" s="350">
        <v>31009.357217569137</v>
      </c>
      <c r="AJ893" s="350">
        <v>29488.321272259378</v>
      </c>
      <c r="AK893" s="348">
        <v>5620725.3490314698</v>
      </c>
      <c r="AL893" s="369"/>
      <c r="AM893" s="350">
        <v>6944320.5347031448</v>
      </c>
      <c r="AN893" s="350">
        <v>1502374.2506657788</v>
      </c>
      <c r="AO893" s="350">
        <v>1517707.1392934062</v>
      </c>
      <c r="AP893" s="350">
        <v>1531816.8473533136</v>
      </c>
      <c r="AQ893" s="350">
        <v>1544662.5305928397</v>
      </c>
      <c r="AR893" s="348">
        <v>13040881.302608483</v>
      </c>
      <c r="AS893" s="369"/>
      <c r="AT893" s="350">
        <f t="shared" si="363"/>
        <v>1450519.5518201524</v>
      </c>
      <c r="AU893" s="350">
        <f t="shared" si="346"/>
        <v>1468439.1914449921</v>
      </c>
      <c r="AV893" s="350">
        <f t="shared" si="347"/>
        <v>1485215.5108555444</v>
      </c>
      <c r="AW893" s="350">
        <f t="shared" si="348"/>
        <v>1500807.4901357444</v>
      </c>
      <c r="AX893" s="350">
        <f t="shared" si="349"/>
        <v>1515174.2093205804</v>
      </c>
      <c r="AY893" s="350">
        <f t="shared" si="350"/>
        <v>7420155.9535770128</v>
      </c>
      <c r="AZ893" s="365"/>
      <c r="BA893" s="377">
        <f t="shared" si="351"/>
        <v>0</v>
      </c>
      <c r="BB893" s="377">
        <f t="shared" si="352"/>
        <v>0</v>
      </c>
      <c r="BC893" s="377">
        <f t="shared" si="353"/>
        <v>0</v>
      </c>
      <c r="BD893" s="377">
        <f t="shared" si="354"/>
        <v>0</v>
      </c>
      <c r="BE893" s="377">
        <f t="shared" si="355"/>
        <v>0</v>
      </c>
      <c r="BF893" s="377">
        <f t="shared" si="356"/>
        <v>0</v>
      </c>
      <c r="BG893" s="328"/>
    </row>
    <row r="894" spans="2:59">
      <c r="B894" s="332">
        <v>879</v>
      </c>
      <c r="C894" s="350">
        <v>7204480.6523164967</v>
      </c>
      <c r="D894" s="350">
        <v>44501.881002443159</v>
      </c>
      <c r="E894" s="350">
        <v>42608.989508751998</v>
      </c>
      <c r="F894" s="350">
        <v>40665.163301476416</v>
      </c>
      <c r="G894" s="350">
        <v>38670.501668553654</v>
      </c>
      <c r="H894" s="348">
        <v>7370927.1877977215</v>
      </c>
      <c r="I894" s="369"/>
      <c r="J894" s="350">
        <v>9905390.599364046</v>
      </c>
      <c r="K894" s="350">
        <v>2778778.7225875417</v>
      </c>
      <c r="L894" s="350">
        <v>2808123.8298605341</v>
      </c>
      <c r="M894" s="350">
        <v>2835212.7263623113</v>
      </c>
      <c r="N894" s="350">
        <v>2859969.3172058291</v>
      </c>
      <c r="O894" s="348">
        <v>21187475.195380259</v>
      </c>
      <c r="P894" s="369"/>
      <c r="Q894" s="350">
        <f t="shared" si="357"/>
        <v>2700909.9470475493</v>
      </c>
      <c r="R894" s="350">
        <f t="shared" si="358"/>
        <v>2734276.8415850983</v>
      </c>
      <c r="S894" s="350">
        <f t="shared" si="359"/>
        <v>2765514.8403517823</v>
      </c>
      <c r="T894" s="350">
        <f t="shared" si="360"/>
        <v>2794547.563060835</v>
      </c>
      <c r="U894" s="350">
        <f t="shared" si="361"/>
        <v>2821298.8155372753</v>
      </c>
      <c r="V894" s="350">
        <f t="shared" si="362"/>
        <v>13816548.007582538</v>
      </c>
      <c r="W894" s="365"/>
      <c r="X894" s="377">
        <f t="shared" si="340"/>
        <v>0</v>
      </c>
      <c r="Y894" s="377">
        <f t="shared" si="341"/>
        <v>0</v>
      </c>
      <c r="Z894" s="377">
        <f t="shared" si="342"/>
        <v>0</v>
      </c>
      <c r="AA894" s="377">
        <f t="shared" si="343"/>
        <v>0</v>
      </c>
      <c r="AB894" s="377">
        <f t="shared" si="344"/>
        <v>0</v>
      </c>
      <c r="AC894" s="377">
        <f t="shared" si="345"/>
        <v>0</v>
      </c>
      <c r="AD894" s="376"/>
      <c r="AE894" s="332">
        <v>879</v>
      </c>
      <c r="AF894" s="350">
        <v>4428017.2197639234</v>
      </c>
      <c r="AG894" s="350">
        <v>27351.741909022792</v>
      </c>
      <c r="AH894" s="350">
        <v>26188.333117506845</v>
      </c>
      <c r="AI894" s="350">
        <v>24993.61883712489</v>
      </c>
      <c r="AJ894" s="350">
        <v>23767.660092225142</v>
      </c>
      <c r="AK894" s="348">
        <v>4530318.5737198023</v>
      </c>
      <c r="AL894" s="369"/>
      <c r="AM894" s="350">
        <v>6909532.7675092705</v>
      </c>
      <c r="AN894" s="350">
        <v>2539523.7977195196</v>
      </c>
      <c r="AO894" s="350">
        <v>2567060.9310192778</v>
      </c>
      <c r="AP894" s="350">
        <v>2592540.6169256326</v>
      </c>
      <c r="AQ894" s="350">
        <v>2615892.9115262502</v>
      </c>
      <c r="AR894" s="348">
        <v>17224551.024699952</v>
      </c>
      <c r="AS894" s="369"/>
      <c r="AT894" s="350">
        <f t="shared" si="363"/>
        <v>2481515.547745347</v>
      </c>
      <c r="AU894" s="350">
        <f t="shared" si="346"/>
        <v>2512172.0558104967</v>
      </c>
      <c r="AV894" s="350">
        <f t="shared" si="347"/>
        <v>2540872.5979017708</v>
      </c>
      <c r="AW894" s="350">
        <f t="shared" si="348"/>
        <v>2567546.9980885079</v>
      </c>
      <c r="AX894" s="350">
        <f t="shared" si="349"/>
        <v>2592125.2514340249</v>
      </c>
      <c r="AY894" s="350">
        <f t="shared" si="350"/>
        <v>12694232.450980149</v>
      </c>
      <c r="AZ894" s="365"/>
      <c r="BA894" s="377">
        <f t="shared" si="351"/>
        <v>0</v>
      </c>
      <c r="BB894" s="377">
        <f t="shared" si="352"/>
        <v>0</v>
      </c>
      <c r="BC894" s="377">
        <f t="shared" si="353"/>
        <v>0</v>
      </c>
      <c r="BD894" s="377">
        <f t="shared" si="354"/>
        <v>0</v>
      </c>
      <c r="BE894" s="377">
        <f t="shared" si="355"/>
        <v>0</v>
      </c>
      <c r="BF894" s="377">
        <f t="shared" si="356"/>
        <v>0</v>
      </c>
      <c r="BG894" s="328"/>
    </row>
    <row r="895" spans="2:59">
      <c r="B895" s="332">
        <v>880</v>
      </c>
      <c r="C895" s="350">
        <v>4630389.8065768406</v>
      </c>
      <c r="D895" s="350">
        <v>28601.791872527869</v>
      </c>
      <c r="E895" s="350">
        <v>27385.21209386893</v>
      </c>
      <c r="F895" s="350">
        <v>26135.896079254115</v>
      </c>
      <c r="G895" s="350">
        <v>24853.907642004327</v>
      </c>
      <c r="H895" s="348">
        <v>4737366.6142644957</v>
      </c>
      <c r="I895" s="369"/>
      <c r="J895" s="350">
        <v>5893570.4141017506</v>
      </c>
      <c r="K895" s="350">
        <v>1307387.6638969942</v>
      </c>
      <c r="L895" s="350">
        <v>1320780.6916334243</v>
      </c>
      <c r="M895" s="350">
        <v>1333109.6040783736</v>
      </c>
      <c r="N895" s="350">
        <v>1344338.830016183</v>
      </c>
      <c r="O895" s="348">
        <v>11199187.203726724</v>
      </c>
      <c r="P895" s="369"/>
      <c r="Q895" s="350">
        <f t="shared" si="357"/>
        <v>1263180.60752491</v>
      </c>
      <c r="R895" s="350">
        <f t="shared" si="358"/>
        <v>1278785.8720244663</v>
      </c>
      <c r="S895" s="350">
        <f t="shared" si="359"/>
        <v>1293395.4795395553</v>
      </c>
      <c r="T895" s="350">
        <f t="shared" si="360"/>
        <v>1306973.7079991195</v>
      </c>
      <c r="U895" s="350">
        <f t="shared" si="361"/>
        <v>1319484.9223741787</v>
      </c>
      <c r="V895" s="350">
        <f t="shared" si="362"/>
        <v>6461820.5894622281</v>
      </c>
      <c r="W895" s="365"/>
      <c r="X895" s="377">
        <f t="shared" si="340"/>
        <v>0</v>
      </c>
      <c r="Y895" s="377">
        <f t="shared" si="341"/>
        <v>0</v>
      </c>
      <c r="Z895" s="377">
        <f t="shared" si="342"/>
        <v>0</v>
      </c>
      <c r="AA895" s="377">
        <f t="shared" si="343"/>
        <v>0</v>
      </c>
      <c r="AB895" s="377">
        <f t="shared" si="344"/>
        <v>0</v>
      </c>
      <c r="AC895" s="377">
        <f t="shared" si="345"/>
        <v>0</v>
      </c>
      <c r="AD895" s="376"/>
      <c r="AE895" s="332">
        <v>880</v>
      </c>
      <c r="AF895" s="350">
        <v>7624993.1182610719</v>
      </c>
      <c r="AG895" s="350">
        <v>47099.375065183136</v>
      </c>
      <c r="AH895" s="350">
        <v>45095.998928920795</v>
      </c>
      <c r="AI895" s="350">
        <v>43038.715112243131</v>
      </c>
      <c r="AJ895" s="350">
        <v>40927.628698346343</v>
      </c>
      <c r="AK895" s="348">
        <v>7801154.8360657645</v>
      </c>
      <c r="AL895" s="369"/>
      <c r="AM895" s="350">
        <v>9386477.5852231216</v>
      </c>
      <c r="AN895" s="350">
        <v>1830345.1252950814</v>
      </c>
      <c r="AO895" s="350">
        <v>1848714.6052278068</v>
      </c>
      <c r="AP895" s="350">
        <v>1865591.9364439317</v>
      </c>
      <c r="AQ895" s="350">
        <v>1880927.5315680609</v>
      </c>
      <c r="AR895" s="348">
        <v>16812056.783758003</v>
      </c>
      <c r="AS895" s="369"/>
      <c r="AT895" s="350">
        <f t="shared" si="363"/>
        <v>1761484.4669620497</v>
      </c>
      <c r="AU895" s="350">
        <f t="shared" si="346"/>
        <v>1783245.7502298984</v>
      </c>
      <c r="AV895" s="350">
        <f t="shared" si="347"/>
        <v>1803618.606298886</v>
      </c>
      <c r="AW895" s="350">
        <f t="shared" si="348"/>
        <v>1822553.2213316886</v>
      </c>
      <c r="AX895" s="350">
        <f t="shared" si="349"/>
        <v>1839999.9028697144</v>
      </c>
      <c r="AY895" s="350">
        <f t="shared" si="350"/>
        <v>9010901.9476922378</v>
      </c>
      <c r="AZ895" s="365"/>
      <c r="BA895" s="377">
        <f t="shared" si="351"/>
        <v>0</v>
      </c>
      <c r="BB895" s="377">
        <f t="shared" si="352"/>
        <v>0</v>
      </c>
      <c r="BC895" s="377">
        <f t="shared" si="353"/>
        <v>0</v>
      </c>
      <c r="BD895" s="377">
        <f t="shared" si="354"/>
        <v>0</v>
      </c>
      <c r="BE895" s="377">
        <f t="shared" si="355"/>
        <v>0</v>
      </c>
      <c r="BF895" s="377">
        <f t="shared" si="356"/>
        <v>0</v>
      </c>
      <c r="BG895" s="328"/>
    </row>
    <row r="896" spans="2:59">
      <c r="B896" s="332">
        <v>881</v>
      </c>
      <c r="C896" s="350">
        <v>5986690.9460539911</v>
      </c>
      <c r="D896" s="350">
        <v>36979.627114972376</v>
      </c>
      <c r="E896" s="350">
        <v>35406.695364021667</v>
      </c>
      <c r="F896" s="350">
        <v>33791.438509654414</v>
      </c>
      <c r="G896" s="350">
        <v>32133.939056948504</v>
      </c>
      <c r="H896" s="348">
        <v>6125002.6460995879</v>
      </c>
      <c r="I896" s="369"/>
      <c r="J896" s="350">
        <v>7848278.3226260189</v>
      </c>
      <c r="K896" s="350">
        <v>1921564.9528538764</v>
      </c>
      <c r="L896" s="350">
        <v>1941522.6405287976</v>
      </c>
      <c r="M896" s="350">
        <v>1959918.0286653019</v>
      </c>
      <c r="N896" s="350">
        <v>1976698.683351011</v>
      </c>
      <c r="O896" s="348">
        <v>15647982.628025007</v>
      </c>
      <c r="P896" s="369"/>
      <c r="Q896" s="350">
        <f t="shared" si="357"/>
        <v>1861587.3765720278</v>
      </c>
      <c r="R896" s="350">
        <f t="shared" si="358"/>
        <v>1884585.3257389041</v>
      </c>
      <c r="S896" s="350">
        <f t="shared" si="359"/>
        <v>1906115.9451647759</v>
      </c>
      <c r="T896" s="350">
        <f t="shared" si="360"/>
        <v>1926126.5901556474</v>
      </c>
      <c r="U896" s="350">
        <f t="shared" si="361"/>
        <v>1944564.7442940625</v>
      </c>
      <c r="V896" s="350">
        <f t="shared" si="362"/>
        <v>9522979.9819254186</v>
      </c>
      <c r="W896" s="365"/>
      <c r="X896" s="377">
        <f t="shared" si="340"/>
        <v>0</v>
      </c>
      <c r="Y896" s="377">
        <f t="shared" si="341"/>
        <v>0</v>
      </c>
      <c r="Z896" s="377">
        <f t="shared" si="342"/>
        <v>0</v>
      </c>
      <c r="AA896" s="377">
        <f t="shared" si="343"/>
        <v>0</v>
      </c>
      <c r="AB896" s="377">
        <f t="shared" si="344"/>
        <v>0</v>
      </c>
      <c r="AC896" s="377">
        <f t="shared" si="345"/>
        <v>0</v>
      </c>
      <c r="AD896" s="376"/>
      <c r="AE896" s="332">
        <v>881</v>
      </c>
      <c r="AF896" s="350">
        <v>6953236.1192903211</v>
      </c>
      <c r="AG896" s="350">
        <v>42949.950356665824</v>
      </c>
      <c r="AH896" s="350">
        <v>41123.070371972084</v>
      </c>
      <c r="AI896" s="350">
        <v>39247.031938901033</v>
      </c>
      <c r="AJ896" s="350">
        <v>37321.930882888722</v>
      </c>
      <c r="AK896" s="348">
        <v>7113878.1028407495</v>
      </c>
      <c r="AL896" s="369"/>
      <c r="AM896" s="350">
        <v>8952353.7602488026</v>
      </c>
      <c r="AN896" s="350">
        <v>2066764.5818856531</v>
      </c>
      <c r="AO896" s="350">
        <v>2088058.9594130749</v>
      </c>
      <c r="AP896" s="350">
        <v>2107671.9114575116</v>
      </c>
      <c r="AQ896" s="350">
        <v>2125547.1376215396</v>
      </c>
      <c r="AR896" s="348">
        <v>17340396.350626584</v>
      </c>
      <c r="AS896" s="369"/>
      <c r="AT896" s="350">
        <f t="shared" si="363"/>
        <v>1999117.6409584815</v>
      </c>
      <c r="AU896" s="350">
        <f t="shared" si="346"/>
        <v>2023814.6315289873</v>
      </c>
      <c r="AV896" s="350">
        <f t="shared" si="347"/>
        <v>2046935.8890411027</v>
      </c>
      <c r="AW896" s="350">
        <f t="shared" si="348"/>
        <v>2068424.8795186107</v>
      </c>
      <c r="AX896" s="350">
        <f t="shared" si="349"/>
        <v>2088225.206738651</v>
      </c>
      <c r="AY896" s="350">
        <f t="shared" si="350"/>
        <v>10226518.247785835</v>
      </c>
      <c r="AZ896" s="365"/>
      <c r="BA896" s="377">
        <f t="shared" si="351"/>
        <v>0</v>
      </c>
      <c r="BB896" s="377">
        <f t="shared" si="352"/>
        <v>0</v>
      </c>
      <c r="BC896" s="377">
        <f t="shared" si="353"/>
        <v>0</v>
      </c>
      <c r="BD896" s="377">
        <f t="shared" si="354"/>
        <v>0</v>
      </c>
      <c r="BE896" s="377">
        <f t="shared" si="355"/>
        <v>0</v>
      </c>
      <c r="BF896" s="377">
        <f t="shared" si="356"/>
        <v>0</v>
      </c>
      <c r="BG896" s="328"/>
    </row>
    <row r="897" spans="2:59">
      <c r="B897" s="332">
        <v>882</v>
      </c>
      <c r="C897" s="350">
        <v>7147688.9585491419</v>
      </c>
      <c r="D897" s="350">
        <v>44151.080254974186</v>
      </c>
      <c r="E897" s="350">
        <v>42273.110102490529</v>
      </c>
      <c r="F897" s="350">
        <v>40344.60674609492</v>
      </c>
      <c r="G897" s="350">
        <v>38365.66869105542</v>
      </c>
      <c r="H897" s="348">
        <v>7312823.4243437573</v>
      </c>
      <c r="I897" s="369"/>
      <c r="J897" s="350">
        <v>10066061.322435763</v>
      </c>
      <c r="K897" s="350">
        <v>2998576.8575453078</v>
      </c>
      <c r="L897" s="350">
        <v>3030451.9980448354</v>
      </c>
      <c r="M897" s="350">
        <v>3059893.772581303</v>
      </c>
      <c r="N897" s="350">
        <v>3086819.9507490201</v>
      </c>
      <c r="O897" s="348">
        <v>22241803.901356231</v>
      </c>
      <c r="P897" s="369"/>
      <c r="Q897" s="350">
        <f t="shared" si="357"/>
        <v>2918372.3638866208</v>
      </c>
      <c r="R897" s="350">
        <f t="shared" si="358"/>
        <v>2954425.7772903335</v>
      </c>
      <c r="S897" s="350">
        <f t="shared" si="359"/>
        <v>2988178.8879423449</v>
      </c>
      <c r="T897" s="350">
        <f t="shared" si="360"/>
        <v>3019549.1658352083</v>
      </c>
      <c r="U897" s="350">
        <f t="shared" si="361"/>
        <v>3048454.2820579647</v>
      </c>
      <c r="V897" s="350">
        <f t="shared" si="362"/>
        <v>14928980.477012474</v>
      </c>
      <c r="W897" s="365"/>
      <c r="X897" s="377">
        <f t="shared" si="340"/>
        <v>0</v>
      </c>
      <c r="Y897" s="377">
        <f t="shared" si="341"/>
        <v>0</v>
      </c>
      <c r="Z897" s="377">
        <f t="shared" si="342"/>
        <v>0</v>
      </c>
      <c r="AA897" s="377">
        <f t="shared" si="343"/>
        <v>0</v>
      </c>
      <c r="AB897" s="377">
        <f t="shared" si="344"/>
        <v>0</v>
      </c>
      <c r="AC897" s="377">
        <f t="shared" si="345"/>
        <v>0</v>
      </c>
      <c r="AD897" s="376"/>
      <c r="AE897" s="332">
        <v>882</v>
      </c>
      <c r="AF897" s="350">
        <v>6239989.8764477773</v>
      </c>
      <c r="AG897" s="350">
        <v>38544.247717404229</v>
      </c>
      <c r="AH897" s="350">
        <v>36904.7646890131</v>
      </c>
      <c r="AI897" s="350">
        <v>35221.165767683335</v>
      </c>
      <c r="AJ897" s="350">
        <v>33493.536949307316</v>
      </c>
      <c r="AK897" s="348">
        <v>6384153.5915711857</v>
      </c>
      <c r="AL897" s="369"/>
      <c r="AM897" s="350">
        <v>8410803.458822133</v>
      </c>
      <c r="AN897" s="350">
        <v>2236175.9429810653</v>
      </c>
      <c r="AO897" s="350">
        <v>2259643.5065919156</v>
      </c>
      <c r="AP897" s="350">
        <v>2281294.4986142805</v>
      </c>
      <c r="AQ897" s="350">
        <v>2301067.7651829822</v>
      </c>
      <c r="AR897" s="348">
        <v>17488985.17219238</v>
      </c>
      <c r="AS897" s="369"/>
      <c r="AT897" s="350">
        <f t="shared" si="363"/>
        <v>2170813.5823743558</v>
      </c>
      <c r="AU897" s="350">
        <f t="shared" si="346"/>
        <v>2197631.695263661</v>
      </c>
      <c r="AV897" s="350">
        <f t="shared" si="347"/>
        <v>2222738.7419029027</v>
      </c>
      <c r="AW897" s="350">
        <f t="shared" si="348"/>
        <v>2246073.3328465973</v>
      </c>
      <c r="AX897" s="350">
        <f t="shared" si="349"/>
        <v>2267574.228233675</v>
      </c>
      <c r="AY897" s="350">
        <f t="shared" si="350"/>
        <v>11104831.580621194</v>
      </c>
      <c r="AZ897" s="365"/>
      <c r="BA897" s="377">
        <f t="shared" si="351"/>
        <v>0</v>
      </c>
      <c r="BB897" s="377">
        <f t="shared" si="352"/>
        <v>0</v>
      </c>
      <c r="BC897" s="377">
        <f t="shared" si="353"/>
        <v>0</v>
      </c>
      <c r="BD897" s="377">
        <f t="shared" si="354"/>
        <v>0</v>
      </c>
      <c r="BE897" s="377">
        <f t="shared" si="355"/>
        <v>0</v>
      </c>
      <c r="BF897" s="377">
        <f t="shared" si="356"/>
        <v>0</v>
      </c>
      <c r="BG897" s="328"/>
    </row>
    <row r="898" spans="2:59">
      <c r="B898" s="332">
        <v>883</v>
      </c>
      <c r="C898" s="350">
        <v>5111898.9101318521</v>
      </c>
      <c r="D898" s="350">
        <v>31576.060506466369</v>
      </c>
      <c r="E898" s="350">
        <v>30232.969945109733</v>
      </c>
      <c r="F898" s="350">
        <v>28853.738942904511</v>
      </c>
      <c r="G898" s="350">
        <v>27438.437949053012</v>
      </c>
      <c r="H898" s="348">
        <v>5230000.1174753858</v>
      </c>
      <c r="I898" s="369"/>
      <c r="J898" s="350">
        <v>7006807.9530611271</v>
      </c>
      <c r="K898" s="350">
        <v>1949894.7066558646</v>
      </c>
      <c r="L898" s="350">
        <v>1970467.6249605988</v>
      </c>
      <c r="M898" s="350">
        <v>1989457.221457575</v>
      </c>
      <c r="N898" s="350">
        <v>2006810.110155761</v>
      </c>
      <c r="O898" s="348">
        <v>14923437.616290927</v>
      </c>
      <c r="P898" s="369"/>
      <c r="Q898" s="350">
        <f t="shared" si="357"/>
        <v>1894909.042929275</v>
      </c>
      <c r="R898" s="350">
        <f t="shared" si="358"/>
        <v>1918318.6461493983</v>
      </c>
      <c r="S898" s="350">
        <f t="shared" si="359"/>
        <v>1940234.6550154891</v>
      </c>
      <c r="T898" s="350">
        <f t="shared" si="360"/>
        <v>1960603.4825146706</v>
      </c>
      <c r="U898" s="350">
        <f t="shared" si="361"/>
        <v>1979371.672206708</v>
      </c>
      <c r="V898" s="350">
        <f t="shared" si="362"/>
        <v>9693437.4988155402</v>
      </c>
      <c r="W898" s="365"/>
      <c r="X898" s="377">
        <f t="shared" si="340"/>
        <v>0</v>
      </c>
      <c r="Y898" s="377">
        <f t="shared" si="341"/>
        <v>0</v>
      </c>
      <c r="Z898" s="377">
        <f t="shared" si="342"/>
        <v>0</v>
      </c>
      <c r="AA898" s="377">
        <f t="shared" si="343"/>
        <v>0</v>
      </c>
      <c r="AB898" s="377">
        <f t="shared" si="344"/>
        <v>0</v>
      </c>
      <c r="AC898" s="377">
        <f t="shared" si="345"/>
        <v>0</v>
      </c>
      <c r="AD898" s="376"/>
      <c r="AE898" s="332">
        <v>883</v>
      </c>
      <c r="AF898" s="350">
        <v>6907467.6055115191</v>
      </c>
      <c r="AG898" s="350">
        <v>42667.239492117522</v>
      </c>
      <c r="AH898" s="350">
        <v>40852.384639363278</v>
      </c>
      <c r="AI898" s="350">
        <v>38988.694915499087</v>
      </c>
      <c r="AJ898" s="350">
        <v>37076.265515202125</v>
      </c>
      <c r="AK898" s="348">
        <v>7067052.1900737016</v>
      </c>
      <c r="AL898" s="369"/>
      <c r="AM898" s="350">
        <v>9227963.0993040577</v>
      </c>
      <c r="AN898" s="350">
        <v>2391830.0083638821</v>
      </c>
      <c r="AO898" s="350">
        <v>2416853.3809212749</v>
      </c>
      <c r="AP898" s="350">
        <v>2439933.2485687048</v>
      </c>
      <c r="AQ898" s="350">
        <v>2461004.24402963</v>
      </c>
      <c r="AR898" s="348">
        <v>18937583.981187548</v>
      </c>
      <c r="AS898" s="369"/>
      <c r="AT898" s="350">
        <f t="shared" si="363"/>
        <v>2320495.4937925385</v>
      </c>
      <c r="AU898" s="350">
        <f t="shared" si="346"/>
        <v>2349162.7688717647</v>
      </c>
      <c r="AV898" s="350">
        <f t="shared" si="347"/>
        <v>2376000.9962819116</v>
      </c>
      <c r="AW898" s="350">
        <f t="shared" si="348"/>
        <v>2400944.5536532057</v>
      </c>
      <c r="AX898" s="350">
        <f t="shared" si="349"/>
        <v>2423927.9785144278</v>
      </c>
      <c r="AY898" s="350">
        <f t="shared" si="350"/>
        <v>11870531.791113846</v>
      </c>
      <c r="AZ898" s="365"/>
      <c r="BA898" s="377">
        <f t="shared" si="351"/>
        <v>0</v>
      </c>
      <c r="BB898" s="377">
        <f t="shared" si="352"/>
        <v>0</v>
      </c>
      <c r="BC898" s="377">
        <f t="shared" si="353"/>
        <v>0</v>
      </c>
      <c r="BD898" s="377">
        <f t="shared" si="354"/>
        <v>0</v>
      </c>
      <c r="BE898" s="377">
        <f t="shared" si="355"/>
        <v>0</v>
      </c>
      <c r="BF898" s="377">
        <f t="shared" si="356"/>
        <v>0</v>
      </c>
      <c r="BG898" s="328"/>
    </row>
    <row r="899" spans="2:59">
      <c r="B899" s="332">
        <v>884</v>
      </c>
      <c r="C899" s="350">
        <v>5014787.3289698577</v>
      </c>
      <c r="D899" s="350">
        <v>30976.20491140111</v>
      </c>
      <c r="E899" s="350">
        <v>29658.629261499456</v>
      </c>
      <c r="F899" s="350">
        <v>28305.599736625209</v>
      </c>
      <c r="G899" s="350">
        <v>26917.185447644366</v>
      </c>
      <c r="H899" s="348">
        <v>5130644.9483270282</v>
      </c>
      <c r="I899" s="369"/>
      <c r="J899" s="350">
        <v>7328743.6100809118</v>
      </c>
      <c r="K899" s="350">
        <v>2373518.9760239935</v>
      </c>
      <c r="L899" s="350">
        <v>2398963.997007322</v>
      </c>
      <c r="M899" s="350">
        <v>2422484.2333030254</v>
      </c>
      <c r="N899" s="350">
        <v>2444014.4760255907</v>
      </c>
      <c r="O899" s="348">
        <v>16967725.292440843</v>
      </c>
      <c r="P899" s="369"/>
      <c r="Q899" s="350">
        <f t="shared" si="357"/>
        <v>2313956.2811110541</v>
      </c>
      <c r="R899" s="350">
        <f t="shared" si="358"/>
        <v>2342542.7711125924</v>
      </c>
      <c r="S899" s="350">
        <f t="shared" si="359"/>
        <v>2369305.3677458228</v>
      </c>
      <c r="T899" s="350">
        <f t="shared" si="360"/>
        <v>2394178.6335664</v>
      </c>
      <c r="U899" s="350">
        <f t="shared" si="361"/>
        <v>2417097.2905779462</v>
      </c>
      <c r="V899" s="350">
        <f t="shared" si="362"/>
        <v>11837080.344113816</v>
      </c>
      <c r="W899" s="365"/>
      <c r="X899" s="377">
        <f t="shared" si="340"/>
        <v>0</v>
      </c>
      <c r="Y899" s="377">
        <f t="shared" si="341"/>
        <v>0</v>
      </c>
      <c r="Z899" s="377">
        <f t="shared" si="342"/>
        <v>0</v>
      </c>
      <c r="AA899" s="377">
        <f t="shared" si="343"/>
        <v>0</v>
      </c>
      <c r="AB899" s="377">
        <f t="shared" si="344"/>
        <v>0</v>
      </c>
      <c r="AC899" s="377">
        <f t="shared" si="345"/>
        <v>0</v>
      </c>
      <c r="AD899" s="376"/>
      <c r="AE899" s="332">
        <v>884</v>
      </c>
      <c r="AF899" s="350">
        <v>5726289.8305508001</v>
      </c>
      <c r="AG899" s="350">
        <v>35371.136508324926</v>
      </c>
      <c r="AH899" s="350">
        <v>33866.622049372898</v>
      </c>
      <c r="AI899" s="350">
        <v>32321.623488023357</v>
      </c>
      <c r="AJ899" s="350">
        <v>30736.219740661883</v>
      </c>
      <c r="AK899" s="348">
        <v>5858585.4323371826</v>
      </c>
      <c r="AL899" s="369"/>
      <c r="AM899" s="350">
        <v>7019620.6823733989</v>
      </c>
      <c r="AN899" s="350">
        <v>1344679.7273081501</v>
      </c>
      <c r="AO899" s="350">
        <v>1358133.5299890621</v>
      </c>
      <c r="AP899" s="350">
        <v>1370490.8520263934</v>
      </c>
      <c r="AQ899" s="350">
        <v>1381715.2867523602</v>
      </c>
      <c r="AR899" s="348">
        <v>12474640.078449365</v>
      </c>
      <c r="AS899" s="369"/>
      <c r="AT899" s="350">
        <f t="shared" si="363"/>
        <v>1293330.8518225988</v>
      </c>
      <c r="AU899" s="350">
        <f t="shared" si="346"/>
        <v>1309308.5907998253</v>
      </c>
      <c r="AV899" s="350">
        <f t="shared" si="347"/>
        <v>1324266.9079396892</v>
      </c>
      <c r="AW899" s="350">
        <f t="shared" si="348"/>
        <v>1338169.22853837</v>
      </c>
      <c r="AX899" s="350">
        <f t="shared" si="349"/>
        <v>1350979.0670116984</v>
      </c>
      <c r="AY899" s="350">
        <f t="shared" si="350"/>
        <v>6616054.6461121822</v>
      </c>
      <c r="AZ899" s="365"/>
      <c r="BA899" s="377">
        <f t="shared" si="351"/>
        <v>0</v>
      </c>
      <c r="BB899" s="377">
        <f t="shared" si="352"/>
        <v>0</v>
      </c>
      <c r="BC899" s="377">
        <f t="shared" si="353"/>
        <v>0</v>
      </c>
      <c r="BD899" s="377">
        <f t="shared" si="354"/>
        <v>0</v>
      </c>
      <c r="BE899" s="377">
        <f t="shared" si="355"/>
        <v>0</v>
      </c>
      <c r="BF899" s="377">
        <f t="shared" si="356"/>
        <v>0</v>
      </c>
      <c r="BG899" s="328"/>
    </row>
    <row r="900" spans="2:59">
      <c r="B900" s="332">
        <v>885</v>
      </c>
      <c r="C900" s="350">
        <v>4839492.817286442</v>
      </c>
      <c r="D900" s="350">
        <v>29893.415481352164</v>
      </c>
      <c r="E900" s="350">
        <v>28621.896376824949</v>
      </c>
      <c r="F900" s="350">
        <v>27316.162706050749</v>
      </c>
      <c r="G900" s="350">
        <v>25976.28116409151</v>
      </c>
      <c r="H900" s="348">
        <v>4951300.5730147613</v>
      </c>
      <c r="I900" s="369"/>
      <c r="J900" s="350">
        <v>6916483.3187083695</v>
      </c>
      <c r="K900" s="350">
        <v>2132542.9445551233</v>
      </c>
      <c r="L900" s="350">
        <v>2155293.3395439424</v>
      </c>
      <c r="M900" s="350">
        <v>2176313.6702290066</v>
      </c>
      <c r="N900" s="350">
        <v>2195545.4102457189</v>
      </c>
      <c r="O900" s="348">
        <v>15576178.683282161</v>
      </c>
      <c r="P900" s="369"/>
      <c r="Q900" s="350">
        <f t="shared" si="357"/>
        <v>2076990.5014219275</v>
      </c>
      <c r="R900" s="350">
        <f t="shared" si="358"/>
        <v>2102649.5290737711</v>
      </c>
      <c r="S900" s="350">
        <f t="shared" si="359"/>
        <v>2126671.4431671174</v>
      </c>
      <c r="T900" s="350">
        <f t="shared" si="360"/>
        <v>2148997.507522956</v>
      </c>
      <c r="U900" s="350">
        <f t="shared" si="361"/>
        <v>2169569.1290816274</v>
      </c>
      <c r="V900" s="350">
        <f t="shared" si="362"/>
        <v>10624878.110267401</v>
      </c>
      <c r="W900" s="365"/>
      <c r="X900" s="377">
        <f t="shared" si="340"/>
        <v>0</v>
      </c>
      <c r="Y900" s="377">
        <f t="shared" si="341"/>
        <v>0</v>
      </c>
      <c r="Z900" s="377">
        <f t="shared" si="342"/>
        <v>0</v>
      </c>
      <c r="AA900" s="377">
        <f t="shared" si="343"/>
        <v>0</v>
      </c>
      <c r="AB900" s="377">
        <f t="shared" si="344"/>
        <v>0</v>
      </c>
      <c r="AC900" s="377">
        <f t="shared" si="345"/>
        <v>0</v>
      </c>
      <c r="AD900" s="376"/>
      <c r="AE900" s="332">
        <v>885</v>
      </c>
      <c r="AF900" s="350">
        <v>5580161.1649495326</v>
      </c>
      <c r="AG900" s="350">
        <v>34468.503716113693</v>
      </c>
      <c r="AH900" s="350">
        <v>33002.382823809625</v>
      </c>
      <c r="AI900" s="350">
        <v>31496.810939213206</v>
      </c>
      <c r="AJ900" s="350">
        <v>29951.864964839122</v>
      </c>
      <c r="AK900" s="348">
        <v>5709080.7273935089</v>
      </c>
      <c r="AL900" s="369"/>
      <c r="AM900" s="350">
        <v>7210051.2017679978</v>
      </c>
      <c r="AN900" s="350">
        <v>1684494.1133720852</v>
      </c>
      <c r="AO900" s="350">
        <v>1701878.8627265384</v>
      </c>
      <c r="AP900" s="350">
        <v>1717893.3660806308</v>
      </c>
      <c r="AQ900" s="350">
        <v>1732491.7202305093</v>
      </c>
      <c r="AR900" s="348">
        <v>14046809.264177762</v>
      </c>
      <c r="AS900" s="369"/>
      <c r="AT900" s="350">
        <f t="shared" si="363"/>
        <v>1629890.0368184652</v>
      </c>
      <c r="AU900" s="350">
        <f t="shared" si="346"/>
        <v>1650025.6096559714</v>
      </c>
      <c r="AV900" s="350">
        <f t="shared" si="347"/>
        <v>1668876.4799027289</v>
      </c>
      <c r="AW900" s="350">
        <f t="shared" si="348"/>
        <v>1686396.5551414175</v>
      </c>
      <c r="AX900" s="350">
        <f t="shared" si="349"/>
        <v>1702539.8552656702</v>
      </c>
      <c r="AY900" s="350">
        <f t="shared" si="350"/>
        <v>8337728.5367842531</v>
      </c>
      <c r="AZ900" s="365"/>
      <c r="BA900" s="377">
        <f t="shared" si="351"/>
        <v>0</v>
      </c>
      <c r="BB900" s="377">
        <f t="shared" si="352"/>
        <v>0</v>
      </c>
      <c r="BC900" s="377">
        <f t="shared" si="353"/>
        <v>0</v>
      </c>
      <c r="BD900" s="377">
        <f t="shared" si="354"/>
        <v>0</v>
      </c>
      <c r="BE900" s="377">
        <f t="shared" si="355"/>
        <v>0</v>
      </c>
      <c r="BF900" s="377">
        <f t="shared" si="356"/>
        <v>0</v>
      </c>
      <c r="BG900" s="328"/>
    </row>
    <row r="901" spans="2:59">
      <c r="B901" s="332">
        <v>886</v>
      </c>
      <c r="C901" s="350">
        <v>6662275.3048708392</v>
      </c>
      <c r="D901" s="350">
        <v>41152.693321141582</v>
      </c>
      <c r="E901" s="350">
        <v>39402.259825402514</v>
      </c>
      <c r="F901" s="350">
        <v>37604.724935287159</v>
      </c>
      <c r="G901" s="350">
        <v>35760.180466379301</v>
      </c>
      <c r="H901" s="348">
        <v>6816195.1634190502</v>
      </c>
      <c r="I901" s="369"/>
      <c r="J901" s="350">
        <v>9005007.4439107068</v>
      </c>
      <c r="K901" s="350">
        <v>2412826.817745789</v>
      </c>
      <c r="L901" s="350">
        <v>2438171.7947245836</v>
      </c>
      <c r="M901" s="350">
        <v>2461556.8441885575</v>
      </c>
      <c r="N901" s="350">
        <v>2482915.9681739202</v>
      </c>
      <c r="O901" s="348">
        <v>18800478.868743557</v>
      </c>
      <c r="P901" s="369"/>
      <c r="Q901" s="350">
        <f t="shared" si="357"/>
        <v>2342732.1390398676</v>
      </c>
      <c r="R901" s="350">
        <f t="shared" si="358"/>
        <v>2371674.1244246475</v>
      </c>
      <c r="S901" s="350">
        <f t="shared" si="359"/>
        <v>2398769.5348991812</v>
      </c>
      <c r="T901" s="350">
        <f t="shared" si="360"/>
        <v>2423952.1192532703</v>
      </c>
      <c r="U901" s="350">
        <f t="shared" si="361"/>
        <v>2447155.7877075407</v>
      </c>
      <c r="V901" s="350">
        <f t="shared" si="362"/>
        <v>11984283.705324508</v>
      </c>
      <c r="W901" s="365"/>
      <c r="X901" s="377">
        <f t="shared" si="340"/>
        <v>0</v>
      </c>
      <c r="Y901" s="377">
        <f t="shared" si="341"/>
        <v>0</v>
      </c>
      <c r="Z901" s="377">
        <f t="shared" si="342"/>
        <v>0</v>
      </c>
      <c r="AA901" s="377">
        <f t="shared" si="343"/>
        <v>0</v>
      </c>
      <c r="AB901" s="377">
        <f t="shared" si="344"/>
        <v>0</v>
      </c>
      <c r="AC901" s="377">
        <f t="shared" si="345"/>
        <v>0</v>
      </c>
      <c r="AD901" s="376"/>
      <c r="AE901" s="332">
        <v>886</v>
      </c>
      <c r="AF901" s="350">
        <v>5332562.2427094514</v>
      </c>
      <c r="AG901" s="350">
        <v>32939.091908988681</v>
      </c>
      <c r="AH901" s="350">
        <v>31538.024684863038</v>
      </c>
      <c r="AI901" s="350">
        <v>30099.256959672344</v>
      </c>
      <c r="AJ901" s="350">
        <v>28622.862223672077</v>
      </c>
      <c r="AK901" s="348">
        <v>5455761.4784866469</v>
      </c>
      <c r="AL901" s="369"/>
      <c r="AM901" s="350">
        <v>7174553.6700785728</v>
      </c>
      <c r="AN901" s="350">
        <v>1897686.381154689</v>
      </c>
      <c r="AO901" s="350">
        <v>1917589.2918729973</v>
      </c>
      <c r="AP901" s="350">
        <v>1935950.5276250467</v>
      </c>
      <c r="AQ901" s="350">
        <v>1952718.1982962852</v>
      </c>
      <c r="AR901" s="348">
        <v>14878498.069027591</v>
      </c>
      <c r="AS901" s="369"/>
      <c r="AT901" s="350">
        <f t="shared" si="363"/>
        <v>1841991.4273691215</v>
      </c>
      <c r="AU901" s="350">
        <f t="shared" si="346"/>
        <v>1864747.2892457002</v>
      </c>
      <c r="AV901" s="350">
        <f t="shared" si="347"/>
        <v>1886051.2671881344</v>
      </c>
      <c r="AW901" s="350">
        <f t="shared" si="348"/>
        <v>1905851.2706653744</v>
      </c>
      <c r="AX901" s="350">
        <f t="shared" si="349"/>
        <v>1924095.3360726133</v>
      </c>
      <c r="AY901" s="350">
        <f t="shared" si="350"/>
        <v>9422736.5905409455</v>
      </c>
      <c r="AZ901" s="365"/>
      <c r="BA901" s="377">
        <f t="shared" si="351"/>
        <v>0</v>
      </c>
      <c r="BB901" s="377">
        <f t="shared" si="352"/>
        <v>0</v>
      </c>
      <c r="BC901" s="377">
        <f t="shared" si="353"/>
        <v>0</v>
      </c>
      <c r="BD901" s="377">
        <f t="shared" si="354"/>
        <v>0</v>
      </c>
      <c r="BE901" s="377">
        <f t="shared" si="355"/>
        <v>0</v>
      </c>
      <c r="BF901" s="377">
        <f t="shared" si="356"/>
        <v>0</v>
      </c>
      <c r="BG901" s="328"/>
    </row>
    <row r="902" spans="2:59">
      <c r="B902" s="332">
        <v>887</v>
      </c>
      <c r="C902" s="350">
        <v>6129720.5778624993</v>
      </c>
      <c r="D902" s="350">
        <v>37863.117259752114</v>
      </c>
      <c r="E902" s="350">
        <v>36252.606176371475</v>
      </c>
      <c r="F902" s="350">
        <v>34598.758789234002</v>
      </c>
      <c r="G902" s="350">
        <v>32901.659574556761</v>
      </c>
      <c r="H902" s="348">
        <v>6271336.7196624139</v>
      </c>
      <c r="I902" s="369"/>
      <c r="J902" s="350">
        <v>7791692.5104620736</v>
      </c>
      <c r="K902" s="350">
        <v>1720366.9606918343</v>
      </c>
      <c r="L902" s="350">
        <v>1737978.3704420456</v>
      </c>
      <c r="M902" s="350">
        <v>1754189.4542134374</v>
      </c>
      <c r="N902" s="350">
        <v>1768953.4113276941</v>
      </c>
      <c r="O902" s="348">
        <v>14773180.707137084</v>
      </c>
      <c r="P902" s="369"/>
      <c r="Q902" s="350">
        <f t="shared" si="357"/>
        <v>1661971.9325995743</v>
      </c>
      <c r="R902" s="350">
        <f t="shared" si="358"/>
        <v>1682503.8434320823</v>
      </c>
      <c r="S902" s="350">
        <f t="shared" si="359"/>
        <v>1701725.7642656742</v>
      </c>
      <c r="T902" s="350">
        <f t="shared" si="360"/>
        <v>1719590.6954242033</v>
      </c>
      <c r="U902" s="350">
        <f t="shared" si="361"/>
        <v>1736051.7517531372</v>
      </c>
      <c r="V902" s="350">
        <f t="shared" si="362"/>
        <v>8501843.9874746688</v>
      </c>
      <c r="W902" s="365"/>
      <c r="X902" s="377">
        <f t="shared" si="340"/>
        <v>0</v>
      </c>
      <c r="Y902" s="377">
        <f t="shared" si="341"/>
        <v>0</v>
      </c>
      <c r="Z902" s="377">
        <f t="shared" si="342"/>
        <v>0</v>
      </c>
      <c r="AA902" s="377">
        <f t="shared" si="343"/>
        <v>0</v>
      </c>
      <c r="AB902" s="377">
        <f t="shared" si="344"/>
        <v>0</v>
      </c>
      <c r="AC902" s="377">
        <f t="shared" si="345"/>
        <v>0</v>
      </c>
      <c r="AD902" s="376"/>
      <c r="AE902" s="332">
        <v>887</v>
      </c>
      <c r="AF902" s="350">
        <v>7095346.0130251721</v>
      </c>
      <c r="AG902" s="350">
        <v>43827.75930438139</v>
      </c>
      <c r="AH902" s="350">
        <v>41963.541637487513</v>
      </c>
      <c r="AI902" s="350">
        <v>40049.160824295235</v>
      </c>
      <c r="AJ902" s="350">
        <v>38084.714648714194</v>
      </c>
      <c r="AK902" s="348">
        <v>7259271.1894400502</v>
      </c>
      <c r="AL902" s="369"/>
      <c r="AM902" s="350">
        <v>9516434.0139724277</v>
      </c>
      <c r="AN902" s="350">
        <v>2494825.7496913197</v>
      </c>
      <c r="AO902" s="350">
        <v>2520963.1853451151</v>
      </c>
      <c r="AP902" s="350">
        <v>2545073.6546616172</v>
      </c>
      <c r="AQ902" s="350">
        <v>2567088.9551828187</v>
      </c>
      <c r="AR902" s="348">
        <v>19644385.558853298</v>
      </c>
      <c r="AS902" s="369"/>
      <c r="AT902" s="350">
        <f t="shared" si="363"/>
        <v>2421088.0009472556</v>
      </c>
      <c r="AU902" s="350">
        <f t="shared" si="346"/>
        <v>2450997.9903869382</v>
      </c>
      <c r="AV902" s="350">
        <f t="shared" si="347"/>
        <v>2478999.6437076274</v>
      </c>
      <c r="AW902" s="350">
        <f t="shared" si="348"/>
        <v>2505024.4938373221</v>
      </c>
      <c r="AX902" s="350">
        <f t="shared" si="349"/>
        <v>2529004.2405341044</v>
      </c>
      <c r="AY902" s="350">
        <f t="shared" si="350"/>
        <v>12385114.369413249</v>
      </c>
      <c r="AZ902" s="365"/>
      <c r="BA902" s="377">
        <f t="shared" si="351"/>
        <v>0</v>
      </c>
      <c r="BB902" s="377">
        <f t="shared" si="352"/>
        <v>0</v>
      </c>
      <c r="BC902" s="377">
        <f t="shared" si="353"/>
        <v>0</v>
      </c>
      <c r="BD902" s="377">
        <f t="shared" si="354"/>
        <v>0</v>
      </c>
      <c r="BE902" s="377">
        <f t="shared" si="355"/>
        <v>0</v>
      </c>
      <c r="BF902" s="377">
        <f t="shared" si="356"/>
        <v>0</v>
      </c>
      <c r="BG902" s="328"/>
    </row>
    <row r="903" spans="2:59">
      <c r="B903" s="332">
        <v>888</v>
      </c>
      <c r="C903" s="350">
        <v>5780190.991377309</v>
      </c>
      <c r="D903" s="350">
        <v>35704.082512451634</v>
      </c>
      <c r="E903" s="350">
        <v>34185.406165396424</v>
      </c>
      <c r="F903" s="350">
        <v>32625.864641957789</v>
      </c>
      <c r="G903" s="350">
        <v>31025.53760134599</v>
      </c>
      <c r="H903" s="348">
        <v>5913731.8822984612</v>
      </c>
      <c r="I903" s="369"/>
      <c r="J903" s="350">
        <v>8106790.4511382217</v>
      </c>
      <c r="K903" s="350">
        <v>2391046.2254160661</v>
      </c>
      <c r="L903" s="350">
        <v>2416436.373309534</v>
      </c>
      <c r="M903" s="350">
        <v>2439886.0021377755</v>
      </c>
      <c r="N903" s="350">
        <v>2461329.5568925035</v>
      </c>
      <c r="O903" s="348">
        <v>17815488.608894102</v>
      </c>
      <c r="P903" s="369"/>
      <c r="Q903" s="350">
        <f t="shared" si="357"/>
        <v>2326599.4597609127</v>
      </c>
      <c r="R903" s="350">
        <f t="shared" si="358"/>
        <v>2355342.1429036143</v>
      </c>
      <c r="S903" s="350">
        <f t="shared" si="359"/>
        <v>2382250.9671441377</v>
      </c>
      <c r="T903" s="350">
        <f t="shared" si="360"/>
        <v>2407260.1374958176</v>
      </c>
      <c r="U903" s="350">
        <f t="shared" si="361"/>
        <v>2430304.0192911574</v>
      </c>
      <c r="V903" s="350">
        <f t="shared" si="362"/>
        <v>11901756.72659564</v>
      </c>
      <c r="W903" s="365"/>
      <c r="X903" s="377">
        <f t="shared" si="340"/>
        <v>0</v>
      </c>
      <c r="Y903" s="377">
        <f t="shared" si="341"/>
        <v>0</v>
      </c>
      <c r="Z903" s="377">
        <f t="shared" si="342"/>
        <v>0</v>
      </c>
      <c r="AA903" s="377">
        <f t="shared" si="343"/>
        <v>0</v>
      </c>
      <c r="AB903" s="377">
        <f t="shared" si="344"/>
        <v>0</v>
      </c>
      <c r="AC903" s="377">
        <f t="shared" si="345"/>
        <v>0</v>
      </c>
      <c r="AD903" s="376"/>
      <c r="AE903" s="332">
        <v>888</v>
      </c>
      <c r="AF903" s="350">
        <v>5379756.2036442431</v>
      </c>
      <c r="AG903" s="350">
        <v>33230.607721842491</v>
      </c>
      <c r="AH903" s="350">
        <v>31817.140846511804</v>
      </c>
      <c r="AI903" s="350">
        <v>30365.639815130246</v>
      </c>
      <c r="AJ903" s="350">
        <v>28876.178768355272</v>
      </c>
      <c r="AK903" s="348">
        <v>5504045.7707960829</v>
      </c>
      <c r="AL903" s="369"/>
      <c r="AM903" s="350">
        <v>7707835.9475235436</v>
      </c>
      <c r="AN903" s="350">
        <v>2390071.3220933061</v>
      </c>
      <c r="AO903" s="350">
        <v>2415583.800026888</v>
      </c>
      <c r="AP903" s="350">
        <v>2439157.3812728655</v>
      </c>
      <c r="AQ903" s="350">
        <v>2460726.463544758</v>
      </c>
      <c r="AR903" s="348">
        <v>17413374.914461359</v>
      </c>
      <c r="AS903" s="369"/>
      <c r="AT903" s="350">
        <f t="shared" si="363"/>
        <v>2328079.7438793005</v>
      </c>
      <c r="AU903" s="350">
        <f t="shared" si="346"/>
        <v>2356840.7143714637</v>
      </c>
      <c r="AV903" s="350">
        <f t="shared" si="347"/>
        <v>2383766.6591803762</v>
      </c>
      <c r="AW903" s="350">
        <f t="shared" si="348"/>
        <v>2408791.7414577352</v>
      </c>
      <c r="AX903" s="350">
        <f t="shared" si="349"/>
        <v>2431850.2847764026</v>
      </c>
      <c r="AY903" s="350">
        <f t="shared" si="350"/>
        <v>11909329.143665276</v>
      </c>
      <c r="AZ903" s="365"/>
      <c r="BA903" s="377">
        <f t="shared" si="351"/>
        <v>0</v>
      </c>
      <c r="BB903" s="377">
        <f t="shared" si="352"/>
        <v>0</v>
      </c>
      <c r="BC903" s="377">
        <f t="shared" si="353"/>
        <v>0</v>
      </c>
      <c r="BD903" s="377">
        <f t="shared" si="354"/>
        <v>0</v>
      </c>
      <c r="BE903" s="377">
        <f t="shared" si="355"/>
        <v>0</v>
      </c>
      <c r="BF903" s="377">
        <f t="shared" si="356"/>
        <v>0</v>
      </c>
      <c r="BG903" s="328"/>
    </row>
    <row r="904" spans="2:59">
      <c r="B904" s="332">
        <v>889</v>
      </c>
      <c r="C904" s="350">
        <v>5680502.7025284609</v>
      </c>
      <c r="D904" s="350">
        <v>35088.310664101467</v>
      </c>
      <c r="E904" s="350">
        <v>33595.82622775816</v>
      </c>
      <c r="F904" s="350">
        <v>32063.181397887744</v>
      </c>
      <c r="G904" s="350">
        <v>30490.454459853991</v>
      </c>
      <c r="H904" s="348">
        <v>5811740.4752780627</v>
      </c>
      <c r="I904" s="369"/>
      <c r="J904" s="350">
        <v>7858589.5375496484</v>
      </c>
      <c r="K904" s="350">
        <v>2240083.1119420761</v>
      </c>
      <c r="L904" s="350">
        <v>2263781.7946309075</v>
      </c>
      <c r="M904" s="350">
        <v>2285661.9226654302</v>
      </c>
      <c r="N904" s="350">
        <v>2305662.1292874226</v>
      </c>
      <c r="O904" s="348">
        <v>16953778.496075485</v>
      </c>
      <c r="P904" s="369"/>
      <c r="Q904" s="350">
        <f t="shared" si="357"/>
        <v>2178086.8350211876</v>
      </c>
      <c r="R904" s="350">
        <f t="shared" si="358"/>
        <v>2204994.8012779746</v>
      </c>
      <c r="S904" s="350">
        <f t="shared" si="359"/>
        <v>2230185.9684031494</v>
      </c>
      <c r="T904" s="350">
        <f t="shared" si="360"/>
        <v>2253598.7412675424</v>
      </c>
      <c r="U904" s="350">
        <f t="shared" si="361"/>
        <v>2275171.6748275687</v>
      </c>
      <c r="V904" s="350">
        <f t="shared" si="362"/>
        <v>11142038.020797422</v>
      </c>
      <c r="W904" s="365"/>
      <c r="X904" s="377">
        <f t="shared" si="340"/>
        <v>0</v>
      </c>
      <c r="Y904" s="377">
        <f t="shared" si="341"/>
        <v>0</v>
      </c>
      <c r="Z904" s="377">
        <f t="shared" si="342"/>
        <v>0</v>
      </c>
      <c r="AA904" s="377">
        <f t="shared" si="343"/>
        <v>0</v>
      </c>
      <c r="AB904" s="377">
        <f t="shared" si="344"/>
        <v>0</v>
      </c>
      <c r="AC904" s="377">
        <f t="shared" si="345"/>
        <v>0</v>
      </c>
      <c r="AD904" s="376"/>
      <c r="AE904" s="332">
        <v>889</v>
      </c>
      <c r="AF904" s="350">
        <v>6061779.8993097749</v>
      </c>
      <c r="AG904" s="350">
        <v>37443.449536553402</v>
      </c>
      <c r="AH904" s="350">
        <v>35850.78905736356</v>
      </c>
      <c r="AI904" s="350">
        <v>34215.272605912214</v>
      </c>
      <c r="AJ904" s="350">
        <v>32536.983722109184</v>
      </c>
      <c r="AK904" s="348">
        <v>6201826.3942317134</v>
      </c>
      <c r="AL904" s="369"/>
      <c r="AM904" s="350">
        <v>8812834.3975886647</v>
      </c>
      <c r="AN904" s="350">
        <v>2822484.3254106916</v>
      </c>
      <c r="AO904" s="350">
        <v>2852709.6221048832</v>
      </c>
      <c r="AP904" s="350">
        <v>2880645.844057119</v>
      </c>
      <c r="AQ904" s="350">
        <v>2906215.4660266098</v>
      </c>
      <c r="AR904" s="348">
        <v>20274889.655187972</v>
      </c>
      <c r="AS904" s="369"/>
      <c r="AT904" s="350">
        <f t="shared" si="363"/>
        <v>2751054.4982788898</v>
      </c>
      <c r="AU904" s="350">
        <f t="shared" si="346"/>
        <v>2785040.875874138</v>
      </c>
      <c r="AV904" s="350">
        <f t="shared" si="347"/>
        <v>2816858.8330475194</v>
      </c>
      <c r="AW904" s="350">
        <f t="shared" si="348"/>
        <v>2846430.5714512067</v>
      </c>
      <c r="AX904" s="350">
        <f t="shared" si="349"/>
        <v>2873678.4823045004</v>
      </c>
      <c r="AY904" s="350">
        <f t="shared" si="350"/>
        <v>14073063.260956258</v>
      </c>
      <c r="AZ904" s="365"/>
      <c r="BA904" s="377">
        <f t="shared" si="351"/>
        <v>0</v>
      </c>
      <c r="BB904" s="377">
        <f t="shared" si="352"/>
        <v>0</v>
      </c>
      <c r="BC904" s="377">
        <f t="shared" si="353"/>
        <v>0</v>
      </c>
      <c r="BD904" s="377">
        <f t="shared" si="354"/>
        <v>0</v>
      </c>
      <c r="BE904" s="377">
        <f t="shared" si="355"/>
        <v>0</v>
      </c>
      <c r="BF904" s="377">
        <f t="shared" si="356"/>
        <v>0</v>
      </c>
      <c r="BG904" s="328"/>
    </row>
    <row r="905" spans="2:59">
      <c r="B905" s="332">
        <v>890</v>
      </c>
      <c r="C905" s="350">
        <v>5167950.1733881552</v>
      </c>
      <c r="D905" s="350">
        <v>31922.287634811371</v>
      </c>
      <c r="E905" s="350">
        <v>30564.470271544255</v>
      </c>
      <c r="F905" s="350">
        <v>29170.116192505193</v>
      </c>
      <c r="G905" s="350">
        <v>27739.296619354707</v>
      </c>
      <c r="H905" s="348">
        <v>5287346.3441063706</v>
      </c>
      <c r="I905" s="369"/>
      <c r="J905" s="350">
        <v>7052708.6466331407</v>
      </c>
      <c r="K905" s="350">
        <v>1939964.964514303</v>
      </c>
      <c r="L905" s="350">
        <v>1960405.7572554122</v>
      </c>
      <c r="M905" s="350">
        <v>1979271.1197904269</v>
      </c>
      <c r="N905" s="350">
        <v>1996507.953253987</v>
      </c>
      <c r="O905" s="348">
        <v>14928858.441447271</v>
      </c>
      <c r="P905" s="369"/>
      <c r="Q905" s="350">
        <f t="shared" si="357"/>
        <v>1884758.4732449856</v>
      </c>
      <c r="R905" s="350">
        <f t="shared" si="358"/>
        <v>1908042.6768794917</v>
      </c>
      <c r="S905" s="350">
        <f t="shared" si="359"/>
        <v>1929841.2869838679</v>
      </c>
      <c r="T905" s="350">
        <f t="shared" si="360"/>
        <v>1950101.0035979217</v>
      </c>
      <c r="U905" s="350">
        <f t="shared" si="361"/>
        <v>1968768.6566346323</v>
      </c>
      <c r="V905" s="350">
        <f t="shared" si="362"/>
        <v>9641512.0973409005</v>
      </c>
      <c r="W905" s="365"/>
      <c r="X905" s="377">
        <f t="shared" si="340"/>
        <v>0</v>
      </c>
      <c r="Y905" s="377">
        <f t="shared" si="341"/>
        <v>0</v>
      </c>
      <c r="Z905" s="377">
        <f t="shared" si="342"/>
        <v>0</v>
      </c>
      <c r="AA905" s="377">
        <f t="shared" si="343"/>
        <v>0</v>
      </c>
      <c r="AB905" s="377">
        <f t="shared" si="344"/>
        <v>0</v>
      </c>
      <c r="AC905" s="377">
        <f t="shared" si="345"/>
        <v>0</v>
      </c>
      <c r="AD905" s="376"/>
      <c r="AE905" s="332">
        <v>890</v>
      </c>
      <c r="AF905" s="350">
        <v>6699349.6352079958</v>
      </c>
      <c r="AG905" s="350">
        <v>41381.700451083772</v>
      </c>
      <c r="AH905" s="350">
        <v>39621.526116564834</v>
      </c>
      <c r="AI905" s="350">
        <v>37813.988277117234</v>
      </c>
      <c r="AJ905" s="350">
        <v>35959.179259263947</v>
      </c>
      <c r="AK905" s="348">
        <v>6854126.0293120248</v>
      </c>
      <c r="AL905" s="369"/>
      <c r="AM905" s="350">
        <v>9319276.7362290584</v>
      </c>
      <c r="AN905" s="350">
        <v>2693675.2383359103</v>
      </c>
      <c r="AO905" s="350">
        <v>2722216.4369294201</v>
      </c>
      <c r="AP905" s="350">
        <v>2748571.1179469945</v>
      </c>
      <c r="AQ905" s="350">
        <v>2772665.4641114203</v>
      </c>
      <c r="AR905" s="348">
        <v>20256404.993552804</v>
      </c>
      <c r="AS905" s="369"/>
      <c r="AT905" s="350">
        <f t="shared" si="363"/>
        <v>2619927.1010210626</v>
      </c>
      <c r="AU905" s="350">
        <f t="shared" si="346"/>
        <v>2652293.5378848263</v>
      </c>
      <c r="AV905" s="350">
        <f t="shared" si="347"/>
        <v>2682594.9108128552</v>
      </c>
      <c r="AW905" s="350">
        <f t="shared" si="348"/>
        <v>2710757.1296698772</v>
      </c>
      <c r="AX905" s="350">
        <f t="shared" si="349"/>
        <v>2736706.2848521564</v>
      </c>
      <c r="AY905" s="350">
        <f t="shared" si="350"/>
        <v>13402278.964240778</v>
      </c>
      <c r="AZ905" s="365"/>
      <c r="BA905" s="377">
        <f t="shared" si="351"/>
        <v>0</v>
      </c>
      <c r="BB905" s="377">
        <f t="shared" si="352"/>
        <v>0</v>
      </c>
      <c r="BC905" s="377">
        <f t="shared" si="353"/>
        <v>0</v>
      </c>
      <c r="BD905" s="377">
        <f t="shared" si="354"/>
        <v>0</v>
      </c>
      <c r="BE905" s="377">
        <f t="shared" si="355"/>
        <v>0</v>
      </c>
      <c r="BF905" s="377">
        <f t="shared" si="356"/>
        <v>0</v>
      </c>
      <c r="BG905" s="328"/>
    </row>
    <row r="906" spans="2:59">
      <c r="B906" s="332">
        <v>891</v>
      </c>
      <c r="C906" s="350">
        <v>5889031.018660984</v>
      </c>
      <c r="D906" s="350">
        <v>36376.384400156036</v>
      </c>
      <c r="E906" s="350">
        <v>34829.111632100314</v>
      </c>
      <c r="F906" s="350">
        <v>33240.204203241752</v>
      </c>
      <c r="G906" s="350">
        <v>31609.743272761873</v>
      </c>
      <c r="H906" s="348">
        <v>6025086.462169244</v>
      </c>
      <c r="I906" s="369"/>
      <c r="J906" s="350">
        <v>7615588.0679978719</v>
      </c>
      <c r="K906" s="350">
        <v>1784263.2255878467</v>
      </c>
      <c r="L906" s="350">
        <v>1802684.8477608289</v>
      </c>
      <c r="M906" s="350">
        <v>1819655.1122545828</v>
      </c>
      <c r="N906" s="350">
        <v>1835125.3930916283</v>
      </c>
      <c r="O906" s="348">
        <v>14857316.646692757</v>
      </c>
      <c r="P906" s="369"/>
      <c r="Q906" s="350">
        <f t="shared" si="357"/>
        <v>1726557.0493368879</v>
      </c>
      <c r="R906" s="350">
        <f t="shared" si="358"/>
        <v>1747886.8411876906</v>
      </c>
      <c r="S906" s="350">
        <f t="shared" si="359"/>
        <v>1767855.7361287286</v>
      </c>
      <c r="T906" s="350">
        <f t="shared" si="360"/>
        <v>1786414.9080513411</v>
      </c>
      <c r="U906" s="350">
        <f t="shared" si="361"/>
        <v>1803515.6498188665</v>
      </c>
      <c r="V906" s="350">
        <f t="shared" si="362"/>
        <v>8832230.1845235117</v>
      </c>
      <c r="W906" s="365"/>
      <c r="X906" s="377">
        <f t="shared" si="340"/>
        <v>0</v>
      </c>
      <c r="Y906" s="377">
        <f t="shared" si="341"/>
        <v>0</v>
      </c>
      <c r="Z906" s="377">
        <f t="shared" si="342"/>
        <v>0</v>
      </c>
      <c r="AA906" s="377">
        <f t="shared" si="343"/>
        <v>0</v>
      </c>
      <c r="AB906" s="377">
        <f t="shared" si="344"/>
        <v>0</v>
      </c>
      <c r="AC906" s="377">
        <f t="shared" si="345"/>
        <v>0</v>
      </c>
      <c r="AD906" s="376"/>
      <c r="AE906" s="332">
        <v>891</v>
      </c>
      <c r="AF906" s="350">
        <v>6221766.2014298597</v>
      </c>
      <c r="AG906" s="350">
        <v>38431.680572565936</v>
      </c>
      <c r="AH906" s="350">
        <v>36796.985597759143</v>
      </c>
      <c r="AI906" s="350">
        <v>35118.30356896064</v>
      </c>
      <c r="AJ906" s="350">
        <v>33395.720230908533</v>
      </c>
      <c r="AK906" s="348">
        <v>6365508.8914000541</v>
      </c>
      <c r="AL906" s="369"/>
      <c r="AM906" s="350">
        <v>8757922.3444522563</v>
      </c>
      <c r="AN906" s="350">
        <v>2605919.3586013373</v>
      </c>
      <c r="AO906" s="350">
        <v>2633617.1641619341</v>
      </c>
      <c r="AP906" s="350">
        <v>2659200.227060142</v>
      </c>
      <c r="AQ906" s="350">
        <v>2682597.086662367</v>
      </c>
      <c r="AR906" s="348">
        <v>19339256.180938035</v>
      </c>
      <c r="AS906" s="369"/>
      <c r="AT906" s="350">
        <f t="shared" si="363"/>
        <v>2536156.1430223966</v>
      </c>
      <c r="AU906" s="350">
        <f t="shared" si="346"/>
        <v>2567487.6780287712</v>
      </c>
      <c r="AV906" s="350">
        <f t="shared" si="347"/>
        <v>2596820.178564175</v>
      </c>
      <c r="AW906" s="350">
        <f t="shared" si="348"/>
        <v>2624081.9234911813</v>
      </c>
      <c r="AX906" s="350">
        <f t="shared" si="349"/>
        <v>2649201.3664314584</v>
      </c>
      <c r="AY906" s="350">
        <f t="shared" si="350"/>
        <v>12973747.289537981</v>
      </c>
      <c r="AZ906" s="365"/>
      <c r="BA906" s="377">
        <f t="shared" si="351"/>
        <v>0</v>
      </c>
      <c r="BB906" s="377">
        <f t="shared" si="352"/>
        <v>0</v>
      </c>
      <c r="BC906" s="377">
        <f t="shared" si="353"/>
        <v>0</v>
      </c>
      <c r="BD906" s="377">
        <f t="shared" si="354"/>
        <v>0</v>
      </c>
      <c r="BE906" s="377">
        <f t="shared" si="355"/>
        <v>0</v>
      </c>
      <c r="BF906" s="377">
        <f t="shared" si="356"/>
        <v>0</v>
      </c>
      <c r="BG906" s="328"/>
    </row>
    <row r="907" spans="2:59">
      <c r="B907" s="332">
        <v>892</v>
      </c>
      <c r="C907" s="350">
        <v>5573679.3424021164</v>
      </c>
      <c r="D907" s="350">
        <v>34428.465674565981</v>
      </c>
      <c r="E907" s="350">
        <v>32964.047803945839</v>
      </c>
      <c r="F907" s="350">
        <v>31460.224766647585</v>
      </c>
      <c r="G907" s="350">
        <v>29917.073375864969</v>
      </c>
      <c r="H907" s="348">
        <v>5702449.1540231407</v>
      </c>
      <c r="I907" s="369"/>
      <c r="J907" s="350">
        <v>7852691.1654119082</v>
      </c>
      <c r="K907" s="350">
        <v>2341595.0767517332</v>
      </c>
      <c r="L907" s="350">
        <v>2366489.0973008266</v>
      </c>
      <c r="M907" s="350">
        <v>2389482.913801793</v>
      </c>
      <c r="N907" s="350">
        <v>2410512.3108740887</v>
      </c>
      <c r="O907" s="348">
        <v>17360770.56414035</v>
      </c>
      <c r="P907" s="369"/>
      <c r="Q907" s="350">
        <f t="shared" si="357"/>
        <v>2279011.8230097918</v>
      </c>
      <c r="R907" s="350">
        <f t="shared" si="358"/>
        <v>2307166.6110771671</v>
      </c>
      <c r="S907" s="350">
        <f t="shared" si="359"/>
        <v>2333525.0494968807</v>
      </c>
      <c r="T907" s="350">
        <f t="shared" si="360"/>
        <v>2358022.6890351456</v>
      </c>
      <c r="U907" s="350">
        <f t="shared" si="361"/>
        <v>2380595.2374982238</v>
      </c>
      <c r="V907" s="350">
        <f t="shared" si="362"/>
        <v>11658321.410117209</v>
      </c>
      <c r="W907" s="365"/>
      <c r="X907" s="377">
        <f t="shared" si="340"/>
        <v>0</v>
      </c>
      <c r="Y907" s="377">
        <f t="shared" si="341"/>
        <v>0</v>
      </c>
      <c r="Z907" s="377">
        <f t="shared" si="342"/>
        <v>0</v>
      </c>
      <c r="AA907" s="377">
        <f t="shared" si="343"/>
        <v>0</v>
      </c>
      <c r="AB907" s="377">
        <f t="shared" si="344"/>
        <v>0</v>
      </c>
      <c r="AC907" s="377">
        <f t="shared" si="345"/>
        <v>0</v>
      </c>
      <c r="AD907" s="376"/>
      <c r="AE907" s="332">
        <v>892</v>
      </c>
      <c r="AF907" s="350">
        <v>5968668.3452556031</v>
      </c>
      <c r="AG907" s="350">
        <v>36868.302000117299</v>
      </c>
      <c r="AH907" s="350">
        <v>35300.105472898795</v>
      </c>
      <c r="AI907" s="350">
        <v>33689.711259633666</v>
      </c>
      <c r="AJ907" s="350">
        <v>32037.201617031176</v>
      </c>
      <c r="AK907" s="348">
        <v>6106563.6656052843</v>
      </c>
      <c r="AL907" s="369"/>
      <c r="AM907" s="350">
        <v>8665376.1182376947</v>
      </c>
      <c r="AN907" s="350">
        <v>2766891.0560899791</v>
      </c>
      <c r="AO907" s="350">
        <v>2796512.2571132495</v>
      </c>
      <c r="AP907" s="350">
        <v>2823889.4154416379</v>
      </c>
      <c r="AQ907" s="350">
        <v>2848946.5377025693</v>
      </c>
      <c r="AR907" s="348">
        <v>19901615.384585127</v>
      </c>
      <c r="AS907" s="369"/>
      <c r="AT907" s="350">
        <f t="shared" si="363"/>
        <v>2696707.7729820916</v>
      </c>
      <c r="AU907" s="350">
        <f t="shared" si="346"/>
        <v>2730022.7540898616</v>
      </c>
      <c r="AV907" s="350">
        <f t="shared" si="347"/>
        <v>2761212.1516403509</v>
      </c>
      <c r="AW907" s="350">
        <f t="shared" si="348"/>
        <v>2790199.7041820041</v>
      </c>
      <c r="AX907" s="350">
        <f t="shared" si="349"/>
        <v>2816909.3360855379</v>
      </c>
      <c r="AY907" s="350">
        <f t="shared" si="350"/>
        <v>13795051.718979843</v>
      </c>
      <c r="AZ907" s="365"/>
      <c r="BA907" s="377">
        <f t="shared" si="351"/>
        <v>0</v>
      </c>
      <c r="BB907" s="377">
        <f t="shared" si="352"/>
        <v>0</v>
      </c>
      <c r="BC907" s="377">
        <f t="shared" si="353"/>
        <v>0</v>
      </c>
      <c r="BD907" s="377">
        <f t="shared" si="354"/>
        <v>0</v>
      </c>
      <c r="BE907" s="377">
        <f t="shared" si="355"/>
        <v>0</v>
      </c>
      <c r="BF907" s="377">
        <f t="shared" si="356"/>
        <v>0</v>
      </c>
      <c r="BG907" s="328"/>
    </row>
    <row r="908" spans="2:59">
      <c r="B908" s="332">
        <v>893</v>
      </c>
      <c r="C908" s="350">
        <v>4714051.3801064985</v>
      </c>
      <c r="D908" s="350">
        <v>29118.567136334939</v>
      </c>
      <c r="E908" s="350">
        <v>27880.006275552234</v>
      </c>
      <c r="F908" s="350">
        <v>26608.117702688203</v>
      </c>
      <c r="G908" s="350">
        <v>25302.966384044274</v>
      </c>
      <c r="H908" s="348">
        <v>4822961.037605118</v>
      </c>
      <c r="I908" s="369"/>
      <c r="J908" s="350">
        <v>6120713.1416627076</v>
      </c>
      <c r="K908" s="350">
        <v>1453158.1515626307</v>
      </c>
      <c r="L908" s="350">
        <v>1468188.6626939261</v>
      </c>
      <c r="M908" s="350">
        <v>1482037.315593882</v>
      </c>
      <c r="N908" s="350">
        <v>1494664.4925164981</v>
      </c>
      <c r="O908" s="348">
        <v>12018761.764029644</v>
      </c>
      <c r="P908" s="369"/>
      <c r="Q908" s="350">
        <f t="shared" si="357"/>
        <v>1406661.7615562091</v>
      </c>
      <c r="R908" s="350">
        <f t="shared" si="358"/>
        <v>1424039.5844262957</v>
      </c>
      <c r="S908" s="350">
        <f t="shared" si="359"/>
        <v>1440308.6564183738</v>
      </c>
      <c r="T908" s="350">
        <f t="shared" si="360"/>
        <v>1455429.1978911939</v>
      </c>
      <c r="U908" s="350">
        <f t="shared" si="361"/>
        <v>1469361.5261324537</v>
      </c>
      <c r="V908" s="350">
        <f t="shared" si="362"/>
        <v>7195800.7264245264</v>
      </c>
      <c r="W908" s="365"/>
      <c r="X908" s="377">
        <f t="shared" si="340"/>
        <v>0</v>
      </c>
      <c r="Y908" s="377">
        <f t="shared" si="341"/>
        <v>0</v>
      </c>
      <c r="Z908" s="377">
        <f t="shared" si="342"/>
        <v>0</v>
      </c>
      <c r="AA908" s="377">
        <f t="shared" si="343"/>
        <v>0</v>
      </c>
      <c r="AB908" s="377">
        <f t="shared" si="344"/>
        <v>0</v>
      </c>
      <c r="AC908" s="377">
        <f t="shared" si="345"/>
        <v>0</v>
      </c>
      <c r="AD908" s="376"/>
      <c r="AE908" s="332">
        <v>893</v>
      </c>
      <c r="AF908" s="350">
        <v>7439526.5163672213</v>
      </c>
      <c r="AG908" s="350">
        <v>45953.752910619194</v>
      </c>
      <c r="AH908" s="350">
        <v>43999.105915297718</v>
      </c>
      <c r="AI908" s="350">
        <v>41991.862463597958</v>
      </c>
      <c r="AJ908" s="350">
        <v>39932.125082733975</v>
      </c>
      <c r="AK908" s="348">
        <v>7611403.3627394708</v>
      </c>
      <c r="AL908" s="369"/>
      <c r="AM908" s="350">
        <v>9364144.4617558103</v>
      </c>
      <c r="AN908" s="350">
        <v>1994348.3236839413</v>
      </c>
      <c r="AO908" s="350">
        <v>2014653.2907383642</v>
      </c>
      <c r="AP908" s="350">
        <v>2033334.2228366886</v>
      </c>
      <c r="AQ908" s="350">
        <v>2050336.9279611981</v>
      </c>
      <c r="AR908" s="348">
        <v>17456817.226976003</v>
      </c>
      <c r="AS908" s="369"/>
      <c r="AT908" s="350">
        <f t="shared" si="363"/>
        <v>1924617.9453885891</v>
      </c>
      <c r="AU908" s="350">
        <f t="shared" si="346"/>
        <v>1948394.5707733221</v>
      </c>
      <c r="AV908" s="350">
        <f t="shared" si="347"/>
        <v>1970654.1848230665</v>
      </c>
      <c r="AW908" s="350">
        <f t="shared" si="348"/>
        <v>1991342.3603730907</v>
      </c>
      <c r="AX908" s="350">
        <f t="shared" si="349"/>
        <v>2010404.8028784641</v>
      </c>
      <c r="AY908" s="350">
        <f t="shared" si="350"/>
        <v>9845413.8642365336</v>
      </c>
      <c r="AZ908" s="365"/>
      <c r="BA908" s="377">
        <f t="shared" si="351"/>
        <v>0</v>
      </c>
      <c r="BB908" s="377">
        <f t="shared" si="352"/>
        <v>0</v>
      </c>
      <c r="BC908" s="377">
        <f t="shared" si="353"/>
        <v>0</v>
      </c>
      <c r="BD908" s="377">
        <f t="shared" si="354"/>
        <v>0</v>
      </c>
      <c r="BE908" s="377">
        <f t="shared" si="355"/>
        <v>0</v>
      </c>
      <c r="BF908" s="377">
        <f t="shared" si="356"/>
        <v>0</v>
      </c>
      <c r="BG908" s="328"/>
    </row>
    <row r="909" spans="2:59">
      <c r="B909" s="332">
        <v>894</v>
      </c>
      <c r="C909" s="350">
        <v>7503927.9722655052</v>
      </c>
      <c r="D909" s="350">
        <v>46351.558951760562</v>
      </c>
      <c r="E909" s="350">
        <v>44379.991240852534</v>
      </c>
      <c r="F909" s="350">
        <v>42355.371763899908</v>
      </c>
      <c r="G909" s="350">
        <v>40277.803935652199</v>
      </c>
      <c r="H909" s="348">
        <v>7677292.6981576709</v>
      </c>
      <c r="I909" s="369"/>
      <c r="J909" s="350">
        <v>9551838.4788973294</v>
      </c>
      <c r="K909" s="350">
        <v>2119561.8405619441</v>
      </c>
      <c r="L909" s="350">
        <v>2141275.8555378569</v>
      </c>
      <c r="M909" s="350">
        <v>2161264.7126438534</v>
      </c>
      <c r="N909" s="350">
        <v>2179470.7425978868</v>
      </c>
      <c r="O909" s="348">
        <v>18153411.630238872</v>
      </c>
      <c r="P909" s="369"/>
      <c r="Q909" s="350">
        <f t="shared" si="357"/>
        <v>2047910.5066318242</v>
      </c>
      <c r="R909" s="350">
        <f t="shared" si="358"/>
        <v>2073210.2816101834</v>
      </c>
      <c r="S909" s="350">
        <f t="shared" si="359"/>
        <v>2096895.8642970044</v>
      </c>
      <c r="T909" s="350">
        <f t="shared" si="360"/>
        <v>2118909.3408799535</v>
      </c>
      <c r="U909" s="350">
        <f t="shared" si="361"/>
        <v>2139192.9386622347</v>
      </c>
      <c r="V909" s="350">
        <f t="shared" si="362"/>
        <v>10476118.9320812</v>
      </c>
      <c r="W909" s="365"/>
      <c r="X909" s="377">
        <f t="shared" si="340"/>
        <v>0</v>
      </c>
      <c r="Y909" s="377">
        <f t="shared" si="341"/>
        <v>0</v>
      </c>
      <c r="Z909" s="377">
        <f t="shared" si="342"/>
        <v>0</v>
      </c>
      <c r="AA909" s="377">
        <f t="shared" si="343"/>
        <v>0</v>
      </c>
      <c r="AB909" s="377">
        <f t="shared" si="344"/>
        <v>0</v>
      </c>
      <c r="AC909" s="377">
        <f t="shared" si="345"/>
        <v>0</v>
      </c>
      <c r="AD909" s="376"/>
      <c r="AE909" s="332">
        <v>894</v>
      </c>
      <c r="AF909" s="350">
        <v>5762462.8024601201</v>
      </c>
      <c r="AG909" s="350">
        <v>35594.575971779013</v>
      </c>
      <c r="AH909" s="350">
        <v>34080.557495237321</v>
      </c>
      <c r="AI909" s="350">
        <v>32525.799178233607</v>
      </c>
      <c r="AJ909" s="350">
        <v>30930.380435663345</v>
      </c>
      <c r="AK909" s="348">
        <v>5895594.1155410334</v>
      </c>
      <c r="AL909" s="369"/>
      <c r="AM909" s="350">
        <v>7552511.9440770652</v>
      </c>
      <c r="AN909" s="350">
        <v>1847757.8872931416</v>
      </c>
      <c r="AO909" s="350">
        <v>1866947.0962378855</v>
      </c>
      <c r="AP909" s="350">
        <v>1884634.001428006</v>
      </c>
      <c r="AQ909" s="350">
        <v>1900768.1839944271</v>
      </c>
      <c r="AR909" s="348">
        <v>15052619.113030525</v>
      </c>
      <c r="AS909" s="369"/>
      <c r="AT909" s="350">
        <f t="shared" si="363"/>
        <v>1790049.1416169452</v>
      </c>
      <c r="AU909" s="350">
        <f t="shared" si="346"/>
        <v>1812163.3113213626</v>
      </c>
      <c r="AV909" s="350">
        <f t="shared" si="347"/>
        <v>1832866.5387426482</v>
      </c>
      <c r="AW909" s="350">
        <f t="shared" si="348"/>
        <v>1852108.2022497724</v>
      </c>
      <c r="AX909" s="350">
        <f t="shared" si="349"/>
        <v>1869837.8035587638</v>
      </c>
      <c r="AY909" s="350">
        <f t="shared" si="350"/>
        <v>9157024.9974894915</v>
      </c>
      <c r="AZ909" s="365"/>
      <c r="BA909" s="377">
        <f t="shared" si="351"/>
        <v>0</v>
      </c>
      <c r="BB909" s="377">
        <f t="shared" si="352"/>
        <v>0</v>
      </c>
      <c r="BC909" s="377">
        <f t="shared" si="353"/>
        <v>0</v>
      </c>
      <c r="BD909" s="377">
        <f t="shared" si="354"/>
        <v>0</v>
      </c>
      <c r="BE909" s="377">
        <f t="shared" si="355"/>
        <v>0</v>
      </c>
      <c r="BF909" s="377">
        <f t="shared" si="356"/>
        <v>0</v>
      </c>
      <c r="BG909" s="328"/>
    </row>
    <row r="910" spans="2:59">
      <c r="B910" s="332">
        <v>895</v>
      </c>
      <c r="C910" s="350">
        <v>7364620.8532713698</v>
      </c>
      <c r="D910" s="350">
        <v>45491.062667371451</v>
      </c>
      <c r="E910" s="350">
        <v>43556.096242979271</v>
      </c>
      <c r="F910" s="350">
        <v>41569.062935221329</v>
      </c>
      <c r="G910" s="350">
        <v>39530.064239000298</v>
      </c>
      <c r="H910" s="348">
        <v>7534767.1393559417</v>
      </c>
      <c r="I910" s="369"/>
      <c r="J910" s="350">
        <v>9796286.9293876141</v>
      </c>
      <c r="K910" s="350">
        <v>2507197.8091884167</v>
      </c>
      <c r="L910" s="350">
        <v>2533386.8392600007</v>
      </c>
      <c r="M910" s="350">
        <v>2557538.3623250881</v>
      </c>
      <c r="N910" s="350">
        <v>2579583.8812232809</v>
      </c>
      <c r="O910" s="348">
        <v>19973993.8213844</v>
      </c>
      <c r="P910" s="369"/>
      <c r="Q910" s="350">
        <f t="shared" si="357"/>
        <v>2431666.0761162443</v>
      </c>
      <c r="R910" s="350">
        <f t="shared" si="358"/>
        <v>2461706.7465210455</v>
      </c>
      <c r="S910" s="350">
        <f t="shared" si="359"/>
        <v>2489830.7430170216</v>
      </c>
      <c r="T910" s="350">
        <f t="shared" si="360"/>
        <v>2515969.2993898666</v>
      </c>
      <c r="U910" s="350">
        <f t="shared" si="361"/>
        <v>2540053.8169842805</v>
      </c>
      <c r="V910" s="350">
        <f t="shared" si="362"/>
        <v>12439226.682028458</v>
      </c>
      <c r="W910" s="365"/>
      <c r="X910" s="377">
        <f t="shared" si="340"/>
        <v>0</v>
      </c>
      <c r="Y910" s="377">
        <f t="shared" si="341"/>
        <v>0</v>
      </c>
      <c r="Z910" s="377">
        <f t="shared" si="342"/>
        <v>0</v>
      </c>
      <c r="AA910" s="377">
        <f t="shared" si="343"/>
        <v>0</v>
      </c>
      <c r="AB910" s="377">
        <f t="shared" si="344"/>
        <v>0</v>
      </c>
      <c r="AC910" s="377">
        <f t="shared" si="345"/>
        <v>0</v>
      </c>
      <c r="AD910" s="376"/>
      <c r="AE910" s="332">
        <v>895</v>
      </c>
      <c r="AF910" s="350">
        <v>7458574.1604429176</v>
      </c>
      <c r="AG910" s="350">
        <v>46071.409689914311</v>
      </c>
      <c r="AH910" s="350">
        <v>44111.758152946939</v>
      </c>
      <c r="AI910" s="350">
        <v>42099.375495310836</v>
      </c>
      <c r="AJ910" s="350">
        <v>40034.364506718135</v>
      </c>
      <c r="AK910" s="348">
        <v>7630891.0682878075</v>
      </c>
      <c r="AL910" s="369"/>
      <c r="AM910" s="350">
        <v>10455694.553547274</v>
      </c>
      <c r="AN910" s="350">
        <v>3080218.0650664954</v>
      </c>
      <c r="AO910" s="350">
        <v>3112922.3027294436</v>
      </c>
      <c r="AP910" s="350">
        <v>3143126.6792398589</v>
      </c>
      <c r="AQ910" s="350">
        <v>3170746.7469507176</v>
      </c>
      <c r="AR910" s="348">
        <v>22962708.347533792</v>
      </c>
      <c r="AS910" s="369"/>
      <c r="AT910" s="350">
        <f t="shared" si="363"/>
        <v>2997120.3931043567</v>
      </c>
      <c r="AU910" s="350">
        <f t="shared" si="346"/>
        <v>3034146.655376581</v>
      </c>
      <c r="AV910" s="350">
        <f t="shared" si="347"/>
        <v>3068810.5445764968</v>
      </c>
      <c r="AW910" s="350">
        <f t="shared" si="348"/>
        <v>3101027.303744548</v>
      </c>
      <c r="AX910" s="350">
        <f t="shared" si="349"/>
        <v>3130712.3824439994</v>
      </c>
      <c r="AY910" s="350">
        <f t="shared" si="350"/>
        <v>15331817.279245984</v>
      </c>
      <c r="AZ910" s="365"/>
      <c r="BA910" s="377">
        <f t="shared" si="351"/>
        <v>0</v>
      </c>
      <c r="BB910" s="377">
        <f t="shared" si="352"/>
        <v>0</v>
      </c>
      <c r="BC910" s="377">
        <f t="shared" si="353"/>
        <v>0</v>
      </c>
      <c r="BD910" s="377">
        <f t="shared" si="354"/>
        <v>0</v>
      </c>
      <c r="BE910" s="377">
        <f t="shared" si="355"/>
        <v>0</v>
      </c>
      <c r="BF910" s="377">
        <f t="shared" si="356"/>
        <v>0</v>
      </c>
      <c r="BG910" s="328"/>
    </row>
    <row r="911" spans="2:59">
      <c r="B911" s="332">
        <v>896</v>
      </c>
      <c r="C911" s="350">
        <v>6347541.4166491572</v>
      </c>
      <c r="D911" s="350">
        <v>39208.590655452826</v>
      </c>
      <c r="E911" s="350">
        <v>37540.849740697537</v>
      </c>
      <c r="F911" s="350">
        <v>35828.232558016491</v>
      </c>
      <c r="G911" s="350">
        <v>34070.826585510178</v>
      </c>
      <c r="H911" s="348">
        <v>6494189.9161888342</v>
      </c>
      <c r="I911" s="369"/>
      <c r="J911" s="350">
        <v>8309490.9248178154</v>
      </c>
      <c r="K911" s="350">
        <v>2025395.9163043324</v>
      </c>
      <c r="L911" s="350">
        <v>2046419.5562641851</v>
      </c>
      <c r="M911" s="350">
        <v>2065796.4004691695</v>
      </c>
      <c r="N911" s="350">
        <v>2083471.188708253</v>
      </c>
      <c r="O911" s="348">
        <v>16530573.986563755</v>
      </c>
      <c r="P911" s="369"/>
      <c r="Q911" s="350">
        <f t="shared" si="357"/>
        <v>1961949.5081686582</v>
      </c>
      <c r="R911" s="350">
        <f t="shared" si="358"/>
        <v>1986187.3256488796</v>
      </c>
      <c r="S911" s="350">
        <f t="shared" si="359"/>
        <v>2008878.7065234876</v>
      </c>
      <c r="T911" s="350">
        <f t="shared" si="360"/>
        <v>2029968.1679111531</v>
      </c>
      <c r="U911" s="350">
        <f t="shared" si="361"/>
        <v>2049400.3621227427</v>
      </c>
      <c r="V911" s="350">
        <f t="shared" si="362"/>
        <v>10036384.070374921</v>
      </c>
      <c r="W911" s="365"/>
      <c r="X911" s="377">
        <f t="shared" si="340"/>
        <v>0</v>
      </c>
      <c r="Y911" s="377">
        <f t="shared" si="341"/>
        <v>0</v>
      </c>
      <c r="Z911" s="377">
        <f t="shared" si="342"/>
        <v>0</v>
      </c>
      <c r="AA911" s="377">
        <f t="shared" si="343"/>
        <v>0</v>
      </c>
      <c r="AB911" s="377">
        <f t="shared" si="344"/>
        <v>0</v>
      </c>
      <c r="AC911" s="377">
        <f t="shared" si="345"/>
        <v>0</v>
      </c>
      <c r="AD911" s="376"/>
      <c r="AE911" s="332">
        <v>896</v>
      </c>
      <c r="AF911" s="350">
        <v>6732505.2028024951</v>
      </c>
      <c r="AG911" s="350">
        <v>41586.50149016919</v>
      </c>
      <c r="AH911" s="350">
        <v>39817.615925110716</v>
      </c>
      <c r="AI911" s="350">
        <v>38001.132449702149</v>
      </c>
      <c r="AJ911" s="350">
        <v>36137.143847394553</v>
      </c>
      <c r="AK911" s="348">
        <v>6888047.5965148723</v>
      </c>
      <c r="AL911" s="369"/>
      <c r="AM911" s="350">
        <v>10146639.318135682</v>
      </c>
      <c r="AN911" s="350">
        <v>3497898.6439315528</v>
      </c>
      <c r="AO911" s="350">
        <v>3535616.7162344009</v>
      </c>
      <c r="AP911" s="350">
        <v>3570499.5715023386</v>
      </c>
      <c r="AQ911" s="350">
        <v>3602450.9878925458</v>
      </c>
      <c r="AR911" s="348">
        <v>24353105.237696521</v>
      </c>
      <c r="AS911" s="369"/>
      <c r="AT911" s="350">
        <f t="shared" si="363"/>
        <v>3414134.1153331874</v>
      </c>
      <c r="AU911" s="350">
        <f t="shared" si="346"/>
        <v>3456312.1424413836</v>
      </c>
      <c r="AV911" s="350">
        <f t="shared" si="347"/>
        <v>3495799.10030929</v>
      </c>
      <c r="AW911" s="350">
        <f t="shared" si="348"/>
        <v>3532498.4390526363</v>
      </c>
      <c r="AX911" s="350">
        <f t="shared" si="349"/>
        <v>3566313.844045151</v>
      </c>
      <c r="AY911" s="350">
        <f t="shared" si="350"/>
        <v>17465057.641181648</v>
      </c>
      <c r="AZ911" s="365"/>
      <c r="BA911" s="377">
        <f t="shared" si="351"/>
        <v>0</v>
      </c>
      <c r="BB911" s="377">
        <f t="shared" si="352"/>
        <v>0</v>
      </c>
      <c r="BC911" s="377">
        <f t="shared" si="353"/>
        <v>0</v>
      </c>
      <c r="BD911" s="377">
        <f t="shared" si="354"/>
        <v>0</v>
      </c>
      <c r="BE911" s="377">
        <f t="shared" si="355"/>
        <v>0</v>
      </c>
      <c r="BF911" s="377">
        <f t="shared" si="356"/>
        <v>0</v>
      </c>
      <c r="BG911" s="328"/>
    </row>
    <row r="912" spans="2:59">
      <c r="B912" s="332">
        <v>897</v>
      </c>
      <c r="C912" s="350">
        <v>5411250.4558671936</v>
      </c>
      <c r="D912" s="350">
        <v>33425.146861070258</v>
      </c>
      <c r="E912" s="350">
        <v>32003.405246031922</v>
      </c>
      <c r="F912" s="350">
        <v>30543.406814794987</v>
      </c>
      <c r="G912" s="350">
        <v>29045.22614205291</v>
      </c>
      <c r="H912" s="348">
        <v>5536267.6409311425</v>
      </c>
      <c r="I912" s="369"/>
      <c r="J912" s="350">
        <v>7823508.1046028575</v>
      </c>
      <c r="K912" s="350">
        <v>2475483.6953456276</v>
      </c>
      <c r="L912" s="350">
        <v>2501961.4775701407</v>
      </c>
      <c r="M912" s="350">
        <v>2526431.4097147388</v>
      </c>
      <c r="N912" s="350">
        <v>2548825.5152213643</v>
      </c>
      <c r="O912" s="348">
        <v>17876210.202454731</v>
      </c>
      <c r="P912" s="369"/>
      <c r="Q912" s="350">
        <f t="shared" si="357"/>
        <v>2412257.6487356639</v>
      </c>
      <c r="R912" s="350">
        <f t="shared" si="358"/>
        <v>2442058.5484845573</v>
      </c>
      <c r="S912" s="350">
        <f t="shared" si="359"/>
        <v>2469958.0723241088</v>
      </c>
      <c r="T912" s="350">
        <f t="shared" si="360"/>
        <v>2495888.0028999439</v>
      </c>
      <c r="U912" s="350">
        <f t="shared" si="361"/>
        <v>2519780.2890793113</v>
      </c>
      <c r="V912" s="350">
        <f t="shared" si="362"/>
        <v>12339942.561523588</v>
      </c>
      <c r="W912" s="365"/>
      <c r="X912" s="377">
        <f t="shared" ref="X912:X975" si="364">IF(Q912&lt;Q$8,1,0)</f>
        <v>0</v>
      </c>
      <c r="Y912" s="377">
        <f t="shared" ref="Y912:Y975" si="365">IF(R912&lt;R$8,1,0)</f>
        <v>0</v>
      </c>
      <c r="Z912" s="377">
        <f t="shared" ref="Z912:Z975" si="366">IF(S912&lt;S$8,1,0)</f>
        <v>0</v>
      </c>
      <c r="AA912" s="377">
        <f t="shared" ref="AA912:AA975" si="367">IF(T912&lt;T$8,1,0)</f>
        <v>0</v>
      </c>
      <c r="AB912" s="377">
        <f t="shared" ref="AB912:AB975" si="368">IF(U912&lt;U$8,1,0)</f>
        <v>0</v>
      </c>
      <c r="AC912" s="377">
        <f t="shared" ref="AC912:AC975" si="369">IF(V912&lt;V$8,1,0)</f>
        <v>0</v>
      </c>
      <c r="AD912" s="376"/>
      <c r="AE912" s="332">
        <v>897</v>
      </c>
      <c r="AF912" s="350">
        <v>4743325.4625848867</v>
      </c>
      <c r="AG912" s="350">
        <v>29299.392347447414</v>
      </c>
      <c r="AH912" s="350">
        <v>28053.140070115824</v>
      </c>
      <c r="AI912" s="350">
        <v>26773.353116861206</v>
      </c>
      <c r="AJ912" s="350">
        <v>25460.096857419539</v>
      </c>
      <c r="AK912" s="348">
        <v>4852911.4449767312</v>
      </c>
      <c r="AL912" s="369"/>
      <c r="AM912" s="350">
        <v>7142352.4854344614</v>
      </c>
      <c r="AN912" s="350">
        <v>2457963.8645135574</v>
      </c>
      <c r="AO912" s="350">
        <v>2484464.1142115835</v>
      </c>
      <c r="AP912" s="350">
        <v>2508972.0386931556</v>
      </c>
      <c r="AQ912" s="350">
        <v>2531420.0254385779</v>
      </c>
      <c r="AR912" s="348">
        <v>17125172.528291337</v>
      </c>
      <c r="AS912" s="369"/>
      <c r="AT912" s="350">
        <f t="shared" si="363"/>
        <v>2399027.0228495747</v>
      </c>
      <c r="AU912" s="350">
        <f t="shared" ref="AU912:AU975" si="370">AN912-AG912</f>
        <v>2428664.4721661098</v>
      </c>
      <c r="AV912" s="350">
        <f t="shared" ref="AV912:AV975" si="371">AO912-AH912</f>
        <v>2456410.9741414678</v>
      </c>
      <c r="AW912" s="350">
        <f t="shared" ref="AW912:AW975" si="372">AP912-AI912</f>
        <v>2482198.6855762945</v>
      </c>
      <c r="AX912" s="350">
        <f t="shared" ref="AX912:AX975" si="373">AQ912-AJ912</f>
        <v>2505959.9285811582</v>
      </c>
      <c r="AY912" s="350">
        <f t="shared" ref="AY912:AY975" si="374">AR912-AK912</f>
        <v>12272261.083314605</v>
      </c>
      <c r="AZ912" s="365"/>
      <c r="BA912" s="377">
        <f t="shared" ref="BA912:BA975" si="375">IF(AT912&lt;AT$8,1,0)</f>
        <v>0</v>
      </c>
      <c r="BB912" s="377">
        <f t="shared" ref="BB912:BB975" si="376">IF(AU912&lt;AU$8,1,0)</f>
        <v>0</v>
      </c>
      <c r="BC912" s="377">
        <f t="shared" ref="BC912:BC975" si="377">IF(AV912&lt;AV$8,1,0)</f>
        <v>0</v>
      </c>
      <c r="BD912" s="377">
        <f t="shared" ref="BD912:BD975" si="378">IF(AW912&lt;AW$8,1,0)</f>
        <v>0</v>
      </c>
      <c r="BE912" s="377">
        <f t="shared" ref="BE912:BE975" si="379">IF(AX912&lt;AX$8,1,0)</f>
        <v>0</v>
      </c>
      <c r="BF912" s="377">
        <f t="shared" ref="BF912:BF975" si="380">IF(AY912&lt;AY$8,1,0)</f>
        <v>0</v>
      </c>
      <c r="BG912" s="328"/>
    </row>
    <row r="913" spans="2:59">
      <c r="B913" s="332">
        <v>898</v>
      </c>
      <c r="C913" s="350">
        <v>5486330.2040522648</v>
      </c>
      <c r="D913" s="350">
        <v>33888.912423179427</v>
      </c>
      <c r="E913" s="350">
        <v>32447.444498425226</v>
      </c>
      <c r="F913" s="350">
        <v>30967.188953705976</v>
      </c>
      <c r="G913" s="350">
        <v>29448.221398418984</v>
      </c>
      <c r="H913" s="348">
        <v>5613081.9713259945</v>
      </c>
      <c r="I913" s="369"/>
      <c r="J913" s="350">
        <v>7682147.1262642965</v>
      </c>
      <c r="K913" s="350">
        <v>2256832.837424513</v>
      </c>
      <c r="L913" s="350">
        <v>2280787.5980496611</v>
      </c>
      <c r="M913" s="350">
        <v>2302910.700288902</v>
      </c>
      <c r="N913" s="350">
        <v>2323140.2745324094</v>
      </c>
      <c r="O913" s="348">
        <v>16845818.536559783</v>
      </c>
      <c r="P913" s="369"/>
      <c r="Q913" s="350">
        <f t="shared" ref="Q913:Q976" si="381">J913-C913</f>
        <v>2195816.9222120317</v>
      </c>
      <c r="R913" s="350">
        <f t="shared" ref="R913:R976" si="382">K913-D913</f>
        <v>2222943.9250013335</v>
      </c>
      <c r="S913" s="350">
        <f t="shared" ref="S913:S976" si="383">L913-E913</f>
        <v>2248340.1535512358</v>
      </c>
      <c r="T913" s="350">
        <f t="shared" ref="T913:T976" si="384">M913-F913</f>
        <v>2271943.511335196</v>
      </c>
      <c r="U913" s="350">
        <f t="shared" ref="U913:U976" si="385">N913-G913</f>
        <v>2293692.0531339906</v>
      </c>
      <c r="V913" s="350">
        <f t="shared" ref="V913:V976" si="386">O913-H913</f>
        <v>11232736.565233789</v>
      </c>
      <c r="W913" s="365"/>
      <c r="X913" s="377">
        <f t="shared" si="364"/>
        <v>0</v>
      </c>
      <c r="Y913" s="377">
        <f t="shared" si="365"/>
        <v>0</v>
      </c>
      <c r="Z913" s="377">
        <f t="shared" si="366"/>
        <v>0</v>
      </c>
      <c r="AA913" s="377">
        <f t="shared" si="367"/>
        <v>0</v>
      </c>
      <c r="AB913" s="377">
        <f t="shared" si="368"/>
        <v>0</v>
      </c>
      <c r="AC913" s="377">
        <f t="shared" si="369"/>
        <v>0</v>
      </c>
      <c r="AD913" s="376"/>
      <c r="AE913" s="332">
        <v>898</v>
      </c>
      <c r="AF913" s="350">
        <v>5324593.2310498003</v>
      </c>
      <c r="AG913" s="350">
        <v>32889.867540750791</v>
      </c>
      <c r="AH913" s="350">
        <v>31490.894079537076</v>
      </c>
      <c r="AI913" s="350">
        <v>30054.27645710349</v>
      </c>
      <c r="AJ913" s="350">
        <v>28580.088053881344</v>
      </c>
      <c r="AK913" s="348">
        <v>5447608.3571810732</v>
      </c>
      <c r="AL913" s="369"/>
      <c r="AM913" s="350">
        <v>7991738.226466598</v>
      </c>
      <c r="AN913" s="350">
        <v>2732984.6271196967</v>
      </c>
      <c r="AO913" s="350">
        <v>2762433.1360665802</v>
      </c>
      <c r="AP913" s="350">
        <v>2789666.293666163</v>
      </c>
      <c r="AQ913" s="350">
        <v>2814608.9316520169</v>
      </c>
      <c r="AR913" s="348">
        <v>19091431.214971054</v>
      </c>
      <c r="AS913" s="369"/>
      <c r="AT913" s="350">
        <f t="shared" ref="AT913:AT976" si="387">AM913-AF913</f>
        <v>2667144.9954167977</v>
      </c>
      <c r="AU913" s="350">
        <f t="shared" si="370"/>
        <v>2700094.759578946</v>
      </c>
      <c r="AV913" s="350">
        <f t="shared" si="371"/>
        <v>2730942.2419870431</v>
      </c>
      <c r="AW913" s="350">
        <f t="shared" si="372"/>
        <v>2759612.0172090596</v>
      </c>
      <c r="AX913" s="350">
        <f t="shared" si="373"/>
        <v>2786028.8435981357</v>
      </c>
      <c r="AY913" s="350">
        <f t="shared" si="374"/>
        <v>13643822.857789982</v>
      </c>
      <c r="AZ913" s="365"/>
      <c r="BA913" s="377">
        <f t="shared" si="375"/>
        <v>0</v>
      </c>
      <c r="BB913" s="377">
        <f t="shared" si="376"/>
        <v>0</v>
      </c>
      <c r="BC913" s="377">
        <f t="shared" si="377"/>
        <v>0</v>
      </c>
      <c r="BD913" s="377">
        <f t="shared" si="378"/>
        <v>0</v>
      </c>
      <c r="BE913" s="377">
        <f t="shared" si="379"/>
        <v>0</v>
      </c>
      <c r="BF913" s="377">
        <f t="shared" si="380"/>
        <v>0</v>
      </c>
      <c r="BG913" s="328"/>
    </row>
    <row r="914" spans="2:59">
      <c r="B914" s="332">
        <v>899</v>
      </c>
      <c r="C914" s="350">
        <v>4523364.7125270702</v>
      </c>
      <c r="D914" s="350">
        <v>27940.700778036742</v>
      </c>
      <c r="E914" s="350">
        <v>26752.2405682852</v>
      </c>
      <c r="F914" s="350">
        <v>25531.800775660595</v>
      </c>
      <c r="G914" s="350">
        <v>24279.443738531856</v>
      </c>
      <c r="H914" s="348">
        <v>4627868.8983875839</v>
      </c>
      <c r="I914" s="369"/>
      <c r="J914" s="350">
        <v>5841164.3423112454</v>
      </c>
      <c r="K914" s="350">
        <v>1362020.3554911036</v>
      </c>
      <c r="L914" s="350">
        <v>1376073.2117328458</v>
      </c>
      <c r="M914" s="350">
        <v>1389018.1132465587</v>
      </c>
      <c r="N914" s="350">
        <v>1400817.9465085762</v>
      </c>
      <c r="O914" s="348">
        <v>11369093.969290331</v>
      </c>
      <c r="P914" s="369"/>
      <c r="Q914" s="350">
        <f t="shared" si="381"/>
        <v>1317799.6297841752</v>
      </c>
      <c r="R914" s="350">
        <f t="shared" si="382"/>
        <v>1334079.6547130668</v>
      </c>
      <c r="S914" s="350">
        <f t="shared" si="383"/>
        <v>1349320.9711645606</v>
      </c>
      <c r="T914" s="350">
        <f t="shared" si="384"/>
        <v>1363486.312470898</v>
      </c>
      <c r="U914" s="350">
        <f t="shared" si="385"/>
        <v>1376538.5027700444</v>
      </c>
      <c r="V914" s="350">
        <f t="shared" si="386"/>
        <v>6741225.0709027471</v>
      </c>
      <c r="W914" s="365"/>
      <c r="X914" s="377">
        <f t="shared" si="364"/>
        <v>0</v>
      </c>
      <c r="Y914" s="377">
        <f t="shared" si="365"/>
        <v>0</v>
      </c>
      <c r="Z914" s="377">
        <f t="shared" si="366"/>
        <v>0</v>
      </c>
      <c r="AA914" s="377">
        <f t="shared" si="367"/>
        <v>0</v>
      </c>
      <c r="AB914" s="377">
        <f t="shared" si="368"/>
        <v>0</v>
      </c>
      <c r="AC914" s="377">
        <f t="shared" si="369"/>
        <v>0</v>
      </c>
      <c r="AD914" s="376"/>
      <c r="AE914" s="332">
        <v>899</v>
      </c>
      <c r="AF914" s="350">
        <v>7005431.0422655791</v>
      </c>
      <c r="AG914" s="350">
        <v>43272.356976001305</v>
      </c>
      <c r="AH914" s="350">
        <v>41431.763396881244</v>
      </c>
      <c r="AI914" s="350">
        <v>39541.642358267069</v>
      </c>
      <c r="AJ914" s="350">
        <v>37602.090404916016</v>
      </c>
      <c r="AK914" s="348">
        <v>7167278.8954016445</v>
      </c>
      <c r="AL914" s="369"/>
      <c r="AM914" s="350">
        <v>9535955.6010746323</v>
      </c>
      <c r="AN914" s="350">
        <v>2605058.8785064532</v>
      </c>
      <c r="AO914" s="350">
        <v>2632485.6520728227</v>
      </c>
      <c r="AP914" s="350">
        <v>2657796.7407245385</v>
      </c>
      <c r="AQ914" s="350">
        <v>2680920.8534981618</v>
      </c>
      <c r="AR914" s="348">
        <v>20112217.725876607</v>
      </c>
      <c r="AS914" s="369"/>
      <c r="AT914" s="350">
        <f t="shared" si="387"/>
        <v>2530524.5588090532</v>
      </c>
      <c r="AU914" s="350">
        <f t="shared" si="370"/>
        <v>2561786.5215304517</v>
      </c>
      <c r="AV914" s="350">
        <f t="shared" si="371"/>
        <v>2591053.8886759416</v>
      </c>
      <c r="AW914" s="350">
        <f t="shared" si="372"/>
        <v>2618255.0983662712</v>
      </c>
      <c r="AX914" s="350">
        <f t="shared" si="373"/>
        <v>2643318.7630932457</v>
      </c>
      <c r="AY914" s="350">
        <f t="shared" si="374"/>
        <v>12944938.830474962</v>
      </c>
      <c r="AZ914" s="365"/>
      <c r="BA914" s="377">
        <f t="shared" si="375"/>
        <v>0</v>
      </c>
      <c r="BB914" s="377">
        <f t="shared" si="376"/>
        <v>0</v>
      </c>
      <c r="BC914" s="377">
        <f t="shared" si="377"/>
        <v>0</v>
      </c>
      <c r="BD914" s="377">
        <f t="shared" si="378"/>
        <v>0</v>
      </c>
      <c r="BE914" s="377">
        <f t="shared" si="379"/>
        <v>0</v>
      </c>
      <c r="BF914" s="377">
        <f t="shared" si="380"/>
        <v>0</v>
      </c>
      <c r="BG914" s="328"/>
    </row>
    <row r="915" spans="2:59">
      <c r="B915" s="332">
        <v>900</v>
      </c>
      <c r="C915" s="350">
        <v>9080517.6718312595</v>
      </c>
      <c r="D915" s="350">
        <v>56090.11063725975</v>
      </c>
      <c r="E915" s="350">
        <v>53704.312758296044</v>
      </c>
      <c r="F915" s="350">
        <v>51254.316835207603</v>
      </c>
      <c r="G915" s="350">
        <v>48740.248010378527</v>
      </c>
      <c r="H915" s="348">
        <v>9290306.660072403</v>
      </c>
      <c r="I915" s="369"/>
      <c r="J915" s="350">
        <v>12713893.292125162</v>
      </c>
      <c r="K915" s="350">
        <v>3734352.2556633814</v>
      </c>
      <c r="L915" s="350">
        <v>3773989.1039928575</v>
      </c>
      <c r="M915" s="350">
        <v>3810595.1258378332</v>
      </c>
      <c r="N915" s="350">
        <v>3844067.9467893443</v>
      </c>
      <c r="O915" s="348">
        <v>27876897.724408578</v>
      </c>
      <c r="P915" s="369"/>
      <c r="Q915" s="350">
        <f t="shared" si="381"/>
        <v>3633375.6202939022</v>
      </c>
      <c r="R915" s="350">
        <f t="shared" si="382"/>
        <v>3678262.1450261218</v>
      </c>
      <c r="S915" s="350">
        <f t="shared" si="383"/>
        <v>3720284.7912345612</v>
      </c>
      <c r="T915" s="350">
        <f t="shared" si="384"/>
        <v>3759340.8090026258</v>
      </c>
      <c r="U915" s="350">
        <f t="shared" si="385"/>
        <v>3795327.698778966</v>
      </c>
      <c r="V915" s="350">
        <f t="shared" si="386"/>
        <v>18586591.064336173</v>
      </c>
      <c r="W915" s="365"/>
      <c r="X915" s="377">
        <f t="shared" si="364"/>
        <v>0</v>
      </c>
      <c r="Y915" s="377">
        <f t="shared" si="365"/>
        <v>0</v>
      </c>
      <c r="Z915" s="377">
        <f t="shared" si="366"/>
        <v>0</v>
      </c>
      <c r="AA915" s="377">
        <f t="shared" si="367"/>
        <v>0</v>
      </c>
      <c r="AB915" s="377">
        <f t="shared" si="368"/>
        <v>0</v>
      </c>
      <c r="AC915" s="377">
        <f t="shared" si="369"/>
        <v>0</v>
      </c>
      <c r="AD915" s="376"/>
      <c r="AE915" s="332">
        <v>900</v>
      </c>
      <c r="AF915" s="350">
        <v>6073935.364448335</v>
      </c>
      <c r="AG915" s="350">
        <v>37518.533514044066</v>
      </c>
      <c r="AH915" s="350">
        <v>35922.679331147163</v>
      </c>
      <c r="AI915" s="350">
        <v>34283.8832384794</v>
      </c>
      <c r="AJ915" s="350">
        <v>32602.228943464685</v>
      </c>
      <c r="AK915" s="348">
        <v>6214262.6894754702</v>
      </c>
      <c r="AL915" s="369"/>
      <c r="AM915" s="350">
        <v>7914086.2418185994</v>
      </c>
      <c r="AN915" s="350">
        <v>1900402.5347063385</v>
      </c>
      <c r="AO915" s="350">
        <v>1920089.37115911</v>
      </c>
      <c r="AP915" s="350">
        <v>1938230.7940344622</v>
      </c>
      <c r="AQ915" s="350">
        <v>1954774.9753579507</v>
      </c>
      <c r="AR915" s="348">
        <v>15627583.917076461</v>
      </c>
      <c r="AS915" s="369"/>
      <c r="AT915" s="350">
        <f t="shared" si="387"/>
        <v>1840150.8773702644</v>
      </c>
      <c r="AU915" s="350">
        <f t="shared" si="370"/>
        <v>1862884.0011922945</v>
      </c>
      <c r="AV915" s="350">
        <f t="shared" si="371"/>
        <v>1884166.6918279629</v>
      </c>
      <c r="AW915" s="350">
        <f t="shared" si="372"/>
        <v>1903946.9107959827</v>
      </c>
      <c r="AX915" s="350">
        <f t="shared" si="373"/>
        <v>1922172.7464144861</v>
      </c>
      <c r="AY915" s="350">
        <f t="shared" si="374"/>
        <v>9413321.2276009917</v>
      </c>
      <c r="AZ915" s="365"/>
      <c r="BA915" s="377">
        <f t="shared" si="375"/>
        <v>0</v>
      </c>
      <c r="BB915" s="377">
        <f t="shared" si="376"/>
        <v>0</v>
      </c>
      <c r="BC915" s="377">
        <f t="shared" si="377"/>
        <v>0</v>
      </c>
      <c r="BD915" s="377">
        <f t="shared" si="378"/>
        <v>0</v>
      </c>
      <c r="BE915" s="377">
        <f t="shared" si="379"/>
        <v>0</v>
      </c>
      <c r="BF915" s="377">
        <f t="shared" si="380"/>
        <v>0</v>
      </c>
      <c r="BG915" s="328"/>
    </row>
    <row r="916" spans="2:59">
      <c r="B916" s="332">
        <v>901</v>
      </c>
      <c r="C916" s="350">
        <v>6072933.449507162</v>
      </c>
      <c r="D916" s="350">
        <v>37512.344712707854</v>
      </c>
      <c r="E916" s="350">
        <v>35916.753771030257</v>
      </c>
      <c r="F916" s="350">
        <v>34278.228002984579</v>
      </c>
      <c r="G916" s="350">
        <v>32596.851102193046</v>
      </c>
      <c r="H916" s="348">
        <v>6213237.6270960784</v>
      </c>
      <c r="I916" s="369"/>
      <c r="J916" s="350">
        <v>8444883.858518824</v>
      </c>
      <c r="K916" s="350">
        <v>2438765.7000267082</v>
      </c>
      <c r="L916" s="350">
        <v>2464603.4502196889</v>
      </c>
      <c r="M916" s="350">
        <v>2488461.5829313989</v>
      </c>
      <c r="N916" s="350">
        <v>2510273.2678124132</v>
      </c>
      <c r="O916" s="348">
        <v>18346987.859509032</v>
      </c>
      <c r="P916" s="369"/>
      <c r="Q916" s="350">
        <f t="shared" si="381"/>
        <v>2371950.409011662</v>
      </c>
      <c r="R916" s="350">
        <f t="shared" si="382"/>
        <v>2401253.3553140005</v>
      </c>
      <c r="S916" s="350">
        <f t="shared" si="383"/>
        <v>2428686.6964486586</v>
      </c>
      <c r="T916" s="350">
        <f t="shared" si="384"/>
        <v>2454183.3549284143</v>
      </c>
      <c r="U916" s="350">
        <f t="shared" si="385"/>
        <v>2477676.4167102203</v>
      </c>
      <c r="V916" s="350">
        <f t="shared" si="386"/>
        <v>12133750.232412953</v>
      </c>
      <c r="W916" s="365"/>
      <c r="X916" s="377">
        <f t="shared" si="364"/>
        <v>0</v>
      </c>
      <c r="Y916" s="377">
        <f t="shared" si="365"/>
        <v>0</v>
      </c>
      <c r="Z916" s="377">
        <f t="shared" si="366"/>
        <v>0</v>
      </c>
      <c r="AA916" s="377">
        <f t="shared" si="367"/>
        <v>0</v>
      </c>
      <c r="AB916" s="377">
        <f t="shared" si="368"/>
        <v>0</v>
      </c>
      <c r="AC916" s="377">
        <f t="shared" si="369"/>
        <v>0</v>
      </c>
      <c r="AD916" s="376"/>
      <c r="AE916" s="332">
        <v>901</v>
      </c>
      <c r="AF916" s="350">
        <v>4189478.860790079</v>
      </c>
      <c r="AG916" s="350">
        <v>25878.29695471294</v>
      </c>
      <c r="AH916" s="350">
        <v>24777.561276280361</v>
      </c>
      <c r="AI916" s="350">
        <v>23647.206543240565</v>
      </c>
      <c r="AJ916" s="350">
        <v>22487.290492544209</v>
      </c>
      <c r="AK916" s="348">
        <v>4286269.2160568573</v>
      </c>
      <c r="AL916" s="369"/>
      <c r="AM916" s="350">
        <v>6911719.5729719065</v>
      </c>
      <c r="AN916" s="350">
        <v>2781749.4227860146</v>
      </c>
      <c r="AO916" s="350">
        <v>2812133.3917726595</v>
      </c>
      <c r="AP916" s="350">
        <v>2840265.049210906</v>
      </c>
      <c r="AQ916" s="350">
        <v>2866067.6569099701</v>
      </c>
      <c r="AR916" s="348">
        <v>18211935.093651455</v>
      </c>
      <c r="AS916" s="369"/>
      <c r="AT916" s="350">
        <f t="shared" si="387"/>
        <v>2722240.7121818275</v>
      </c>
      <c r="AU916" s="350">
        <f t="shared" si="370"/>
        <v>2755871.1258313018</v>
      </c>
      <c r="AV916" s="350">
        <f t="shared" si="371"/>
        <v>2787355.8304963792</v>
      </c>
      <c r="AW916" s="350">
        <f t="shared" si="372"/>
        <v>2816617.8426676653</v>
      </c>
      <c r="AX916" s="350">
        <f t="shared" si="373"/>
        <v>2843580.3664174257</v>
      </c>
      <c r="AY916" s="350">
        <f t="shared" si="374"/>
        <v>13925665.877594598</v>
      </c>
      <c r="AZ916" s="365"/>
      <c r="BA916" s="377">
        <f t="shared" si="375"/>
        <v>0</v>
      </c>
      <c r="BB916" s="377">
        <f t="shared" si="376"/>
        <v>0</v>
      </c>
      <c r="BC916" s="377">
        <f t="shared" si="377"/>
        <v>0</v>
      </c>
      <c r="BD916" s="377">
        <f t="shared" si="378"/>
        <v>0</v>
      </c>
      <c r="BE916" s="377">
        <f t="shared" si="379"/>
        <v>0</v>
      </c>
      <c r="BF916" s="377">
        <f t="shared" si="380"/>
        <v>0</v>
      </c>
      <c r="BG916" s="328"/>
    </row>
    <row r="917" spans="2:59">
      <c r="B917" s="332">
        <v>902</v>
      </c>
      <c r="C917" s="350">
        <v>5474070.9890776202</v>
      </c>
      <c r="D917" s="350">
        <v>33813.187585774402</v>
      </c>
      <c r="E917" s="350">
        <v>32374.940623759248</v>
      </c>
      <c r="F917" s="350">
        <v>30897.992712790488</v>
      </c>
      <c r="G917" s="350">
        <v>29382.419293312243</v>
      </c>
      <c r="H917" s="348">
        <v>5600539.5292932568</v>
      </c>
      <c r="I917" s="369"/>
      <c r="J917" s="350">
        <v>7655064.3885587305</v>
      </c>
      <c r="K917" s="350">
        <v>2241750.4608628722</v>
      </c>
      <c r="L917" s="350">
        <v>2265536.9975696388</v>
      </c>
      <c r="M917" s="350">
        <v>2287504.0658749919</v>
      </c>
      <c r="N917" s="350">
        <v>2307590.2141799862</v>
      </c>
      <c r="O917" s="348">
        <v>16757446.12704622</v>
      </c>
      <c r="P917" s="369"/>
      <c r="Q917" s="350">
        <f t="shared" si="381"/>
        <v>2180993.3994811103</v>
      </c>
      <c r="R917" s="350">
        <f t="shared" si="382"/>
        <v>2207937.2732770978</v>
      </c>
      <c r="S917" s="350">
        <f t="shared" si="383"/>
        <v>2233162.0569458795</v>
      </c>
      <c r="T917" s="350">
        <f t="shared" si="384"/>
        <v>2256606.0731622013</v>
      </c>
      <c r="U917" s="350">
        <f t="shared" si="385"/>
        <v>2278207.7948866738</v>
      </c>
      <c r="V917" s="350">
        <f t="shared" si="386"/>
        <v>11156906.597752962</v>
      </c>
      <c r="W917" s="365"/>
      <c r="X917" s="377">
        <f t="shared" si="364"/>
        <v>0</v>
      </c>
      <c r="Y917" s="377">
        <f t="shared" si="365"/>
        <v>0</v>
      </c>
      <c r="Z917" s="377">
        <f t="shared" si="366"/>
        <v>0</v>
      </c>
      <c r="AA917" s="377">
        <f t="shared" si="367"/>
        <v>0</v>
      </c>
      <c r="AB917" s="377">
        <f t="shared" si="368"/>
        <v>0</v>
      </c>
      <c r="AC917" s="377">
        <f t="shared" si="369"/>
        <v>0</v>
      </c>
      <c r="AD917" s="376"/>
      <c r="AE917" s="332">
        <v>902</v>
      </c>
      <c r="AF917" s="350">
        <v>4863317.75581499</v>
      </c>
      <c r="AG917" s="350">
        <v>30040.581478521588</v>
      </c>
      <c r="AH917" s="350">
        <v>28762.802655126055</v>
      </c>
      <c r="AI917" s="350">
        <v>27450.640826357532</v>
      </c>
      <c r="AJ917" s="350">
        <v>26104.163015620506</v>
      </c>
      <c r="AK917" s="348">
        <v>4975675.9437906155</v>
      </c>
      <c r="AL917" s="369"/>
      <c r="AM917" s="350">
        <v>6171938.3984942976</v>
      </c>
      <c r="AN917" s="350">
        <v>1354827.8523794292</v>
      </c>
      <c r="AO917" s="350">
        <v>1368685.2283088842</v>
      </c>
      <c r="AP917" s="350">
        <v>1381439.7406732992</v>
      </c>
      <c r="AQ917" s="350">
        <v>1393054.5395783843</v>
      </c>
      <c r="AR917" s="348">
        <v>11669945.759434294</v>
      </c>
      <c r="AS917" s="369"/>
      <c r="AT917" s="350">
        <f t="shared" si="387"/>
        <v>1308620.6426793076</v>
      </c>
      <c r="AU917" s="350">
        <f t="shared" si="370"/>
        <v>1324787.2709009075</v>
      </c>
      <c r="AV917" s="350">
        <f t="shared" si="371"/>
        <v>1339922.4256537582</v>
      </c>
      <c r="AW917" s="350">
        <f t="shared" si="372"/>
        <v>1353989.0998469417</v>
      </c>
      <c r="AX917" s="350">
        <f t="shared" si="373"/>
        <v>1366950.3765627637</v>
      </c>
      <c r="AY917" s="350">
        <f t="shared" si="374"/>
        <v>6694269.8156436784</v>
      </c>
      <c r="AZ917" s="365"/>
      <c r="BA917" s="377">
        <f t="shared" si="375"/>
        <v>0</v>
      </c>
      <c r="BB917" s="377">
        <f t="shared" si="376"/>
        <v>0</v>
      </c>
      <c r="BC917" s="377">
        <f t="shared" si="377"/>
        <v>0</v>
      </c>
      <c r="BD917" s="377">
        <f t="shared" si="378"/>
        <v>0</v>
      </c>
      <c r="BE917" s="377">
        <f t="shared" si="379"/>
        <v>0</v>
      </c>
      <c r="BF917" s="377">
        <f t="shared" si="380"/>
        <v>0</v>
      </c>
      <c r="BG917" s="328"/>
    </row>
    <row r="918" spans="2:59">
      <c r="B918" s="332">
        <v>903</v>
      </c>
      <c r="C918" s="350">
        <v>5403922.2884303546</v>
      </c>
      <c r="D918" s="350">
        <v>33379.880970165614</v>
      </c>
      <c r="E918" s="350">
        <v>31960.06474384851</v>
      </c>
      <c r="F918" s="350">
        <v>30502.043510498523</v>
      </c>
      <c r="G918" s="350">
        <v>29005.891743812466</v>
      </c>
      <c r="H918" s="348">
        <v>5528770.1693986803</v>
      </c>
      <c r="I918" s="369"/>
      <c r="J918" s="350">
        <v>8710788.1290370561</v>
      </c>
      <c r="K918" s="350">
        <v>3381098.5622552317</v>
      </c>
      <c r="L918" s="350">
        <v>3417925.0678521898</v>
      </c>
      <c r="M918" s="350">
        <v>3452013.3331921166</v>
      </c>
      <c r="N918" s="350">
        <v>3483270.1442202441</v>
      </c>
      <c r="O918" s="348">
        <v>22445095.236556839</v>
      </c>
      <c r="P918" s="369"/>
      <c r="Q918" s="350">
        <f t="shared" si="381"/>
        <v>3306865.8406067016</v>
      </c>
      <c r="R918" s="350">
        <f t="shared" si="382"/>
        <v>3347718.6812850661</v>
      </c>
      <c r="S918" s="350">
        <f t="shared" si="383"/>
        <v>3385965.0031083412</v>
      </c>
      <c r="T918" s="350">
        <f t="shared" si="384"/>
        <v>3421511.2896816181</v>
      </c>
      <c r="U918" s="350">
        <f t="shared" si="385"/>
        <v>3454264.2524764319</v>
      </c>
      <c r="V918" s="350">
        <f t="shared" si="386"/>
        <v>16916325.067158159</v>
      </c>
      <c r="W918" s="365"/>
      <c r="X918" s="377">
        <f t="shared" si="364"/>
        <v>0</v>
      </c>
      <c r="Y918" s="377">
        <f t="shared" si="365"/>
        <v>0</v>
      </c>
      <c r="Z918" s="377">
        <f t="shared" si="366"/>
        <v>0</v>
      </c>
      <c r="AA918" s="377">
        <f t="shared" si="367"/>
        <v>0</v>
      </c>
      <c r="AB918" s="377">
        <f t="shared" si="368"/>
        <v>0</v>
      </c>
      <c r="AC918" s="377">
        <f t="shared" si="369"/>
        <v>0</v>
      </c>
      <c r="AD918" s="376"/>
      <c r="AE918" s="332">
        <v>903</v>
      </c>
      <c r="AF918" s="350">
        <v>5204178.3240129454</v>
      </c>
      <c r="AG918" s="350">
        <v>32146.067935689101</v>
      </c>
      <c r="AH918" s="350">
        <v>30778.732057284291</v>
      </c>
      <c r="AI918" s="350">
        <v>29374.603334932206</v>
      </c>
      <c r="AJ918" s="350">
        <v>27933.753489572144</v>
      </c>
      <c r="AK918" s="348">
        <v>5324411.4808304245</v>
      </c>
      <c r="AL918" s="369"/>
      <c r="AM918" s="350">
        <v>8358701.1510618106</v>
      </c>
      <c r="AN918" s="350">
        <v>3225639.6983619444</v>
      </c>
      <c r="AO918" s="350">
        <v>3260756.7259435453</v>
      </c>
      <c r="AP918" s="350">
        <v>3293261.3125477443</v>
      </c>
      <c r="AQ918" s="350">
        <v>3323064.5390483346</v>
      </c>
      <c r="AR918" s="348">
        <v>21461423.426963381</v>
      </c>
      <c r="AS918" s="369"/>
      <c r="AT918" s="350">
        <f t="shared" si="387"/>
        <v>3154522.8270488651</v>
      </c>
      <c r="AU918" s="350">
        <f t="shared" si="370"/>
        <v>3193493.6304262555</v>
      </c>
      <c r="AV918" s="350">
        <f t="shared" si="371"/>
        <v>3229977.9938862612</v>
      </c>
      <c r="AW918" s="350">
        <f t="shared" si="372"/>
        <v>3263886.7092128121</v>
      </c>
      <c r="AX918" s="350">
        <f t="shared" si="373"/>
        <v>3295130.7855587625</v>
      </c>
      <c r="AY918" s="350">
        <f t="shared" si="374"/>
        <v>16137011.946132958</v>
      </c>
      <c r="AZ918" s="365"/>
      <c r="BA918" s="377">
        <f t="shared" si="375"/>
        <v>0</v>
      </c>
      <c r="BB918" s="377">
        <f t="shared" si="376"/>
        <v>0</v>
      </c>
      <c r="BC918" s="377">
        <f t="shared" si="377"/>
        <v>0</v>
      </c>
      <c r="BD918" s="377">
        <f t="shared" si="378"/>
        <v>0</v>
      </c>
      <c r="BE918" s="377">
        <f t="shared" si="379"/>
        <v>0</v>
      </c>
      <c r="BF918" s="377">
        <f t="shared" si="380"/>
        <v>0</v>
      </c>
      <c r="BG918" s="328"/>
    </row>
    <row r="919" spans="2:59">
      <c r="B919" s="332">
        <v>904</v>
      </c>
      <c r="C919" s="350">
        <v>5657099.9983572355</v>
      </c>
      <c r="D919" s="350">
        <v>34943.752797070294</v>
      </c>
      <c r="E919" s="350">
        <v>33457.41714254758</v>
      </c>
      <c r="F919" s="350">
        <v>31931.086548481428</v>
      </c>
      <c r="G919" s="350">
        <v>30364.838977714622</v>
      </c>
      <c r="H919" s="348">
        <v>5787797.0938230492</v>
      </c>
      <c r="I919" s="369"/>
      <c r="J919" s="350">
        <v>7180738.7122638142</v>
      </c>
      <c r="K919" s="350">
        <v>1577405.4164787133</v>
      </c>
      <c r="L919" s="350">
        <v>1593541.0768177684</v>
      </c>
      <c r="M919" s="350">
        <v>1608392.7007489838</v>
      </c>
      <c r="N919" s="350">
        <v>1621917.3835378729</v>
      </c>
      <c r="O919" s="348">
        <v>13581995.289847152</v>
      </c>
      <c r="P919" s="369"/>
      <c r="Q919" s="350">
        <f t="shared" si="381"/>
        <v>1523638.7139065787</v>
      </c>
      <c r="R919" s="350">
        <f t="shared" si="382"/>
        <v>1542461.6636816431</v>
      </c>
      <c r="S919" s="350">
        <f t="shared" si="383"/>
        <v>1560083.6596752207</v>
      </c>
      <c r="T919" s="350">
        <f t="shared" si="384"/>
        <v>1576461.6142005024</v>
      </c>
      <c r="U919" s="350">
        <f t="shared" si="385"/>
        <v>1591552.5445601584</v>
      </c>
      <c r="V919" s="350">
        <f t="shared" si="386"/>
        <v>7794198.1960241031</v>
      </c>
      <c r="W919" s="365"/>
      <c r="X919" s="377">
        <f t="shared" si="364"/>
        <v>0</v>
      </c>
      <c r="Y919" s="377">
        <f t="shared" si="365"/>
        <v>0</v>
      </c>
      <c r="Z919" s="377">
        <f t="shared" si="366"/>
        <v>0</v>
      </c>
      <c r="AA919" s="377">
        <f t="shared" si="367"/>
        <v>0</v>
      </c>
      <c r="AB919" s="377">
        <f t="shared" si="368"/>
        <v>0</v>
      </c>
      <c r="AC919" s="377">
        <f t="shared" si="369"/>
        <v>0</v>
      </c>
      <c r="AD919" s="376"/>
      <c r="AE919" s="332">
        <v>904</v>
      </c>
      <c r="AF919" s="350">
        <v>6038676.7517142771</v>
      </c>
      <c r="AG919" s="350">
        <v>37300.742022341998</v>
      </c>
      <c r="AH919" s="350">
        <v>35714.151620048768</v>
      </c>
      <c r="AI919" s="350">
        <v>34084.868581655814</v>
      </c>
      <c r="AJ919" s="350">
        <v>32412.976128673385</v>
      </c>
      <c r="AK919" s="348">
        <v>6178189.4900669968</v>
      </c>
      <c r="AL919" s="369"/>
      <c r="AM919" s="350">
        <v>7736276.4568803553</v>
      </c>
      <c r="AN919" s="350">
        <v>1755872.5015848172</v>
      </c>
      <c r="AO919" s="350">
        <v>1773919.8932611463</v>
      </c>
      <c r="AP919" s="350">
        <v>1790538.5127731236</v>
      </c>
      <c r="AQ919" s="350">
        <v>1805680.5531084128</v>
      </c>
      <c r="AR919" s="348">
        <v>14862287.917607855</v>
      </c>
      <c r="AS919" s="369"/>
      <c r="AT919" s="350">
        <f t="shared" si="387"/>
        <v>1697599.7051660782</v>
      </c>
      <c r="AU919" s="350">
        <f t="shared" si="370"/>
        <v>1718571.7595624751</v>
      </c>
      <c r="AV919" s="350">
        <f t="shared" si="371"/>
        <v>1738205.7416410975</v>
      </c>
      <c r="AW919" s="350">
        <f t="shared" si="372"/>
        <v>1756453.6441914677</v>
      </c>
      <c r="AX919" s="350">
        <f t="shared" si="373"/>
        <v>1773267.5769797394</v>
      </c>
      <c r="AY919" s="350">
        <f t="shared" si="374"/>
        <v>8684098.4275408573</v>
      </c>
      <c r="AZ919" s="365"/>
      <c r="BA919" s="377">
        <f t="shared" si="375"/>
        <v>0</v>
      </c>
      <c r="BB919" s="377">
        <f t="shared" si="376"/>
        <v>0</v>
      </c>
      <c r="BC919" s="377">
        <f t="shared" si="377"/>
        <v>0</v>
      </c>
      <c r="BD919" s="377">
        <f t="shared" si="378"/>
        <v>0</v>
      </c>
      <c r="BE919" s="377">
        <f t="shared" si="379"/>
        <v>0</v>
      </c>
      <c r="BF919" s="377">
        <f t="shared" si="380"/>
        <v>0</v>
      </c>
      <c r="BG919" s="328"/>
    </row>
    <row r="920" spans="2:59">
      <c r="B920" s="332">
        <v>905</v>
      </c>
      <c r="C920" s="350">
        <v>6254770.9374737227</v>
      </c>
      <c r="D920" s="350">
        <v>38635.549929264678</v>
      </c>
      <c r="E920" s="350">
        <v>36992.18335311611</v>
      </c>
      <c r="F920" s="350">
        <v>35304.596383905991</v>
      </c>
      <c r="G920" s="350">
        <v>33572.875221232251</v>
      </c>
      <c r="H920" s="348">
        <v>6399276.1423612414</v>
      </c>
      <c r="I920" s="369"/>
      <c r="J920" s="350">
        <v>8755501.4759657159</v>
      </c>
      <c r="K920" s="350">
        <v>2570259.9774366613</v>
      </c>
      <c r="L920" s="350">
        <v>2597539.3883720781</v>
      </c>
      <c r="M920" s="350">
        <v>2622732.7480902802</v>
      </c>
      <c r="N920" s="350">
        <v>2645769.595788586</v>
      </c>
      <c r="O920" s="348">
        <v>19191803.185653321</v>
      </c>
      <c r="P920" s="369"/>
      <c r="Q920" s="350">
        <f t="shared" si="381"/>
        <v>2500730.5384919932</v>
      </c>
      <c r="R920" s="350">
        <f t="shared" si="382"/>
        <v>2531624.4275073968</v>
      </c>
      <c r="S920" s="350">
        <f t="shared" si="383"/>
        <v>2560547.2050189618</v>
      </c>
      <c r="T920" s="350">
        <f t="shared" si="384"/>
        <v>2587428.1517063743</v>
      </c>
      <c r="U920" s="350">
        <f t="shared" si="385"/>
        <v>2612196.7205673535</v>
      </c>
      <c r="V920" s="350">
        <f t="shared" si="386"/>
        <v>12792527.043292079</v>
      </c>
      <c r="W920" s="365"/>
      <c r="X920" s="377">
        <f t="shared" si="364"/>
        <v>0</v>
      </c>
      <c r="Y920" s="377">
        <f t="shared" si="365"/>
        <v>0</v>
      </c>
      <c r="Z920" s="377">
        <f t="shared" si="366"/>
        <v>0</v>
      </c>
      <c r="AA920" s="377">
        <f t="shared" si="367"/>
        <v>0</v>
      </c>
      <c r="AB920" s="377">
        <f t="shared" si="368"/>
        <v>0</v>
      </c>
      <c r="AC920" s="377">
        <f t="shared" si="369"/>
        <v>0</v>
      </c>
      <c r="AD920" s="376"/>
      <c r="AE920" s="332">
        <v>905</v>
      </c>
      <c r="AF920" s="350">
        <v>5032157.7599059949</v>
      </c>
      <c r="AG920" s="350">
        <v>31083.501590757463</v>
      </c>
      <c r="AH920" s="350">
        <v>29761.362066990587</v>
      </c>
      <c r="AI920" s="350">
        <v>28403.64586163051</v>
      </c>
      <c r="AJ920" s="350">
        <v>27010.422324933505</v>
      </c>
      <c r="AK920" s="348">
        <v>5148416.6917503066</v>
      </c>
      <c r="AL920" s="369"/>
      <c r="AM920" s="350">
        <v>7181797.8208473101</v>
      </c>
      <c r="AN920" s="350">
        <v>2207280.0988895786</v>
      </c>
      <c r="AO920" s="350">
        <v>2230820.1187450625</v>
      </c>
      <c r="AP920" s="350">
        <v>2252569.3942710618</v>
      </c>
      <c r="AQ920" s="350">
        <v>2272467.3522736039</v>
      </c>
      <c r="AR920" s="348">
        <v>16144934.785026615</v>
      </c>
      <c r="AS920" s="369"/>
      <c r="AT920" s="350">
        <f t="shared" si="387"/>
        <v>2149640.0609413153</v>
      </c>
      <c r="AU920" s="350">
        <f t="shared" si="370"/>
        <v>2176196.597298821</v>
      </c>
      <c r="AV920" s="350">
        <f t="shared" si="371"/>
        <v>2201058.7566780718</v>
      </c>
      <c r="AW920" s="350">
        <f t="shared" si="372"/>
        <v>2224165.7484094314</v>
      </c>
      <c r="AX920" s="350">
        <f t="shared" si="373"/>
        <v>2245456.9299486703</v>
      </c>
      <c r="AY920" s="350">
        <f t="shared" si="374"/>
        <v>10996518.093276309</v>
      </c>
      <c r="AZ920" s="365"/>
      <c r="BA920" s="377">
        <f t="shared" si="375"/>
        <v>0</v>
      </c>
      <c r="BB920" s="377">
        <f t="shared" si="376"/>
        <v>0</v>
      </c>
      <c r="BC920" s="377">
        <f t="shared" si="377"/>
        <v>0</v>
      </c>
      <c r="BD920" s="377">
        <f t="shared" si="378"/>
        <v>0</v>
      </c>
      <c r="BE920" s="377">
        <f t="shared" si="379"/>
        <v>0</v>
      </c>
      <c r="BF920" s="377">
        <f t="shared" si="380"/>
        <v>0</v>
      </c>
      <c r="BG920" s="328"/>
    </row>
    <row r="921" spans="2:59">
      <c r="B921" s="332">
        <v>906</v>
      </c>
      <c r="C921" s="350">
        <v>6092352.7252560742</v>
      </c>
      <c r="D921" s="350">
        <v>37632.297050736153</v>
      </c>
      <c r="E921" s="350">
        <v>36031.6039256199</v>
      </c>
      <c r="F921" s="350">
        <v>34387.8386824544</v>
      </c>
      <c r="G921" s="350">
        <v>32701.085282488184</v>
      </c>
      <c r="H921" s="348">
        <v>6233105.5501973722</v>
      </c>
      <c r="I921" s="369"/>
      <c r="J921" s="350">
        <v>8135819.6283748727</v>
      </c>
      <c r="K921" s="350">
        <v>2106344.0791118573</v>
      </c>
      <c r="L921" s="350">
        <v>2128377.5751492381</v>
      </c>
      <c r="M921" s="350">
        <v>2148699.5211391412</v>
      </c>
      <c r="N921" s="350">
        <v>2167252.3537025424</v>
      </c>
      <c r="O921" s="348">
        <v>16686493.157477651</v>
      </c>
      <c r="P921" s="369"/>
      <c r="Q921" s="350">
        <f t="shared" si="381"/>
        <v>2043466.9031187985</v>
      </c>
      <c r="R921" s="350">
        <f t="shared" si="382"/>
        <v>2068711.7820611212</v>
      </c>
      <c r="S921" s="350">
        <f t="shared" si="383"/>
        <v>2092345.9712236181</v>
      </c>
      <c r="T921" s="350">
        <f t="shared" si="384"/>
        <v>2114311.6824566866</v>
      </c>
      <c r="U921" s="350">
        <f t="shared" si="385"/>
        <v>2134551.2684200541</v>
      </c>
      <c r="V921" s="350">
        <f t="shared" si="386"/>
        <v>10453387.607280279</v>
      </c>
      <c r="W921" s="365"/>
      <c r="X921" s="377">
        <f t="shared" si="364"/>
        <v>0</v>
      </c>
      <c r="Y921" s="377">
        <f t="shared" si="365"/>
        <v>0</v>
      </c>
      <c r="Z921" s="377">
        <f t="shared" si="366"/>
        <v>0</v>
      </c>
      <c r="AA921" s="377">
        <f t="shared" si="367"/>
        <v>0</v>
      </c>
      <c r="AB921" s="377">
        <f t="shared" si="368"/>
        <v>0</v>
      </c>
      <c r="AC921" s="377">
        <f t="shared" si="369"/>
        <v>0</v>
      </c>
      <c r="AD921" s="376"/>
      <c r="AE921" s="332">
        <v>906</v>
      </c>
      <c r="AF921" s="350">
        <v>6360449.3118473338</v>
      </c>
      <c r="AG921" s="350">
        <v>39288.32237295153</v>
      </c>
      <c r="AH921" s="350">
        <v>37617.190062452391</v>
      </c>
      <c r="AI921" s="350">
        <v>35901.090226935768</v>
      </c>
      <c r="AJ921" s="350">
        <v>34140.110522397059</v>
      </c>
      <c r="AK921" s="348">
        <v>6507396.0250320705</v>
      </c>
      <c r="AL921" s="369"/>
      <c r="AM921" s="350">
        <v>9461921.6084926575</v>
      </c>
      <c r="AN921" s="350">
        <v>3179076.0390293789</v>
      </c>
      <c r="AO921" s="350">
        <v>3213275.7019978645</v>
      </c>
      <c r="AP921" s="350">
        <v>3244898.0647337213</v>
      </c>
      <c r="AQ921" s="350">
        <v>3273855.7206308502</v>
      </c>
      <c r="AR921" s="348">
        <v>22373027.134884473</v>
      </c>
      <c r="AS921" s="369"/>
      <c r="AT921" s="350">
        <f t="shared" si="387"/>
        <v>3101472.2966453237</v>
      </c>
      <c r="AU921" s="350">
        <f t="shared" si="370"/>
        <v>3139787.7166564274</v>
      </c>
      <c r="AV921" s="350">
        <f t="shared" si="371"/>
        <v>3175658.511935412</v>
      </c>
      <c r="AW921" s="350">
        <f t="shared" si="372"/>
        <v>3208996.9745067856</v>
      </c>
      <c r="AX921" s="350">
        <f t="shared" si="373"/>
        <v>3239715.6101084533</v>
      </c>
      <c r="AY921" s="350">
        <f t="shared" si="374"/>
        <v>15865631.109852403</v>
      </c>
      <c r="AZ921" s="365"/>
      <c r="BA921" s="377">
        <f t="shared" si="375"/>
        <v>0</v>
      </c>
      <c r="BB921" s="377">
        <f t="shared" si="376"/>
        <v>0</v>
      </c>
      <c r="BC921" s="377">
        <f t="shared" si="377"/>
        <v>0</v>
      </c>
      <c r="BD921" s="377">
        <f t="shared" si="378"/>
        <v>0</v>
      </c>
      <c r="BE921" s="377">
        <f t="shared" si="379"/>
        <v>0</v>
      </c>
      <c r="BF921" s="377">
        <f t="shared" si="380"/>
        <v>0</v>
      </c>
      <c r="BG921" s="328"/>
    </row>
    <row r="922" spans="2:59">
      <c r="B922" s="332">
        <v>907</v>
      </c>
      <c r="C922" s="350">
        <v>5023576.6684285309</v>
      </c>
      <c r="D922" s="350">
        <v>31030.496422135948</v>
      </c>
      <c r="E922" s="350">
        <v>29710.611477963859</v>
      </c>
      <c r="F922" s="350">
        <v>28355.210519366265</v>
      </c>
      <c r="G922" s="350">
        <v>26964.36277833737</v>
      </c>
      <c r="H922" s="348">
        <v>5139637.3496263344</v>
      </c>
      <c r="I922" s="369"/>
      <c r="J922" s="350">
        <v>6491999.4780493313</v>
      </c>
      <c r="K922" s="350">
        <v>1517594.1215405818</v>
      </c>
      <c r="L922" s="350">
        <v>1533257.6202764367</v>
      </c>
      <c r="M922" s="350">
        <v>1547686.644969634</v>
      </c>
      <c r="N922" s="350">
        <v>1560839.8398262756</v>
      </c>
      <c r="O922" s="348">
        <v>12651377.70466226</v>
      </c>
      <c r="P922" s="369"/>
      <c r="Q922" s="350">
        <f t="shared" si="381"/>
        <v>1468422.8096208004</v>
      </c>
      <c r="R922" s="350">
        <f t="shared" si="382"/>
        <v>1486563.6251184458</v>
      </c>
      <c r="S922" s="350">
        <f t="shared" si="383"/>
        <v>1503547.0087984728</v>
      </c>
      <c r="T922" s="350">
        <f t="shared" si="384"/>
        <v>1519331.4344502678</v>
      </c>
      <c r="U922" s="350">
        <f t="shared" si="385"/>
        <v>1533875.4770479382</v>
      </c>
      <c r="V922" s="350">
        <f t="shared" si="386"/>
        <v>7511740.3550359253</v>
      </c>
      <c r="W922" s="365"/>
      <c r="X922" s="377">
        <f t="shared" si="364"/>
        <v>0</v>
      </c>
      <c r="Y922" s="377">
        <f t="shared" si="365"/>
        <v>0</v>
      </c>
      <c r="Z922" s="377">
        <f t="shared" si="366"/>
        <v>0</v>
      </c>
      <c r="AA922" s="377">
        <f t="shared" si="367"/>
        <v>0</v>
      </c>
      <c r="AB922" s="377">
        <f t="shared" si="368"/>
        <v>0</v>
      </c>
      <c r="AC922" s="377">
        <f t="shared" si="369"/>
        <v>0</v>
      </c>
      <c r="AD922" s="376"/>
      <c r="AE922" s="332">
        <v>907</v>
      </c>
      <c r="AF922" s="350">
        <v>5463690.9814770296</v>
      </c>
      <c r="AG922" s="350">
        <v>33749.070561197834</v>
      </c>
      <c r="AH922" s="350">
        <v>32313.550822565077</v>
      </c>
      <c r="AI922" s="350">
        <v>30839.403520242715</v>
      </c>
      <c r="AJ922" s="350">
        <v>29326.703951621075</v>
      </c>
      <c r="AK922" s="348">
        <v>5589919.7103326563</v>
      </c>
      <c r="AL922" s="369"/>
      <c r="AM922" s="350">
        <v>7561153.2577939779</v>
      </c>
      <c r="AN922" s="350">
        <v>2157123.2817232376</v>
      </c>
      <c r="AO922" s="350">
        <v>2179946.4471260244</v>
      </c>
      <c r="AP922" s="350">
        <v>2201018.4201516211</v>
      </c>
      <c r="AQ922" s="350">
        <v>2220280.1055175643</v>
      </c>
      <c r="AR922" s="348">
        <v>16319521.512312425</v>
      </c>
      <c r="AS922" s="369"/>
      <c r="AT922" s="350">
        <f t="shared" si="387"/>
        <v>2097462.2763169482</v>
      </c>
      <c r="AU922" s="350">
        <f t="shared" si="370"/>
        <v>2123374.2111620395</v>
      </c>
      <c r="AV922" s="350">
        <f t="shared" si="371"/>
        <v>2147632.8963034595</v>
      </c>
      <c r="AW922" s="350">
        <f t="shared" si="372"/>
        <v>2170179.0166313783</v>
      </c>
      <c r="AX922" s="350">
        <f t="shared" si="373"/>
        <v>2190953.4015659434</v>
      </c>
      <c r="AY922" s="350">
        <f t="shared" si="374"/>
        <v>10729601.801979769</v>
      </c>
      <c r="AZ922" s="365"/>
      <c r="BA922" s="377">
        <f t="shared" si="375"/>
        <v>0</v>
      </c>
      <c r="BB922" s="377">
        <f t="shared" si="376"/>
        <v>0</v>
      </c>
      <c r="BC922" s="377">
        <f t="shared" si="377"/>
        <v>0</v>
      </c>
      <c r="BD922" s="377">
        <f t="shared" si="378"/>
        <v>0</v>
      </c>
      <c r="BE922" s="377">
        <f t="shared" si="379"/>
        <v>0</v>
      </c>
      <c r="BF922" s="377">
        <f t="shared" si="380"/>
        <v>0</v>
      </c>
      <c r="BG922" s="328"/>
    </row>
    <row r="923" spans="2:59">
      <c r="B923" s="332">
        <v>908</v>
      </c>
      <c r="C923" s="350">
        <v>5814720.1760222493</v>
      </c>
      <c r="D923" s="350">
        <v>35917.368346689851</v>
      </c>
      <c r="E923" s="350">
        <v>34389.619867573703</v>
      </c>
      <c r="F923" s="350">
        <v>32820.76209536424</v>
      </c>
      <c r="G923" s="350">
        <v>31210.875165131009</v>
      </c>
      <c r="H923" s="348">
        <v>5949058.8014970077</v>
      </c>
      <c r="I923" s="369"/>
      <c r="J923" s="350">
        <v>9026020.834989965</v>
      </c>
      <c r="K923" s="350">
        <v>3286890.2609382113</v>
      </c>
      <c r="L923" s="350">
        <v>3322503.553067998</v>
      </c>
      <c r="M923" s="350">
        <v>3355453.7290270403</v>
      </c>
      <c r="N923" s="350">
        <v>3385650.2763689756</v>
      </c>
      <c r="O923" s="348">
        <v>22376518.65439219</v>
      </c>
      <c r="P923" s="369"/>
      <c r="Q923" s="350">
        <f t="shared" si="381"/>
        <v>3211300.6589677157</v>
      </c>
      <c r="R923" s="350">
        <f t="shared" si="382"/>
        <v>3250972.8925915216</v>
      </c>
      <c r="S923" s="350">
        <f t="shared" si="383"/>
        <v>3288113.9332004245</v>
      </c>
      <c r="T923" s="350">
        <f t="shared" si="384"/>
        <v>3322632.966931676</v>
      </c>
      <c r="U923" s="350">
        <f t="shared" si="385"/>
        <v>3354439.4012038447</v>
      </c>
      <c r="V923" s="350">
        <f t="shared" si="386"/>
        <v>16427459.852895182</v>
      </c>
      <c r="W923" s="365"/>
      <c r="X923" s="377">
        <f t="shared" si="364"/>
        <v>0</v>
      </c>
      <c r="Y923" s="377">
        <f t="shared" si="365"/>
        <v>0</v>
      </c>
      <c r="Z923" s="377">
        <f t="shared" si="366"/>
        <v>0</v>
      </c>
      <c r="AA923" s="377">
        <f t="shared" si="367"/>
        <v>0</v>
      </c>
      <c r="AB923" s="377">
        <f t="shared" si="368"/>
        <v>0</v>
      </c>
      <c r="AC923" s="377">
        <f t="shared" si="369"/>
        <v>0</v>
      </c>
      <c r="AD923" s="376"/>
      <c r="AE923" s="332">
        <v>908</v>
      </c>
      <c r="AF923" s="350">
        <v>8081648.4200311257</v>
      </c>
      <c r="AG923" s="350">
        <v>49920.122441605898</v>
      </c>
      <c r="AH923" s="350">
        <v>47796.76556308179</v>
      </c>
      <c r="AI923" s="350">
        <v>45616.272512302916</v>
      </c>
      <c r="AJ923" s="350">
        <v>43378.754665819433</v>
      </c>
      <c r="AK923" s="348">
        <v>8268360.335213935</v>
      </c>
      <c r="AL923" s="369"/>
      <c r="AM923" s="350">
        <v>10410873.156047162</v>
      </c>
      <c r="AN923" s="350">
        <v>2407919.9741203673</v>
      </c>
      <c r="AO923" s="350">
        <v>2432735.8047221727</v>
      </c>
      <c r="AP923" s="350">
        <v>2455592.7017412623</v>
      </c>
      <c r="AQ923" s="350">
        <v>2476425.0678261719</v>
      </c>
      <c r="AR923" s="348">
        <v>20183546.704457134</v>
      </c>
      <c r="AS923" s="369"/>
      <c r="AT923" s="350">
        <f t="shared" si="387"/>
        <v>2329224.736016036</v>
      </c>
      <c r="AU923" s="350">
        <f t="shared" si="370"/>
        <v>2357999.8516787617</v>
      </c>
      <c r="AV923" s="350">
        <f t="shared" si="371"/>
        <v>2384939.0391590907</v>
      </c>
      <c r="AW923" s="350">
        <f t="shared" si="372"/>
        <v>2409976.4292289596</v>
      </c>
      <c r="AX923" s="350">
        <f t="shared" si="373"/>
        <v>2433046.3131603524</v>
      </c>
      <c r="AY923" s="350">
        <f t="shared" si="374"/>
        <v>11915186.369243199</v>
      </c>
      <c r="AZ923" s="365"/>
      <c r="BA923" s="377">
        <f t="shared" si="375"/>
        <v>0</v>
      </c>
      <c r="BB923" s="377">
        <f t="shared" si="376"/>
        <v>0</v>
      </c>
      <c r="BC923" s="377">
        <f t="shared" si="377"/>
        <v>0</v>
      </c>
      <c r="BD923" s="377">
        <f t="shared" si="378"/>
        <v>0</v>
      </c>
      <c r="BE923" s="377">
        <f t="shared" si="379"/>
        <v>0</v>
      </c>
      <c r="BF923" s="377">
        <f t="shared" si="380"/>
        <v>0</v>
      </c>
      <c r="BG923" s="328"/>
    </row>
    <row r="924" spans="2:59">
      <c r="B924" s="332">
        <v>909</v>
      </c>
      <c r="C924" s="350">
        <v>4044890.9414356686</v>
      </c>
      <c r="D924" s="350">
        <v>24985.181310154785</v>
      </c>
      <c r="E924" s="350">
        <v>23922.434385643923</v>
      </c>
      <c r="F924" s="350">
        <v>22831.090623757231</v>
      </c>
      <c r="G924" s="350">
        <v>21711.205768817283</v>
      </c>
      <c r="H924" s="348">
        <v>4138340.8535240418</v>
      </c>
      <c r="I924" s="369"/>
      <c r="J924" s="350">
        <v>6581227.5061398428</v>
      </c>
      <c r="K924" s="350">
        <v>2592655.509940342</v>
      </c>
      <c r="L924" s="350">
        <v>2620927.350259935</v>
      </c>
      <c r="M924" s="350">
        <v>2647099.6908205757</v>
      </c>
      <c r="N924" s="350">
        <v>2671101.0358984591</v>
      </c>
      <c r="O924" s="348">
        <v>17113011.093059156</v>
      </c>
      <c r="P924" s="369"/>
      <c r="Q924" s="350">
        <f t="shared" si="381"/>
        <v>2536336.5647041742</v>
      </c>
      <c r="R924" s="350">
        <f t="shared" si="382"/>
        <v>2567670.3286301871</v>
      </c>
      <c r="S924" s="350">
        <f t="shared" si="383"/>
        <v>2597004.9158742912</v>
      </c>
      <c r="T924" s="350">
        <f t="shared" si="384"/>
        <v>2624268.6001968184</v>
      </c>
      <c r="U924" s="350">
        <f t="shared" si="385"/>
        <v>2649389.830129642</v>
      </c>
      <c r="V924" s="350">
        <f t="shared" si="386"/>
        <v>12974670.239535114</v>
      </c>
      <c r="W924" s="365"/>
      <c r="X924" s="377">
        <f t="shared" si="364"/>
        <v>0</v>
      </c>
      <c r="Y924" s="377">
        <f t="shared" si="365"/>
        <v>0</v>
      </c>
      <c r="Z924" s="377">
        <f t="shared" si="366"/>
        <v>0</v>
      </c>
      <c r="AA924" s="377">
        <f t="shared" si="367"/>
        <v>0</v>
      </c>
      <c r="AB924" s="377">
        <f t="shared" si="368"/>
        <v>0</v>
      </c>
      <c r="AC924" s="377">
        <f t="shared" si="369"/>
        <v>0</v>
      </c>
      <c r="AD924" s="376"/>
      <c r="AE924" s="332">
        <v>909</v>
      </c>
      <c r="AF924" s="350">
        <v>5889539.2829148378</v>
      </c>
      <c r="AG924" s="350">
        <v>36379.523934625198</v>
      </c>
      <c r="AH924" s="350">
        <v>34832.117626191291</v>
      </c>
      <c r="AI924" s="350">
        <v>33243.073063590731</v>
      </c>
      <c r="AJ924" s="350">
        <v>31612.471413014904</v>
      </c>
      <c r="AK924" s="348">
        <v>6025606.468952259</v>
      </c>
      <c r="AL924" s="369"/>
      <c r="AM924" s="350">
        <v>7809155.6163748577</v>
      </c>
      <c r="AN924" s="350">
        <v>1979710.6931377365</v>
      </c>
      <c r="AO924" s="350">
        <v>2000365.0535793153</v>
      </c>
      <c r="AP924" s="350">
        <v>2019410.4210518207</v>
      </c>
      <c r="AQ924" s="350">
        <v>2036792.7232747851</v>
      </c>
      <c r="AR924" s="348">
        <v>15845434.507418517</v>
      </c>
      <c r="AS924" s="369"/>
      <c r="AT924" s="350">
        <f t="shared" si="387"/>
        <v>1919616.3334600199</v>
      </c>
      <c r="AU924" s="350">
        <f t="shared" si="370"/>
        <v>1943331.1692031114</v>
      </c>
      <c r="AV924" s="350">
        <f t="shared" si="371"/>
        <v>1965532.935953124</v>
      </c>
      <c r="AW924" s="350">
        <f t="shared" si="372"/>
        <v>1986167.3479882299</v>
      </c>
      <c r="AX924" s="350">
        <f t="shared" si="373"/>
        <v>2005180.2518617702</v>
      </c>
      <c r="AY924" s="350">
        <f t="shared" si="374"/>
        <v>9819828.038466258</v>
      </c>
      <c r="AZ924" s="365"/>
      <c r="BA924" s="377">
        <f t="shared" si="375"/>
        <v>0</v>
      </c>
      <c r="BB924" s="377">
        <f t="shared" si="376"/>
        <v>0</v>
      </c>
      <c r="BC924" s="377">
        <f t="shared" si="377"/>
        <v>0</v>
      </c>
      <c r="BD924" s="377">
        <f t="shared" si="378"/>
        <v>0</v>
      </c>
      <c r="BE924" s="377">
        <f t="shared" si="379"/>
        <v>0</v>
      </c>
      <c r="BF924" s="377">
        <f t="shared" si="380"/>
        <v>0</v>
      </c>
      <c r="BG924" s="328"/>
    </row>
    <row r="925" spans="2:59">
      <c r="B925" s="332">
        <v>910</v>
      </c>
      <c r="C925" s="350">
        <v>5336800.6958724335</v>
      </c>
      <c r="D925" s="350">
        <v>32965.272718875342</v>
      </c>
      <c r="E925" s="350">
        <v>31563.091891657532</v>
      </c>
      <c r="F925" s="350">
        <v>30123.180598077106</v>
      </c>
      <c r="G925" s="350">
        <v>28645.612386802644</v>
      </c>
      <c r="H925" s="348">
        <v>5460097.8534678463</v>
      </c>
      <c r="I925" s="369"/>
      <c r="J925" s="350">
        <v>7652348.3396879658</v>
      </c>
      <c r="K925" s="350">
        <v>2377119.0661442159</v>
      </c>
      <c r="L925" s="350">
        <v>2402497.887223701</v>
      </c>
      <c r="M925" s="350">
        <v>2425948.3476864891</v>
      </c>
      <c r="N925" s="350">
        <v>2447405.198191639</v>
      </c>
      <c r="O925" s="348">
        <v>17305318.838934012</v>
      </c>
      <c r="P925" s="369"/>
      <c r="Q925" s="350">
        <f t="shared" si="381"/>
        <v>2315547.6438155323</v>
      </c>
      <c r="R925" s="350">
        <f t="shared" si="382"/>
        <v>2344153.7934253407</v>
      </c>
      <c r="S925" s="350">
        <f t="shared" si="383"/>
        <v>2370934.7953320434</v>
      </c>
      <c r="T925" s="350">
        <f t="shared" si="384"/>
        <v>2395825.1670884122</v>
      </c>
      <c r="U925" s="350">
        <f t="shared" si="385"/>
        <v>2418759.5858048364</v>
      </c>
      <c r="V925" s="350">
        <f t="shared" si="386"/>
        <v>11845220.985466165</v>
      </c>
      <c r="W925" s="365"/>
      <c r="X925" s="377">
        <f t="shared" si="364"/>
        <v>0</v>
      </c>
      <c r="Y925" s="377">
        <f t="shared" si="365"/>
        <v>0</v>
      </c>
      <c r="Z925" s="377">
        <f t="shared" si="366"/>
        <v>0</v>
      </c>
      <c r="AA925" s="377">
        <f t="shared" si="367"/>
        <v>0</v>
      </c>
      <c r="AB925" s="377">
        <f t="shared" si="368"/>
        <v>0</v>
      </c>
      <c r="AC925" s="377">
        <f t="shared" si="369"/>
        <v>0</v>
      </c>
      <c r="AD925" s="376"/>
      <c r="AE925" s="332">
        <v>910</v>
      </c>
      <c r="AF925" s="350">
        <v>7697953.2300788611</v>
      </c>
      <c r="AG925" s="350">
        <v>47550.047691112071</v>
      </c>
      <c r="AH925" s="350">
        <v>45527.502154347749</v>
      </c>
      <c r="AI925" s="350">
        <v>43450.533118945641</v>
      </c>
      <c r="AJ925" s="350">
        <v>41319.246673596906</v>
      </c>
      <c r="AK925" s="348">
        <v>7875800.5597168636</v>
      </c>
      <c r="AL925" s="369"/>
      <c r="AM925" s="350">
        <v>9606940.7901921701</v>
      </c>
      <c r="AN925" s="350">
        <v>1980121.1362598666</v>
      </c>
      <c r="AO925" s="350">
        <v>2000177.4279363253</v>
      </c>
      <c r="AP925" s="350">
        <v>2018620.6197261219</v>
      </c>
      <c r="AQ925" s="350">
        <v>2035396.9641148953</v>
      </c>
      <c r="AR925" s="348">
        <v>17641256.938229378</v>
      </c>
      <c r="AS925" s="369"/>
      <c r="AT925" s="350">
        <f t="shared" si="387"/>
        <v>1908987.560113309</v>
      </c>
      <c r="AU925" s="350">
        <f t="shared" si="370"/>
        <v>1932571.0885687545</v>
      </c>
      <c r="AV925" s="350">
        <f t="shared" si="371"/>
        <v>1954649.9257819776</v>
      </c>
      <c r="AW925" s="350">
        <f t="shared" si="372"/>
        <v>1975170.0866071763</v>
      </c>
      <c r="AX925" s="350">
        <f t="shared" si="373"/>
        <v>1994077.7174412985</v>
      </c>
      <c r="AY925" s="350">
        <f t="shared" si="374"/>
        <v>9765456.3785125148</v>
      </c>
      <c r="AZ925" s="365"/>
      <c r="BA925" s="377">
        <f t="shared" si="375"/>
        <v>0</v>
      </c>
      <c r="BB925" s="377">
        <f t="shared" si="376"/>
        <v>0</v>
      </c>
      <c r="BC925" s="377">
        <f t="shared" si="377"/>
        <v>0</v>
      </c>
      <c r="BD925" s="377">
        <f t="shared" si="378"/>
        <v>0</v>
      </c>
      <c r="BE925" s="377">
        <f t="shared" si="379"/>
        <v>0</v>
      </c>
      <c r="BF925" s="377">
        <f t="shared" si="380"/>
        <v>0</v>
      </c>
      <c r="BG925" s="328"/>
    </row>
    <row r="926" spans="2:59">
      <c r="B926" s="332">
        <v>911</v>
      </c>
      <c r="C926" s="350">
        <v>6087076.3595327828</v>
      </c>
      <c r="D926" s="350">
        <v>37599.705083198642</v>
      </c>
      <c r="E926" s="350">
        <v>36000.398260340131</v>
      </c>
      <c r="F926" s="350">
        <v>34358.056622632423</v>
      </c>
      <c r="G926" s="350">
        <v>32672.764058607336</v>
      </c>
      <c r="H926" s="348">
        <v>6227707.2835575622</v>
      </c>
      <c r="I926" s="369"/>
      <c r="J926" s="350">
        <v>7509398.198642103</v>
      </c>
      <c r="K926" s="350">
        <v>1477492.8308086786</v>
      </c>
      <c r="L926" s="350">
        <v>1492343.7162273265</v>
      </c>
      <c r="M926" s="350">
        <v>1505990.2499566127</v>
      </c>
      <c r="N926" s="350">
        <v>1518392.3913932547</v>
      </c>
      <c r="O926" s="348">
        <v>13503617.387027977</v>
      </c>
      <c r="P926" s="369"/>
      <c r="Q926" s="350">
        <f t="shared" si="381"/>
        <v>1422321.8391093202</v>
      </c>
      <c r="R926" s="350">
        <f t="shared" si="382"/>
        <v>1439893.12572548</v>
      </c>
      <c r="S926" s="350">
        <f t="shared" si="383"/>
        <v>1456343.3179669864</v>
      </c>
      <c r="T926" s="350">
        <f t="shared" si="384"/>
        <v>1471632.1933339804</v>
      </c>
      <c r="U926" s="350">
        <f t="shared" si="385"/>
        <v>1485719.6273346473</v>
      </c>
      <c r="V926" s="350">
        <f t="shared" si="386"/>
        <v>7275910.1034704149</v>
      </c>
      <c r="W926" s="365"/>
      <c r="X926" s="377">
        <f t="shared" si="364"/>
        <v>0</v>
      </c>
      <c r="Y926" s="377">
        <f t="shared" si="365"/>
        <v>0</v>
      </c>
      <c r="Z926" s="377">
        <f t="shared" si="366"/>
        <v>0</v>
      </c>
      <c r="AA926" s="377">
        <f t="shared" si="367"/>
        <v>0</v>
      </c>
      <c r="AB926" s="377">
        <f t="shared" si="368"/>
        <v>0</v>
      </c>
      <c r="AC926" s="377">
        <f t="shared" si="369"/>
        <v>0</v>
      </c>
      <c r="AD926" s="376"/>
      <c r="AE926" s="332">
        <v>911</v>
      </c>
      <c r="AF926" s="350">
        <v>6014657.9597781068</v>
      </c>
      <c r="AG926" s="350">
        <v>37152.37859794675</v>
      </c>
      <c r="AH926" s="350">
        <v>35572.098847196161</v>
      </c>
      <c r="AI926" s="350">
        <v>33949.29626998966</v>
      </c>
      <c r="AJ926" s="350">
        <v>32284.053756824032</v>
      </c>
      <c r="AK926" s="348">
        <v>6153615.7872500634</v>
      </c>
      <c r="AL926" s="369"/>
      <c r="AM926" s="350">
        <v>8131128.9323529555</v>
      </c>
      <c r="AN926" s="350">
        <v>2179770.11841725</v>
      </c>
      <c r="AO926" s="350">
        <v>2202668.3732815804</v>
      </c>
      <c r="AP926" s="350">
        <v>2223796.0200244961</v>
      </c>
      <c r="AQ926" s="350">
        <v>2243093.4347107331</v>
      </c>
      <c r="AR926" s="348">
        <v>16980456.878787015</v>
      </c>
      <c r="AS926" s="369"/>
      <c r="AT926" s="350">
        <f t="shared" si="387"/>
        <v>2116470.9725748487</v>
      </c>
      <c r="AU926" s="350">
        <f t="shared" si="370"/>
        <v>2142617.7398193032</v>
      </c>
      <c r="AV926" s="350">
        <f t="shared" si="371"/>
        <v>2167096.2744343844</v>
      </c>
      <c r="AW926" s="350">
        <f t="shared" si="372"/>
        <v>2189846.7237545066</v>
      </c>
      <c r="AX926" s="350">
        <f t="shared" si="373"/>
        <v>2210809.3809539089</v>
      </c>
      <c r="AY926" s="350">
        <f t="shared" si="374"/>
        <v>10826841.09153695</v>
      </c>
      <c r="AZ926" s="365"/>
      <c r="BA926" s="377">
        <f t="shared" si="375"/>
        <v>0</v>
      </c>
      <c r="BB926" s="377">
        <f t="shared" si="376"/>
        <v>0</v>
      </c>
      <c r="BC926" s="377">
        <f t="shared" si="377"/>
        <v>0</v>
      </c>
      <c r="BD926" s="377">
        <f t="shared" si="378"/>
        <v>0</v>
      </c>
      <c r="BE926" s="377">
        <f t="shared" si="379"/>
        <v>0</v>
      </c>
      <c r="BF926" s="377">
        <f t="shared" si="380"/>
        <v>0</v>
      </c>
      <c r="BG926" s="328"/>
    </row>
    <row r="927" spans="2:59">
      <c r="B927" s="332">
        <v>912</v>
      </c>
      <c r="C927" s="350">
        <v>5604524.6959891766</v>
      </c>
      <c r="D927" s="350">
        <v>34618.996584572051</v>
      </c>
      <c r="E927" s="350">
        <v>33146.474464633233</v>
      </c>
      <c r="F927" s="350">
        <v>31634.329105495439</v>
      </c>
      <c r="G927" s="350">
        <v>30082.637745445059</v>
      </c>
      <c r="H927" s="348">
        <v>5734007.1338893222</v>
      </c>
      <c r="I927" s="369"/>
      <c r="J927" s="350">
        <v>7945347.184333574</v>
      </c>
      <c r="K927" s="350">
        <v>2404359.8785929587</v>
      </c>
      <c r="L927" s="350">
        <v>2429960.680440695</v>
      </c>
      <c r="M927" s="350">
        <v>2453610.5921466225</v>
      </c>
      <c r="N927" s="350">
        <v>2475243.6550419615</v>
      </c>
      <c r="O927" s="348">
        <v>17708521.990555812</v>
      </c>
      <c r="P927" s="369"/>
      <c r="Q927" s="350">
        <f t="shared" si="381"/>
        <v>2340822.4883443974</v>
      </c>
      <c r="R927" s="350">
        <f t="shared" si="382"/>
        <v>2369740.8820083868</v>
      </c>
      <c r="S927" s="350">
        <f t="shared" si="383"/>
        <v>2396814.205976062</v>
      </c>
      <c r="T927" s="350">
        <f t="shared" si="384"/>
        <v>2421976.263041127</v>
      </c>
      <c r="U927" s="350">
        <f t="shared" si="385"/>
        <v>2445161.0172965163</v>
      </c>
      <c r="V927" s="350">
        <f t="shared" si="386"/>
        <v>11974514.85666649</v>
      </c>
      <c r="W927" s="365"/>
      <c r="X927" s="377">
        <f t="shared" si="364"/>
        <v>0</v>
      </c>
      <c r="Y927" s="377">
        <f t="shared" si="365"/>
        <v>0</v>
      </c>
      <c r="Z927" s="377">
        <f t="shared" si="366"/>
        <v>0</v>
      </c>
      <c r="AA927" s="377">
        <f t="shared" si="367"/>
        <v>0</v>
      </c>
      <c r="AB927" s="377">
        <f t="shared" si="368"/>
        <v>0</v>
      </c>
      <c r="AC927" s="377">
        <f t="shared" si="369"/>
        <v>0</v>
      </c>
      <c r="AD927" s="376"/>
      <c r="AE927" s="332">
        <v>912</v>
      </c>
      <c r="AF927" s="350">
        <v>7697168.4377093082</v>
      </c>
      <c r="AG927" s="350">
        <v>47545.200049994812</v>
      </c>
      <c r="AH927" s="350">
        <v>45522.860708079257</v>
      </c>
      <c r="AI927" s="350">
        <v>43446.103415903119</v>
      </c>
      <c r="AJ927" s="350">
        <v>41315.034251341203</v>
      </c>
      <c r="AK927" s="348">
        <v>7874997.6361346263</v>
      </c>
      <c r="AL927" s="369"/>
      <c r="AM927" s="350">
        <v>10079105.042682581</v>
      </c>
      <c r="AN927" s="350">
        <v>2458908.1202471955</v>
      </c>
      <c r="AO927" s="350">
        <v>2484434.6196993385</v>
      </c>
      <c r="AP927" s="350">
        <v>2507961.864879854</v>
      </c>
      <c r="AQ927" s="350">
        <v>2529422.7661074093</v>
      </c>
      <c r="AR927" s="348">
        <v>20059832.413616382</v>
      </c>
      <c r="AS927" s="369"/>
      <c r="AT927" s="350">
        <f t="shared" si="387"/>
        <v>2381936.6049732724</v>
      </c>
      <c r="AU927" s="350">
        <f t="shared" si="370"/>
        <v>2411362.9201972005</v>
      </c>
      <c r="AV927" s="350">
        <f t="shared" si="371"/>
        <v>2438911.7589912592</v>
      </c>
      <c r="AW927" s="350">
        <f t="shared" si="372"/>
        <v>2464515.7614639509</v>
      </c>
      <c r="AX927" s="350">
        <f t="shared" si="373"/>
        <v>2488107.7318560681</v>
      </c>
      <c r="AY927" s="350">
        <f t="shared" si="374"/>
        <v>12184834.777481755</v>
      </c>
      <c r="AZ927" s="365"/>
      <c r="BA927" s="377">
        <f t="shared" si="375"/>
        <v>0</v>
      </c>
      <c r="BB927" s="377">
        <f t="shared" si="376"/>
        <v>0</v>
      </c>
      <c r="BC927" s="377">
        <f t="shared" si="377"/>
        <v>0</v>
      </c>
      <c r="BD927" s="377">
        <f t="shared" si="378"/>
        <v>0</v>
      </c>
      <c r="BE927" s="377">
        <f t="shared" si="379"/>
        <v>0</v>
      </c>
      <c r="BF927" s="377">
        <f t="shared" si="380"/>
        <v>0</v>
      </c>
      <c r="BG927" s="328"/>
    </row>
    <row r="928" spans="2:59">
      <c r="B928" s="332">
        <v>913</v>
      </c>
      <c r="C928" s="350">
        <v>6292393.3976801187</v>
      </c>
      <c r="D928" s="350">
        <v>38867.942842498058</v>
      </c>
      <c r="E928" s="350">
        <v>37214.691412974018</v>
      </c>
      <c r="F928" s="350">
        <v>35516.953604630682</v>
      </c>
      <c r="G928" s="350">
        <v>33774.816135560664</v>
      </c>
      <c r="H928" s="348">
        <v>6437767.8016757835</v>
      </c>
      <c r="I928" s="369"/>
      <c r="J928" s="350">
        <v>7968434.954822449</v>
      </c>
      <c r="K928" s="350">
        <v>1735615.2261934504</v>
      </c>
      <c r="L928" s="350">
        <v>1753346.6210947533</v>
      </c>
      <c r="M928" s="350">
        <v>1769665.052181839</v>
      </c>
      <c r="N928" s="350">
        <v>1784523.3241063301</v>
      </c>
      <c r="O928" s="348">
        <v>15011585.178398823</v>
      </c>
      <c r="P928" s="369"/>
      <c r="Q928" s="350">
        <f t="shared" si="381"/>
        <v>1676041.5571423303</v>
      </c>
      <c r="R928" s="350">
        <f t="shared" si="382"/>
        <v>1696747.2833509524</v>
      </c>
      <c r="S928" s="350">
        <f t="shared" si="383"/>
        <v>1716131.9296817794</v>
      </c>
      <c r="T928" s="350">
        <f t="shared" si="384"/>
        <v>1734148.0985772084</v>
      </c>
      <c r="U928" s="350">
        <f t="shared" si="385"/>
        <v>1750748.5079707694</v>
      </c>
      <c r="V928" s="350">
        <f t="shared" si="386"/>
        <v>8573817.3767230399</v>
      </c>
      <c r="W928" s="365"/>
      <c r="X928" s="377">
        <f t="shared" si="364"/>
        <v>0</v>
      </c>
      <c r="Y928" s="377">
        <f t="shared" si="365"/>
        <v>0</v>
      </c>
      <c r="Z928" s="377">
        <f t="shared" si="366"/>
        <v>0</v>
      </c>
      <c r="AA928" s="377">
        <f t="shared" si="367"/>
        <v>0</v>
      </c>
      <c r="AB928" s="377">
        <f t="shared" si="368"/>
        <v>0</v>
      </c>
      <c r="AC928" s="377">
        <f t="shared" si="369"/>
        <v>0</v>
      </c>
      <c r="AD928" s="376"/>
      <c r="AE928" s="332">
        <v>913</v>
      </c>
      <c r="AF928" s="350">
        <v>4825463.3291889932</v>
      </c>
      <c r="AG928" s="350">
        <v>29806.755715025964</v>
      </c>
      <c r="AH928" s="350">
        <v>28538.922691418633</v>
      </c>
      <c r="AI928" s="350">
        <v>27236.974288168753</v>
      </c>
      <c r="AJ928" s="350">
        <v>25900.977006989291</v>
      </c>
      <c r="AK928" s="348">
        <v>4936946.9588905955</v>
      </c>
      <c r="AL928" s="369"/>
      <c r="AM928" s="350">
        <v>7088410.0772929955</v>
      </c>
      <c r="AN928" s="350">
        <v>2320709.8248250694</v>
      </c>
      <c r="AO928" s="350">
        <v>2345614.6258811811</v>
      </c>
      <c r="AP928" s="350">
        <v>2368637.6297092605</v>
      </c>
      <c r="AQ928" s="350">
        <v>2389715.0638219886</v>
      </c>
      <c r="AR928" s="348">
        <v>16513087.221530493</v>
      </c>
      <c r="AS928" s="369"/>
      <c r="AT928" s="350">
        <f t="shared" si="387"/>
        <v>2262946.7481040023</v>
      </c>
      <c r="AU928" s="350">
        <f t="shared" si="370"/>
        <v>2290903.0691100433</v>
      </c>
      <c r="AV928" s="350">
        <f t="shared" si="371"/>
        <v>2317075.7031897623</v>
      </c>
      <c r="AW928" s="350">
        <f t="shared" si="372"/>
        <v>2341400.6554210917</v>
      </c>
      <c r="AX928" s="350">
        <f t="shared" si="373"/>
        <v>2363814.0868149996</v>
      </c>
      <c r="AY928" s="350">
        <f t="shared" si="374"/>
        <v>11576140.262639899</v>
      </c>
      <c r="AZ928" s="365"/>
      <c r="BA928" s="377">
        <f t="shared" si="375"/>
        <v>0</v>
      </c>
      <c r="BB928" s="377">
        <f t="shared" si="376"/>
        <v>0</v>
      </c>
      <c r="BC928" s="377">
        <f t="shared" si="377"/>
        <v>0</v>
      </c>
      <c r="BD928" s="377">
        <f t="shared" si="378"/>
        <v>0</v>
      </c>
      <c r="BE928" s="377">
        <f t="shared" si="379"/>
        <v>0</v>
      </c>
      <c r="BF928" s="377">
        <f t="shared" si="380"/>
        <v>0</v>
      </c>
      <c r="BG928" s="328"/>
    </row>
    <row r="929" spans="2:59">
      <c r="B929" s="332">
        <v>914</v>
      </c>
      <c r="C929" s="350">
        <v>6134717.8159310194</v>
      </c>
      <c r="D929" s="350">
        <v>37893.985063358465</v>
      </c>
      <c r="E929" s="350">
        <v>36282.161015188918</v>
      </c>
      <c r="F929" s="350">
        <v>34626.965333454471</v>
      </c>
      <c r="G929" s="350">
        <v>32928.482563250152</v>
      </c>
      <c r="H929" s="348">
        <v>6276449.4099062709</v>
      </c>
      <c r="I929" s="369"/>
      <c r="J929" s="350">
        <v>8616119.5870439429</v>
      </c>
      <c r="K929" s="350">
        <v>2549950.8586511035</v>
      </c>
      <c r="L929" s="350">
        <v>2577038.2607842474</v>
      </c>
      <c r="M929" s="350">
        <v>2602056.2422771985</v>
      </c>
      <c r="N929" s="350">
        <v>2624934.8859480652</v>
      </c>
      <c r="O929" s="348">
        <v>18970099.834704559</v>
      </c>
      <c r="P929" s="369"/>
      <c r="Q929" s="350">
        <f t="shared" si="381"/>
        <v>2481401.7711129235</v>
      </c>
      <c r="R929" s="350">
        <f t="shared" si="382"/>
        <v>2512056.8735877448</v>
      </c>
      <c r="S929" s="350">
        <f t="shared" si="383"/>
        <v>2540756.0997690586</v>
      </c>
      <c r="T929" s="350">
        <f t="shared" si="384"/>
        <v>2567429.2769437442</v>
      </c>
      <c r="U929" s="350">
        <f t="shared" si="385"/>
        <v>2592006.403384815</v>
      </c>
      <c r="V929" s="350">
        <f t="shared" si="386"/>
        <v>12693650.424798287</v>
      </c>
      <c r="W929" s="365"/>
      <c r="X929" s="377">
        <f t="shared" si="364"/>
        <v>0</v>
      </c>
      <c r="Y929" s="377">
        <f t="shared" si="365"/>
        <v>0</v>
      </c>
      <c r="Z929" s="377">
        <f t="shared" si="366"/>
        <v>0</v>
      </c>
      <c r="AA929" s="377">
        <f t="shared" si="367"/>
        <v>0</v>
      </c>
      <c r="AB929" s="377">
        <f t="shared" si="368"/>
        <v>0</v>
      </c>
      <c r="AC929" s="377">
        <f t="shared" si="369"/>
        <v>0</v>
      </c>
      <c r="AD929" s="376"/>
      <c r="AE929" s="332">
        <v>914</v>
      </c>
      <c r="AF929" s="350">
        <v>7854236.3530020677</v>
      </c>
      <c r="AG929" s="350">
        <v>48515.40428996479</v>
      </c>
      <c r="AH929" s="350">
        <v>46451.797223816706</v>
      </c>
      <c r="AI929" s="350">
        <v>44332.661758280876</v>
      </c>
      <c r="AJ929" s="350">
        <v>42158.10613584314</v>
      </c>
      <c r="AK929" s="348">
        <v>8035694.3224099735</v>
      </c>
      <c r="AL929" s="369"/>
      <c r="AM929" s="350">
        <v>11635929.006976414</v>
      </c>
      <c r="AN929" s="350">
        <v>3876926.8835611385</v>
      </c>
      <c r="AO929" s="350">
        <v>3918601.3176651397</v>
      </c>
      <c r="AP929" s="350">
        <v>3957132.4950001906</v>
      </c>
      <c r="AQ929" s="350">
        <v>3992413.8401512522</v>
      </c>
      <c r="AR929" s="348">
        <v>27381003.543354139</v>
      </c>
      <c r="AS929" s="369"/>
      <c r="AT929" s="350">
        <f t="shared" si="387"/>
        <v>3781692.6539743468</v>
      </c>
      <c r="AU929" s="350">
        <f t="shared" si="370"/>
        <v>3828411.4792711739</v>
      </c>
      <c r="AV929" s="350">
        <f t="shared" si="371"/>
        <v>3872149.5204413231</v>
      </c>
      <c r="AW929" s="350">
        <f t="shared" si="372"/>
        <v>3912799.8332419097</v>
      </c>
      <c r="AX929" s="350">
        <f t="shared" si="373"/>
        <v>3950255.7340154089</v>
      </c>
      <c r="AY929" s="350">
        <f t="shared" si="374"/>
        <v>19345309.220944166</v>
      </c>
      <c r="AZ929" s="365"/>
      <c r="BA929" s="377">
        <f t="shared" si="375"/>
        <v>0</v>
      </c>
      <c r="BB929" s="377">
        <f t="shared" si="376"/>
        <v>0</v>
      </c>
      <c r="BC929" s="377">
        <f t="shared" si="377"/>
        <v>0</v>
      </c>
      <c r="BD929" s="377">
        <f t="shared" si="378"/>
        <v>0</v>
      </c>
      <c r="BE929" s="377">
        <f t="shared" si="379"/>
        <v>0</v>
      </c>
      <c r="BF929" s="377">
        <f t="shared" si="380"/>
        <v>0</v>
      </c>
      <c r="BG929" s="328"/>
    </row>
    <row r="930" spans="2:59">
      <c r="B930" s="332">
        <v>915</v>
      </c>
      <c r="C930" s="350">
        <v>5863687.5950372657</v>
      </c>
      <c r="D930" s="350">
        <v>36219.838761861429</v>
      </c>
      <c r="E930" s="350">
        <v>34679.224676549456</v>
      </c>
      <c r="F930" s="350">
        <v>33097.155105047976</v>
      </c>
      <c r="G930" s="350">
        <v>31473.710857265731</v>
      </c>
      <c r="H930" s="348">
        <v>5999157.52443799</v>
      </c>
      <c r="I930" s="369"/>
      <c r="J930" s="350">
        <v>8141051.320049542</v>
      </c>
      <c r="K930" s="350">
        <v>2341717.9913285198</v>
      </c>
      <c r="L930" s="350">
        <v>2366516.7542042919</v>
      </c>
      <c r="M930" s="350">
        <v>2389414.6083741253</v>
      </c>
      <c r="N930" s="350">
        <v>2410347.3889479404</v>
      </c>
      <c r="O930" s="348">
        <v>17649048.062904421</v>
      </c>
      <c r="P930" s="369"/>
      <c r="Q930" s="350">
        <f t="shared" si="381"/>
        <v>2277363.7250122763</v>
      </c>
      <c r="R930" s="350">
        <f t="shared" si="382"/>
        <v>2305498.1525666583</v>
      </c>
      <c r="S930" s="350">
        <f t="shared" si="383"/>
        <v>2331837.5295277424</v>
      </c>
      <c r="T930" s="350">
        <f t="shared" si="384"/>
        <v>2356317.4532690775</v>
      </c>
      <c r="U930" s="350">
        <f t="shared" si="385"/>
        <v>2378873.6780906748</v>
      </c>
      <c r="V930" s="350">
        <f t="shared" si="386"/>
        <v>11649890.538466431</v>
      </c>
      <c r="W930" s="365"/>
      <c r="X930" s="377">
        <f t="shared" si="364"/>
        <v>0</v>
      </c>
      <c r="Y930" s="377">
        <f t="shared" si="365"/>
        <v>0</v>
      </c>
      <c r="Z930" s="377">
        <f t="shared" si="366"/>
        <v>0</v>
      </c>
      <c r="AA930" s="377">
        <f t="shared" si="367"/>
        <v>0</v>
      </c>
      <c r="AB930" s="377">
        <f t="shared" si="368"/>
        <v>0</v>
      </c>
      <c r="AC930" s="377">
        <f t="shared" si="369"/>
        <v>0</v>
      </c>
      <c r="AD930" s="376"/>
      <c r="AE930" s="332">
        <v>915</v>
      </c>
      <c r="AF930" s="350">
        <v>6985416.3850894487</v>
      </c>
      <c r="AG930" s="350">
        <v>43148.726983091474</v>
      </c>
      <c r="AH930" s="350">
        <v>41313.392016790349</v>
      </c>
      <c r="AI930" s="350">
        <v>39428.671091946206</v>
      </c>
      <c r="AJ930" s="350">
        <v>37494.660477475896</v>
      </c>
      <c r="AK930" s="348">
        <v>7146801.8356587533</v>
      </c>
      <c r="AL930" s="369"/>
      <c r="AM930" s="350">
        <v>8732403.626101179</v>
      </c>
      <c r="AN930" s="350">
        <v>1811718.1533220306</v>
      </c>
      <c r="AO930" s="350">
        <v>1830088.0034044902</v>
      </c>
      <c r="AP930" s="350">
        <v>1846982.0633864254</v>
      </c>
      <c r="AQ930" s="350">
        <v>1862351.1460529871</v>
      </c>
      <c r="AR930" s="348">
        <v>16083542.992267111</v>
      </c>
      <c r="AS930" s="369"/>
      <c r="AT930" s="350">
        <f t="shared" si="387"/>
        <v>1746987.2410117304</v>
      </c>
      <c r="AU930" s="350">
        <f t="shared" si="370"/>
        <v>1768569.426338939</v>
      </c>
      <c r="AV930" s="350">
        <f t="shared" si="371"/>
        <v>1788774.6113876998</v>
      </c>
      <c r="AW930" s="350">
        <f t="shared" si="372"/>
        <v>1807553.3922944791</v>
      </c>
      <c r="AX930" s="350">
        <f t="shared" si="373"/>
        <v>1824856.4855755111</v>
      </c>
      <c r="AY930" s="350">
        <f t="shared" si="374"/>
        <v>8936741.156608358</v>
      </c>
      <c r="AZ930" s="365"/>
      <c r="BA930" s="377">
        <f t="shared" si="375"/>
        <v>0</v>
      </c>
      <c r="BB930" s="377">
        <f t="shared" si="376"/>
        <v>0</v>
      </c>
      <c r="BC930" s="377">
        <f t="shared" si="377"/>
        <v>0</v>
      </c>
      <c r="BD930" s="377">
        <f t="shared" si="378"/>
        <v>0</v>
      </c>
      <c r="BE930" s="377">
        <f t="shared" si="379"/>
        <v>0</v>
      </c>
      <c r="BF930" s="377">
        <f t="shared" si="380"/>
        <v>0</v>
      </c>
      <c r="BG930" s="328"/>
    </row>
    <row r="931" spans="2:59">
      <c r="B931" s="332">
        <v>916</v>
      </c>
      <c r="C931" s="350">
        <v>6144625.4340456538</v>
      </c>
      <c r="D931" s="350">
        <v>37955.184150929781</v>
      </c>
      <c r="E931" s="350">
        <v>36340.756994091651</v>
      </c>
      <c r="F931" s="350">
        <v>34682.888158151974</v>
      </c>
      <c r="G931" s="350">
        <v>32981.662324751043</v>
      </c>
      <c r="H931" s="348">
        <v>6286585.9256735779</v>
      </c>
      <c r="I931" s="369"/>
      <c r="J931" s="350">
        <v>8169714.8044235371</v>
      </c>
      <c r="K931" s="350">
        <v>2088062.3984315221</v>
      </c>
      <c r="L931" s="350">
        <v>2109869.6108311769</v>
      </c>
      <c r="M931" s="350">
        <v>2129979.9087626981</v>
      </c>
      <c r="N931" s="350">
        <v>2148336.2480078954</v>
      </c>
      <c r="O931" s="348">
        <v>16645962.970456829</v>
      </c>
      <c r="P931" s="369"/>
      <c r="Q931" s="350">
        <f t="shared" si="381"/>
        <v>2025089.3703778833</v>
      </c>
      <c r="R931" s="350">
        <f t="shared" si="382"/>
        <v>2050107.2142805923</v>
      </c>
      <c r="S931" s="350">
        <f t="shared" si="383"/>
        <v>2073528.8538370852</v>
      </c>
      <c r="T931" s="350">
        <f t="shared" si="384"/>
        <v>2095297.0206045462</v>
      </c>
      <c r="U931" s="350">
        <f t="shared" si="385"/>
        <v>2115354.5856831442</v>
      </c>
      <c r="V931" s="350">
        <f t="shared" si="386"/>
        <v>10359377.044783251</v>
      </c>
      <c r="W931" s="365"/>
      <c r="X931" s="377">
        <f t="shared" si="364"/>
        <v>0</v>
      </c>
      <c r="Y931" s="377">
        <f t="shared" si="365"/>
        <v>0</v>
      </c>
      <c r="Z931" s="377">
        <f t="shared" si="366"/>
        <v>0</v>
      </c>
      <c r="AA931" s="377">
        <f t="shared" si="367"/>
        <v>0</v>
      </c>
      <c r="AB931" s="377">
        <f t="shared" si="368"/>
        <v>0</v>
      </c>
      <c r="AC931" s="377">
        <f t="shared" si="369"/>
        <v>0</v>
      </c>
      <c r="AD931" s="376"/>
      <c r="AE931" s="332">
        <v>916</v>
      </c>
      <c r="AF931" s="350">
        <v>5963596.8653861098</v>
      </c>
      <c r="AG931" s="350">
        <v>36836.975606926579</v>
      </c>
      <c r="AH931" s="350">
        <v>35270.111550645532</v>
      </c>
      <c r="AI931" s="350">
        <v>33661.085663004684</v>
      </c>
      <c r="AJ931" s="350">
        <v>32009.980130816966</v>
      </c>
      <c r="AK931" s="348">
        <v>6101375.018337504</v>
      </c>
      <c r="AL931" s="369"/>
      <c r="AM931" s="350">
        <v>7731658.5419104956</v>
      </c>
      <c r="AN931" s="350">
        <v>1826741.189888248</v>
      </c>
      <c r="AO931" s="350">
        <v>1845623.2521395879</v>
      </c>
      <c r="AP931" s="350">
        <v>1863019.5412729599</v>
      </c>
      <c r="AQ931" s="350">
        <v>1878880.2614698508</v>
      </c>
      <c r="AR931" s="348">
        <v>15145922.786681144</v>
      </c>
      <c r="AS931" s="369"/>
      <c r="AT931" s="350">
        <f t="shared" si="387"/>
        <v>1768061.6765243858</v>
      </c>
      <c r="AU931" s="350">
        <f t="shared" si="370"/>
        <v>1789904.2142813215</v>
      </c>
      <c r="AV931" s="350">
        <f t="shared" si="371"/>
        <v>1810353.1405889424</v>
      </c>
      <c r="AW931" s="350">
        <f t="shared" si="372"/>
        <v>1829358.4556099551</v>
      </c>
      <c r="AX931" s="350">
        <f t="shared" si="373"/>
        <v>1846870.2813390337</v>
      </c>
      <c r="AY931" s="350">
        <f t="shared" si="374"/>
        <v>9044547.7683436386</v>
      </c>
      <c r="AZ931" s="365"/>
      <c r="BA931" s="377">
        <f t="shared" si="375"/>
        <v>0</v>
      </c>
      <c r="BB931" s="377">
        <f t="shared" si="376"/>
        <v>0</v>
      </c>
      <c r="BC931" s="377">
        <f t="shared" si="377"/>
        <v>0</v>
      </c>
      <c r="BD931" s="377">
        <f t="shared" si="378"/>
        <v>0</v>
      </c>
      <c r="BE931" s="377">
        <f t="shared" si="379"/>
        <v>0</v>
      </c>
      <c r="BF931" s="377">
        <f t="shared" si="380"/>
        <v>0</v>
      </c>
      <c r="BG931" s="328"/>
    </row>
    <row r="932" spans="2:59">
      <c r="B932" s="332">
        <v>917</v>
      </c>
      <c r="C932" s="350">
        <v>5848870.5061374847</v>
      </c>
      <c r="D932" s="350">
        <v>36128.314006802852</v>
      </c>
      <c r="E932" s="350">
        <v>34591.592935145389</v>
      </c>
      <c r="F932" s="350">
        <v>33013.521132129812</v>
      </c>
      <c r="G932" s="350">
        <v>31394.179203468535</v>
      </c>
      <c r="H932" s="348">
        <v>5983998.1134150317</v>
      </c>
      <c r="I932" s="369"/>
      <c r="J932" s="350">
        <v>8112518.6341142682</v>
      </c>
      <c r="K932" s="350">
        <v>2327741.4277984174</v>
      </c>
      <c r="L932" s="350">
        <v>2352385.4527776409</v>
      </c>
      <c r="M932" s="350">
        <v>2375139.8725048425</v>
      </c>
      <c r="N932" s="350">
        <v>2395940.9088103841</v>
      </c>
      <c r="O932" s="348">
        <v>17563726.296005554</v>
      </c>
      <c r="P932" s="369"/>
      <c r="Q932" s="350">
        <f t="shared" si="381"/>
        <v>2263648.1279767836</v>
      </c>
      <c r="R932" s="350">
        <f t="shared" si="382"/>
        <v>2291613.1137916148</v>
      </c>
      <c r="S932" s="350">
        <f t="shared" si="383"/>
        <v>2317793.8598424955</v>
      </c>
      <c r="T932" s="350">
        <f t="shared" si="384"/>
        <v>2342126.3513727128</v>
      </c>
      <c r="U932" s="350">
        <f t="shared" si="385"/>
        <v>2364546.7296069157</v>
      </c>
      <c r="V932" s="350">
        <f t="shared" si="386"/>
        <v>11579728.182590522</v>
      </c>
      <c r="W932" s="365"/>
      <c r="X932" s="377">
        <f t="shared" si="364"/>
        <v>0</v>
      </c>
      <c r="Y932" s="377">
        <f t="shared" si="365"/>
        <v>0</v>
      </c>
      <c r="Z932" s="377">
        <f t="shared" si="366"/>
        <v>0</v>
      </c>
      <c r="AA932" s="377">
        <f t="shared" si="367"/>
        <v>0</v>
      </c>
      <c r="AB932" s="377">
        <f t="shared" si="368"/>
        <v>0</v>
      </c>
      <c r="AC932" s="377">
        <f t="shared" si="369"/>
        <v>0</v>
      </c>
      <c r="AD932" s="376"/>
      <c r="AE932" s="332">
        <v>917</v>
      </c>
      <c r="AF932" s="350">
        <v>6877786.5357503956</v>
      </c>
      <c r="AG932" s="350">
        <v>42483.90033162995</v>
      </c>
      <c r="AH932" s="350">
        <v>40676.843826486343</v>
      </c>
      <c r="AI932" s="350">
        <v>38821.162291421475</v>
      </c>
      <c r="AJ932" s="350">
        <v>36916.950512064497</v>
      </c>
      <c r="AK932" s="348">
        <v>7036685.3927119989</v>
      </c>
      <c r="AL932" s="369"/>
      <c r="AM932" s="350">
        <v>8829107.194040902</v>
      </c>
      <c r="AN932" s="350">
        <v>2017911.0678692488</v>
      </c>
      <c r="AO932" s="350">
        <v>2038672.4618167826</v>
      </c>
      <c r="AP932" s="350">
        <v>2057791.989636817</v>
      </c>
      <c r="AQ932" s="350">
        <v>2075214.6982716289</v>
      </c>
      <c r="AR932" s="348">
        <v>17018697.41163538</v>
      </c>
      <c r="AS932" s="369"/>
      <c r="AT932" s="350">
        <f t="shared" si="387"/>
        <v>1951320.6582905063</v>
      </c>
      <c r="AU932" s="350">
        <f t="shared" si="370"/>
        <v>1975427.1675376189</v>
      </c>
      <c r="AV932" s="350">
        <f t="shared" si="371"/>
        <v>1997995.6179902963</v>
      </c>
      <c r="AW932" s="350">
        <f t="shared" si="372"/>
        <v>2018970.8273453955</v>
      </c>
      <c r="AX932" s="350">
        <f t="shared" si="373"/>
        <v>2038297.7477595645</v>
      </c>
      <c r="AY932" s="350">
        <f t="shared" si="374"/>
        <v>9982012.0189233813</v>
      </c>
      <c r="AZ932" s="365"/>
      <c r="BA932" s="377">
        <f t="shared" si="375"/>
        <v>0</v>
      </c>
      <c r="BB932" s="377">
        <f t="shared" si="376"/>
        <v>0</v>
      </c>
      <c r="BC932" s="377">
        <f t="shared" si="377"/>
        <v>0</v>
      </c>
      <c r="BD932" s="377">
        <f t="shared" si="378"/>
        <v>0</v>
      </c>
      <c r="BE932" s="377">
        <f t="shared" si="379"/>
        <v>0</v>
      </c>
      <c r="BF932" s="377">
        <f t="shared" si="380"/>
        <v>0</v>
      </c>
      <c r="BG932" s="328"/>
    </row>
    <row r="933" spans="2:59">
      <c r="B933" s="332">
        <v>918</v>
      </c>
      <c r="C933" s="350">
        <v>5489734.7191950399</v>
      </c>
      <c r="D933" s="350">
        <v>33909.942020602444</v>
      </c>
      <c r="E933" s="350">
        <v>32467.579600037378</v>
      </c>
      <c r="F933" s="350">
        <v>30986.405490043071</v>
      </c>
      <c r="G933" s="350">
        <v>29466.495346933672</v>
      </c>
      <c r="H933" s="348">
        <v>5616565.1416526558</v>
      </c>
      <c r="I933" s="369"/>
      <c r="J933" s="350">
        <v>7340803.5760261994</v>
      </c>
      <c r="K933" s="350">
        <v>1907846.8027980402</v>
      </c>
      <c r="L933" s="350">
        <v>1927813.4054301421</v>
      </c>
      <c r="M933" s="350">
        <v>1946229.8102433118</v>
      </c>
      <c r="N933" s="350">
        <v>1963043.8732097109</v>
      </c>
      <c r="O933" s="348">
        <v>15085737.467707405</v>
      </c>
      <c r="P933" s="369"/>
      <c r="Q933" s="350">
        <f t="shared" si="381"/>
        <v>1851068.8568311594</v>
      </c>
      <c r="R933" s="350">
        <f t="shared" si="382"/>
        <v>1873936.8607774377</v>
      </c>
      <c r="S933" s="350">
        <f t="shared" si="383"/>
        <v>1895345.8258301048</v>
      </c>
      <c r="T933" s="350">
        <f t="shared" si="384"/>
        <v>1915243.4047532687</v>
      </c>
      <c r="U933" s="350">
        <f t="shared" si="385"/>
        <v>1933577.3778627773</v>
      </c>
      <c r="V933" s="350">
        <f t="shared" si="386"/>
        <v>9469172.3260547481</v>
      </c>
      <c r="W933" s="365"/>
      <c r="X933" s="377">
        <f t="shared" si="364"/>
        <v>0</v>
      </c>
      <c r="Y933" s="377">
        <f t="shared" si="365"/>
        <v>0</v>
      </c>
      <c r="Z933" s="377">
        <f t="shared" si="366"/>
        <v>0</v>
      </c>
      <c r="AA933" s="377">
        <f t="shared" si="367"/>
        <v>0</v>
      </c>
      <c r="AB933" s="377">
        <f t="shared" si="368"/>
        <v>0</v>
      </c>
      <c r="AC933" s="377">
        <f t="shared" si="369"/>
        <v>0</v>
      </c>
      <c r="AD933" s="376"/>
      <c r="AE933" s="332">
        <v>918</v>
      </c>
      <c r="AF933" s="350">
        <v>7501992.5837368742</v>
      </c>
      <c r="AG933" s="350">
        <v>46339.604109468557</v>
      </c>
      <c r="AH933" s="350">
        <v>44368.544898847504</v>
      </c>
      <c r="AI933" s="350">
        <v>42344.447605120229</v>
      </c>
      <c r="AJ933" s="350">
        <v>40267.415616365164</v>
      </c>
      <c r="AK933" s="348">
        <v>7675312.5959666753</v>
      </c>
      <c r="AL933" s="369"/>
      <c r="AM933" s="350">
        <v>10885812.621052032</v>
      </c>
      <c r="AN933" s="350">
        <v>3471963.1700622863</v>
      </c>
      <c r="AO933" s="350">
        <v>3509128.4642380062</v>
      </c>
      <c r="AP933" s="350">
        <v>3543477.8524609199</v>
      </c>
      <c r="AQ933" s="350">
        <v>3574915.9786698837</v>
      </c>
      <c r="AR933" s="348">
        <v>24985298.086483128</v>
      </c>
      <c r="AS933" s="369"/>
      <c r="AT933" s="350">
        <f t="shared" si="387"/>
        <v>3383820.0373151582</v>
      </c>
      <c r="AU933" s="350">
        <f t="shared" si="370"/>
        <v>3425623.5659528179</v>
      </c>
      <c r="AV933" s="350">
        <f t="shared" si="371"/>
        <v>3464759.9193391586</v>
      </c>
      <c r="AW933" s="350">
        <f t="shared" si="372"/>
        <v>3501133.4048557999</v>
      </c>
      <c r="AX933" s="350">
        <f t="shared" si="373"/>
        <v>3534648.5630535185</v>
      </c>
      <c r="AY933" s="350">
        <f t="shared" si="374"/>
        <v>17309985.490516454</v>
      </c>
      <c r="AZ933" s="365"/>
      <c r="BA933" s="377">
        <f t="shared" si="375"/>
        <v>0</v>
      </c>
      <c r="BB933" s="377">
        <f t="shared" si="376"/>
        <v>0</v>
      </c>
      <c r="BC933" s="377">
        <f t="shared" si="377"/>
        <v>0</v>
      </c>
      <c r="BD933" s="377">
        <f t="shared" si="378"/>
        <v>0</v>
      </c>
      <c r="BE933" s="377">
        <f t="shared" si="379"/>
        <v>0</v>
      </c>
      <c r="BF933" s="377">
        <f t="shared" si="380"/>
        <v>0</v>
      </c>
      <c r="BG933" s="328"/>
    </row>
    <row r="934" spans="2:59">
      <c r="B934" s="332">
        <v>919</v>
      </c>
      <c r="C934" s="350">
        <v>7913101.7936731623</v>
      </c>
      <c r="D934" s="350">
        <v>48879.01451564669</v>
      </c>
      <c r="E934" s="350">
        <v>46799.941255986552</v>
      </c>
      <c r="F934" s="350">
        <v>44664.923426152534</v>
      </c>
      <c r="G934" s="350">
        <v>42474.070079886471</v>
      </c>
      <c r="H934" s="348">
        <v>8095919.7429508343</v>
      </c>
      <c r="I934" s="369"/>
      <c r="J934" s="350">
        <v>10650790.151949015</v>
      </c>
      <c r="K934" s="350">
        <v>2820388.6258203592</v>
      </c>
      <c r="L934" s="350">
        <v>2849972.9205500213</v>
      </c>
      <c r="M934" s="350">
        <v>2877265.9653094271</v>
      </c>
      <c r="N934" s="350">
        <v>2902190.6374378684</v>
      </c>
      <c r="O934" s="348">
        <v>22100608.301066689</v>
      </c>
      <c r="P934" s="369"/>
      <c r="Q934" s="350">
        <f t="shared" si="381"/>
        <v>2737688.3582758522</v>
      </c>
      <c r="R934" s="350">
        <f t="shared" si="382"/>
        <v>2771509.6113047125</v>
      </c>
      <c r="S934" s="350">
        <f t="shared" si="383"/>
        <v>2803172.9792940347</v>
      </c>
      <c r="T934" s="350">
        <f t="shared" si="384"/>
        <v>2832601.0418832744</v>
      </c>
      <c r="U934" s="350">
        <f t="shared" si="385"/>
        <v>2859716.567357982</v>
      </c>
      <c r="V934" s="350">
        <f t="shared" si="386"/>
        <v>14004688.558115855</v>
      </c>
      <c r="W934" s="365"/>
      <c r="X934" s="377">
        <f t="shared" si="364"/>
        <v>0</v>
      </c>
      <c r="Y934" s="377">
        <f t="shared" si="365"/>
        <v>0</v>
      </c>
      <c r="Z934" s="377">
        <f t="shared" si="366"/>
        <v>0</v>
      </c>
      <c r="AA934" s="377">
        <f t="shared" si="367"/>
        <v>0</v>
      </c>
      <c r="AB934" s="377">
        <f t="shared" si="368"/>
        <v>0</v>
      </c>
      <c r="AC934" s="377">
        <f t="shared" si="369"/>
        <v>0</v>
      </c>
      <c r="AD934" s="376"/>
      <c r="AE934" s="332">
        <v>919</v>
      </c>
      <c r="AF934" s="350">
        <v>5612350.2518867487</v>
      </c>
      <c r="AG934" s="350">
        <v>34667.334830470929</v>
      </c>
      <c r="AH934" s="350">
        <v>33192.756638911058</v>
      </c>
      <c r="AI934" s="350">
        <v>31678.499882523447</v>
      </c>
      <c r="AJ934" s="350">
        <v>30124.641907437021</v>
      </c>
      <c r="AK934" s="348">
        <v>5742013.4851460913</v>
      </c>
      <c r="AL934" s="369"/>
      <c r="AM934" s="350">
        <v>7655862.7500071954</v>
      </c>
      <c r="AN934" s="350">
        <v>2103425.2751714131</v>
      </c>
      <c r="AO934" s="350">
        <v>2125585.4134818865</v>
      </c>
      <c r="AP934" s="350">
        <v>2146037.3580700713</v>
      </c>
      <c r="AQ934" s="350">
        <v>2164723.5376555659</v>
      </c>
      <c r="AR934" s="348">
        <v>16195634.334386133</v>
      </c>
      <c r="AS934" s="369"/>
      <c r="AT934" s="350">
        <f t="shared" si="387"/>
        <v>2043512.4981204467</v>
      </c>
      <c r="AU934" s="350">
        <f t="shared" si="370"/>
        <v>2068757.9403409422</v>
      </c>
      <c r="AV934" s="350">
        <f t="shared" si="371"/>
        <v>2092392.6568429754</v>
      </c>
      <c r="AW934" s="350">
        <f t="shared" si="372"/>
        <v>2114358.8581875479</v>
      </c>
      <c r="AX934" s="350">
        <f t="shared" si="373"/>
        <v>2134598.8957481286</v>
      </c>
      <c r="AY934" s="350">
        <f t="shared" si="374"/>
        <v>10453620.849240042</v>
      </c>
      <c r="AZ934" s="365"/>
      <c r="BA934" s="377">
        <f t="shared" si="375"/>
        <v>0</v>
      </c>
      <c r="BB934" s="377">
        <f t="shared" si="376"/>
        <v>0</v>
      </c>
      <c r="BC934" s="377">
        <f t="shared" si="377"/>
        <v>0</v>
      </c>
      <c r="BD934" s="377">
        <f t="shared" si="378"/>
        <v>0</v>
      </c>
      <c r="BE934" s="377">
        <f t="shared" si="379"/>
        <v>0</v>
      </c>
      <c r="BF934" s="377">
        <f t="shared" si="380"/>
        <v>0</v>
      </c>
      <c r="BG934" s="328"/>
    </row>
    <row r="935" spans="2:59">
      <c r="B935" s="332">
        <v>920</v>
      </c>
      <c r="C935" s="350">
        <v>5144276.523433703</v>
      </c>
      <c r="D935" s="350">
        <v>31776.056143048027</v>
      </c>
      <c r="E935" s="350">
        <v>30424.458749379475</v>
      </c>
      <c r="F935" s="350">
        <v>29036.492009470894</v>
      </c>
      <c r="G935" s="350">
        <v>27612.226818735428</v>
      </c>
      <c r="H935" s="348">
        <v>5263125.7571543371</v>
      </c>
      <c r="I935" s="369"/>
      <c r="J935" s="350">
        <v>6879124.4458178226</v>
      </c>
      <c r="K935" s="350">
        <v>1788056.195372514</v>
      </c>
      <c r="L935" s="350">
        <v>1806769.3829299547</v>
      </c>
      <c r="M935" s="350">
        <v>1824029.708676808</v>
      </c>
      <c r="N935" s="350">
        <v>1839788.3024816737</v>
      </c>
      <c r="O935" s="348">
        <v>14137768.035278773</v>
      </c>
      <c r="P935" s="369"/>
      <c r="Q935" s="350">
        <f t="shared" si="381"/>
        <v>1734847.9223841196</v>
      </c>
      <c r="R935" s="350">
        <f t="shared" si="382"/>
        <v>1756280.139229466</v>
      </c>
      <c r="S935" s="350">
        <f t="shared" si="383"/>
        <v>1776344.9241805752</v>
      </c>
      <c r="T935" s="350">
        <f t="shared" si="384"/>
        <v>1794993.2166673371</v>
      </c>
      <c r="U935" s="350">
        <f t="shared" si="385"/>
        <v>1812176.0756629382</v>
      </c>
      <c r="V935" s="350">
        <f t="shared" si="386"/>
        <v>8874642.2781244367</v>
      </c>
      <c r="W935" s="365"/>
      <c r="X935" s="377">
        <f t="shared" si="364"/>
        <v>0</v>
      </c>
      <c r="Y935" s="377">
        <f t="shared" si="365"/>
        <v>0</v>
      </c>
      <c r="Z935" s="377">
        <f t="shared" si="366"/>
        <v>0</v>
      </c>
      <c r="AA935" s="377">
        <f t="shared" si="367"/>
        <v>0</v>
      </c>
      <c r="AB935" s="377">
        <f t="shared" si="368"/>
        <v>0</v>
      </c>
      <c r="AC935" s="377">
        <f t="shared" si="369"/>
        <v>0</v>
      </c>
      <c r="AD935" s="376"/>
      <c r="AE935" s="332">
        <v>920</v>
      </c>
      <c r="AF935" s="350">
        <v>5160156.9234899553</v>
      </c>
      <c r="AG935" s="350">
        <v>31874.148942193275</v>
      </c>
      <c r="AH935" s="350">
        <v>30518.379162528017</v>
      </c>
      <c r="AI935" s="350">
        <v>29126.127764323282</v>
      </c>
      <c r="AJ935" s="350">
        <v>27697.465861840123</v>
      </c>
      <c r="AK935" s="348">
        <v>5279373.0452208398</v>
      </c>
      <c r="AL935" s="369"/>
      <c r="AM935" s="350">
        <v>7294153.2592748459</v>
      </c>
      <c r="AN935" s="350">
        <v>2192233.7593551348</v>
      </c>
      <c r="AO935" s="350">
        <v>2215559.2178327199</v>
      </c>
      <c r="AP935" s="350">
        <v>2237105.8000474973</v>
      </c>
      <c r="AQ935" s="350">
        <v>2256813.3758877041</v>
      </c>
      <c r="AR935" s="348">
        <v>16195865.412397902</v>
      </c>
      <c r="AS935" s="369"/>
      <c r="AT935" s="350">
        <f t="shared" si="387"/>
        <v>2133996.3357848907</v>
      </c>
      <c r="AU935" s="350">
        <f t="shared" si="370"/>
        <v>2160359.6104129413</v>
      </c>
      <c r="AV935" s="350">
        <f t="shared" si="371"/>
        <v>2185040.8386701918</v>
      </c>
      <c r="AW935" s="350">
        <f t="shared" si="372"/>
        <v>2207979.672283174</v>
      </c>
      <c r="AX935" s="350">
        <f t="shared" si="373"/>
        <v>2229115.9100258639</v>
      </c>
      <c r="AY935" s="350">
        <f t="shared" si="374"/>
        <v>10916492.367177062</v>
      </c>
      <c r="AZ935" s="365"/>
      <c r="BA935" s="377">
        <f t="shared" si="375"/>
        <v>0</v>
      </c>
      <c r="BB935" s="377">
        <f t="shared" si="376"/>
        <v>0</v>
      </c>
      <c r="BC935" s="377">
        <f t="shared" si="377"/>
        <v>0</v>
      </c>
      <c r="BD935" s="377">
        <f t="shared" si="378"/>
        <v>0</v>
      </c>
      <c r="BE935" s="377">
        <f t="shared" si="379"/>
        <v>0</v>
      </c>
      <c r="BF935" s="377">
        <f t="shared" si="380"/>
        <v>0</v>
      </c>
      <c r="BG935" s="328"/>
    </row>
    <row r="936" spans="2:59">
      <c r="B936" s="332">
        <v>921</v>
      </c>
      <c r="C936" s="350">
        <v>6234126.0341768777</v>
      </c>
      <c r="D936" s="350">
        <v>38508.026923214245</v>
      </c>
      <c r="E936" s="350">
        <v>36870.084549547391</v>
      </c>
      <c r="F936" s="350">
        <v>35188.06773952199</v>
      </c>
      <c r="G936" s="350">
        <v>33462.062408216902</v>
      </c>
      <c r="H936" s="348">
        <v>6378154.2757973783</v>
      </c>
      <c r="I936" s="369"/>
      <c r="J936" s="350">
        <v>8619450.891017735</v>
      </c>
      <c r="K936" s="350">
        <v>2453301.05726723</v>
      </c>
      <c r="L936" s="350">
        <v>2479251.1412983644</v>
      </c>
      <c r="M936" s="350">
        <v>2503209.548085344</v>
      </c>
      <c r="N936" s="350">
        <v>2525109.072199564</v>
      </c>
      <c r="O936" s="348">
        <v>18580321.709868237</v>
      </c>
      <c r="P936" s="369"/>
      <c r="Q936" s="350">
        <f t="shared" si="381"/>
        <v>2385324.8568408573</v>
      </c>
      <c r="R936" s="350">
        <f t="shared" si="382"/>
        <v>2414793.0303440159</v>
      </c>
      <c r="S936" s="350">
        <f t="shared" si="383"/>
        <v>2442381.0567488172</v>
      </c>
      <c r="T936" s="350">
        <f t="shared" si="384"/>
        <v>2468021.4803458219</v>
      </c>
      <c r="U936" s="350">
        <f t="shared" si="385"/>
        <v>2491647.0097913472</v>
      </c>
      <c r="V936" s="350">
        <f t="shared" si="386"/>
        <v>12202167.434070859</v>
      </c>
      <c r="W936" s="365"/>
      <c r="X936" s="377">
        <f t="shared" si="364"/>
        <v>0</v>
      </c>
      <c r="Y936" s="377">
        <f t="shared" si="365"/>
        <v>0</v>
      </c>
      <c r="Z936" s="377">
        <f t="shared" si="366"/>
        <v>0</v>
      </c>
      <c r="AA936" s="377">
        <f t="shared" si="367"/>
        <v>0</v>
      </c>
      <c r="AB936" s="377">
        <f t="shared" si="368"/>
        <v>0</v>
      </c>
      <c r="AC936" s="377">
        <f t="shared" si="369"/>
        <v>0</v>
      </c>
      <c r="AD936" s="376"/>
      <c r="AE936" s="332">
        <v>921</v>
      </c>
      <c r="AF936" s="350">
        <v>7372218.0121500241</v>
      </c>
      <c r="AG936" s="350">
        <v>45537.990111095372</v>
      </c>
      <c r="AH936" s="350">
        <v>43601.027623682436</v>
      </c>
      <c r="AI936" s="350">
        <v>41611.944542008314</v>
      </c>
      <c r="AJ936" s="350">
        <v>39570.842465672249</v>
      </c>
      <c r="AK936" s="348">
        <v>7542539.8168924833</v>
      </c>
      <c r="AL936" s="369"/>
      <c r="AM936" s="350">
        <v>9833882.4070095997</v>
      </c>
      <c r="AN936" s="350">
        <v>2537613.6529731094</v>
      </c>
      <c r="AO936" s="350">
        <v>2564147.6394763039</v>
      </c>
      <c r="AP936" s="350">
        <v>2588619.5718227183</v>
      </c>
      <c r="AQ936" s="350">
        <v>2610960.1066873511</v>
      </c>
      <c r="AR936" s="348">
        <v>20135223.377969082</v>
      </c>
      <c r="AS936" s="369"/>
      <c r="AT936" s="350">
        <f t="shared" si="387"/>
        <v>2461664.3948595757</v>
      </c>
      <c r="AU936" s="350">
        <f t="shared" si="370"/>
        <v>2492075.662862014</v>
      </c>
      <c r="AV936" s="350">
        <f t="shared" si="371"/>
        <v>2520546.6118526217</v>
      </c>
      <c r="AW936" s="350">
        <f t="shared" si="372"/>
        <v>2547007.6272807098</v>
      </c>
      <c r="AX936" s="350">
        <f t="shared" si="373"/>
        <v>2571389.264221679</v>
      </c>
      <c r="AY936" s="350">
        <f t="shared" si="374"/>
        <v>12592683.5610766</v>
      </c>
      <c r="AZ936" s="365"/>
      <c r="BA936" s="377">
        <f t="shared" si="375"/>
        <v>0</v>
      </c>
      <c r="BB936" s="377">
        <f t="shared" si="376"/>
        <v>0</v>
      </c>
      <c r="BC936" s="377">
        <f t="shared" si="377"/>
        <v>0</v>
      </c>
      <c r="BD936" s="377">
        <f t="shared" si="378"/>
        <v>0</v>
      </c>
      <c r="BE936" s="377">
        <f t="shared" si="379"/>
        <v>0</v>
      </c>
      <c r="BF936" s="377">
        <f t="shared" si="380"/>
        <v>0</v>
      </c>
      <c r="BG936" s="328"/>
    </row>
    <row r="937" spans="2:59">
      <c r="B937" s="332">
        <v>922</v>
      </c>
      <c r="C937" s="350">
        <v>6188945.2220355785</v>
      </c>
      <c r="D937" s="350">
        <v>38228.946275690578</v>
      </c>
      <c r="E937" s="350">
        <v>36602.874622359406</v>
      </c>
      <c r="F937" s="350">
        <v>34933.047954962254</v>
      </c>
      <c r="G937" s="350">
        <v>33219.551565922469</v>
      </c>
      <c r="H937" s="348">
        <v>6331929.6424545133</v>
      </c>
      <c r="I937" s="369"/>
      <c r="J937" s="350">
        <v>9239521.0395916849</v>
      </c>
      <c r="K937" s="350">
        <v>3126491.4115093518</v>
      </c>
      <c r="L937" s="350">
        <v>3160147.4801327325</v>
      </c>
      <c r="M937" s="350">
        <v>3191269.0176908821</v>
      </c>
      <c r="N937" s="350">
        <v>3219770.0510321613</v>
      </c>
      <c r="O937" s="348">
        <v>21937198.999956816</v>
      </c>
      <c r="P937" s="369"/>
      <c r="Q937" s="350">
        <f t="shared" si="381"/>
        <v>3050575.8175561065</v>
      </c>
      <c r="R937" s="350">
        <f t="shared" si="382"/>
        <v>3088262.4652336612</v>
      </c>
      <c r="S937" s="350">
        <f t="shared" si="383"/>
        <v>3123544.6055103731</v>
      </c>
      <c r="T937" s="350">
        <f t="shared" si="384"/>
        <v>3156335.96973592</v>
      </c>
      <c r="U937" s="350">
        <f t="shared" si="385"/>
        <v>3186550.499466239</v>
      </c>
      <c r="V937" s="350">
        <f t="shared" si="386"/>
        <v>15605269.357502304</v>
      </c>
      <c r="W937" s="365"/>
      <c r="X937" s="377">
        <f t="shared" si="364"/>
        <v>0</v>
      </c>
      <c r="Y937" s="377">
        <f t="shared" si="365"/>
        <v>0</v>
      </c>
      <c r="Z937" s="377">
        <f t="shared" si="366"/>
        <v>0</v>
      </c>
      <c r="AA937" s="377">
        <f t="shared" si="367"/>
        <v>0</v>
      </c>
      <c r="AB937" s="377">
        <f t="shared" si="368"/>
        <v>0</v>
      </c>
      <c r="AC937" s="377">
        <f t="shared" si="369"/>
        <v>0</v>
      </c>
      <c r="AD937" s="376"/>
      <c r="AE937" s="332">
        <v>922</v>
      </c>
      <c r="AF937" s="350">
        <v>3561744.3992480868</v>
      </c>
      <c r="AG937" s="350">
        <v>22000.798262327735</v>
      </c>
      <c r="AH937" s="350">
        <v>21064.992338014217</v>
      </c>
      <c r="AI937" s="350">
        <v>20104.005357689774</v>
      </c>
      <c r="AJ937" s="350">
        <v>19117.886407231763</v>
      </c>
      <c r="AK937" s="348">
        <v>3644032.0816133507</v>
      </c>
      <c r="AL937" s="369"/>
      <c r="AM937" s="350">
        <v>5227767.3458717261</v>
      </c>
      <c r="AN937" s="350">
        <v>1708605.7017253251</v>
      </c>
      <c r="AO937" s="350">
        <v>1726938.6695743795</v>
      </c>
      <c r="AP937" s="350">
        <v>1743886.1590647758</v>
      </c>
      <c r="AQ937" s="350">
        <v>1759401.2198465024</v>
      </c>
      <c r="AR937" s="348">
        <v>12166599.096082708</v>
      </c>
      <c r="AS937" s="369"/>
      <c r="AT937" s="350">
        <f t="shared" si="387"/>
        <v>1666022.9466236392</v>
      </c>
      <c r="AU937" s="350">
        <f t="shared" si="370"/>
        <v>1686604.9034629974</v>
      </c>
      <c r="AV937" s="350">
        <f t="shared" si="371"/>
        <v>1705873.6772363652</v>
      </c>
      <c r="AW937" s="350">
        <f t="shared" si="372"/>
        <v>1723782.1537070861</v>
      </c>
      <c r="AX937" s="350">
        <f t="shared" si="373"/>
        <v>1740283.3334392707</v>
      </c>
      <c r="AY937" s="350">
        <f t="shared" si="374"/>
        <v>8522567.0144693572</v>
      </c>
      <c r="AZ937" s="365"/>
      <c r="BA937" s="377">
        <f t="shared" si="375"/>
        <v>0</v>
      </c>
      <c r="BB937" s="377">
        <f t="shared" si="376"/>
        <v>0</v>
      </c>
      <c r="BC937" s="377">
        <f t="shared" si="377"/>
        <v>0</v>
      </c>
      <c r="BD937" s="377">
        <f t="shared" si="378"/>
        <v>0</v>
      </c>
      <c r="BE937" s="377">
        <f t="shared" si="379"/>
        <v>0</v>
      </c>
      <c r="BF937" s="377">
        <f t="shared" si="380"/>
        <v>0</v>
      </c>
      <c r="BG937" s="328"/>
    </row>
    <row r="938" spans="2:59">
      <c r="B938" s="332">
        <v>923</v>
      </c>
      <c r="C938" s="350">
        <v>5596186.0942266108</v>
      </c>
      <c r="D938" s="350">
        <v>34567.489268324796</v>
      </c>
      <c r="E938" s="350">
        <v>33097.158016693429</v>
      </c>
      <c r="F938" s="350">
        <v>31587.26247866323</v>
      </c>
      <c r="G938" s="350">
        <v>30037.879777600981</v>
      </c>
      <c r="H938" s="348">
        <v>5725475.8837678935</v>
      </c>
      <c r="I938" s="369"/>
      <c r="J938" s="350">
        <v>7383634.2368418984</v>
      </c>
      <c r="K938" s="350">
        <v>1844097.6689878758</v>
      </c>
      <c r="L938" s="350">
        <v>1863300.4827019142</v>
      </c>
      <c r="M938" s="350">
        <v>1881004.2919147895</v>
      </c>
      <c r="N938" s="350">
        <v>1897158.7488415244</v>
      </c>
      <c r="O938" s="348">
        <v>14869195.429288002</v>
      </c>
      <c r="P938" s="369"/>
      <c r="Q938" s="350">
        <f t="shared" si="381"/>
        <v>1787448.1426152876</v>
      </c>
      <c r="R938" s="350">
        <f t="shared" si="382"/>
        <v>1809530.179719551</v>
      </c>
      <c r="S938" s="350">
        <f t="shared" si="383"/>
        <v>1830203.3246852206</v>
      </c>
      <c r="T938" s="350">
        <f t="shared" si="384"/>
        <v>1849417.0294361264</v>
      </c>
      <c r="U938" s="350">
        <f t="shared" si="385"/>
        <v>1867120.8690639234</v>
      </c>
      <c r="V938" s="350">
        <f t="shared" si="386"/>
        <v>9143719.5455201082</v>
      </c>
      <c r="W938" s="365"/>
      <c r="X938" s="377">
        <f t="shared" si="364"/>
        <v>0</v>
      </c>
      <c r="Y938" s="377">
        <f t="shared" si="365"/>
        <v>0</v>
      </c>
      <c r="Z938" s="377">
        <f t="shared" si="366"/>
        <v>0</v>
      </c>
      <c r="AA938" s="377">
        <f t="shared" si="367"/>
        <v>0</v>
      </c>
      <c r="AB938" s="377">
        <f t="shared" si="368"/>
        <v>0</v>
      </c>
      <c r="AC938" s="377">
        <f t="shared" si="369"/>
        <v>0</v>
      </c>
      <c r="AD938" s="376"/>
      <c r="AE938" s="332">
        <v>923</v>
      </c>
      <c r="AF938" s="350">
        <v>4386086.9425010253</v>
      </c>
      <c r="AG938" s="350">
        <v>27092.739727018834</v>
      </c>
      <c r="AH938" s="350">
        <v>25940.347616508552</v>
      </c>
      <c r="AI938" s="350">
        <v>24756.946458580329</v>
      </c>
      <c r="AJ938" s="350">
        <v>23542.596699718099</v>
      </c>
      <c r="AK938" s="348">
        <v>4487419.5730028506</v>
      </c>
      <c r="AL938" s="369"/>
      <c r="AM938" s="350">
        <v>5747693.7300738432</v>
      </c>
      <c r="AN938" s="350">
        <v>1405520.7434726367</v>
      </c>
      <c r="AO938" s="350">
        <v>1420116.3296304888</v>
      </c>
      <c r="AP938" s="350">
        <v>1433569.1633257703</v>
      </c>
      <c r="AQ938" s="350">
        <v>1445840.8933185937</v>
      </c>
      <c r="AR938" s="348">
        <v>11452740.859821333</v>
      </c>
      <c r="AS938" s="369"/>
      <c r="AT938" s="350">
        <f t="shared" si="387"/>
        <v>1361606.7875728179</v>
      </c>
      <c r="AU938" s="350">
        <f t="shared" si="370"/>
        <v>1378428.0037456178</v>
      </c>
      <c r="AV938" s="350">
        <f t="shared" si="371"/>
        <v>1394175.9820139802</v>
      </c>
      <c r="AW938" s="350">
        <f t="shared" si="372"/>
        <v>1408812.2168671899</v>
      </c>
      <c r="AX938" s="350">
        <f t="shared" si="373"/>
        <v>1422298.2966188756</v>
      </c>
      <c r="AY938" s="350">
        <f t="shared" si="374"/>
        <v>6965321.286818482</v>
      </c>
      <c r="AZ938" s="365"/>
      <c r="BA938" s="377">
        <f t="shared" si="375"/>
        <v>0</v>
      </c>
      <c r="BB938" s="377">
        <f t="shared" si="376"/>
        <v>0</v>
      </c>
      <c r="BC938" s="377">
        <f t="shared" si="377"/>
        <v>0</v>
      </c>
      <c r="BD938" s="377">
        <f t="shared" si="378"/>
        <v>0</v>
      </c>
      <c r="BE938" s="377">
        <f t="shared" si="379"/>
        <v>0</v>
      </c>
      <c r="BF938" s="377">
        <f t="shared" si="380"/>
        <v>0</v>
      </c>
      <c r="BG938" s="328"/>
    </row>
    <row r="939" spans="2:59">
      <c r="B939" s="332">
        <v>924</v>
      </c>
      <c r="C939" s="350">
        <v>4993766.7824293571</v>
      </c>
      <c r="D939" s="350">
        <v>30846.361567251915</v>
      </c>
      <c r="E939" s="350">
        <v>29534.308815621815</v>
      </c>
      <c r="F939" s="350">
        <v>28186.950801467698</v>
      </c>
      <c r="G939" s="350">
        <v>26804.356345966044</v>
      </c>
      <c r="H939" s="348">
        <v>5109138.7599596651</v>
      </c>
      <c r="I939" s="369"/>
      <c r="J939" s="350">
        <v>6802761.8173396001</v>
      </c>
      <c r="K939" s="350">
        <v>1862189.6227168706</v>
      </c>
      <c r="L939" s="350">
        <v>1881799.9204979707</v>
      </c>
      <c r="M939" s="350">
        <v>1899897.8798991586</v>
      </c>
      <c r="N939" s="350">
        <v>1916432.5369834281</v>
      </c>
      <c r="O939" s="348">
        <v>14363081.777437029</v>
      </c>
      <c r="P939" s="369"/>
      <c r="Q939" s="350">
        <f t="shared" si="381"/>
        <v>1808995.034910243</v>
      </c>
      <c r="R939" s="350">
        <f t="shared" si="382"/>
        <v>1831343.2611496188</v>
      </c>
      <c r="S939" s="350">
        <f t="shared" si="383"/>
        <v>1852265.6116823489</v>
      </c>
      <c r="T939" s="350">
        <f t="shared" si="384"/>
        <v>1871710.9290976909</v>
      </c>
      <c r="U939" s="350">
        <f t="shared" si="385"/>
        <v>1889628.1806374621</v>
      </c>
      <c r="V939" s="350">
        <f t="shared" si="386"/>
        <v>9253943.0174773633</v>
      </c>
      <c r="W939" s="365"/>
      <c r="X939" s="377">
        <f t="shared" si="364"/>
        <v>0</v>
      </c>
      <c r="Y939" s="377">
        <f t="shared" si="365"/>
        <v>0</v>
      </c>
      <c r="Z939" s="377">
        <f t="shared" si="366"/>
        <v>0</v>
      </c>
      <c r="AA939" s="377">
        <f t="shared" si="367"/>
        <v>0</v>
      </c>
      <c r="AB939" s="377">
        <f t="shared" si="368"/>
        <v>0</v>
      </c>
      <c r="AC939" s="377">
        <f t="shared" si="369"/>
        <v>0</v>
      </c>
      <c r="AD939" s="376"/>
      <c r="AE939" s="332">
        <v>924</v>
      </c>
      <c r="AF939" s="350">
        <v>5393522.8222265253</v>
      </c>
      <c r="AG939" s="350">
        <v>33315.643750324882</v>
      </c>
      <c r="AH939" s="350">
        <v>31898.559859908371</v>
      </c>
      <c r="AI939" s="350">
        <v>30443.344485289803</v>
      </c>
      <c r="AJ939" s="350">
        <v>28950.071956849715</v>
      </c>
      <c r="AK939" s="348">
        <v>5518130.4422788974</v>
      </c>
      <c r="AL939" s="369"/>
      <c r="AM939" s="350">
        <v>7235576.219659321</v>
      </c>
      <c r="AN939" s="350">
        <v>1898125.6686344934</v>
      </c>
      <c r="AO939" s="350">
        <v>1918013.2794156172</v>
      </c>
      <c r="AP939" s="350">
        <v>1936358.7336491782</v>
      </c>
      <c r="AQ939" s="350">
        <v>1953110.1403125329</v>
      </c>
      <c r="AR939" s="348">
        <v>14941184.041671142</v>
      </c>
      <c r="AS939" s="369"/>
      <c r="AT939" s="350">
        <f t="shared" si="387"/>
        <v>1842053.3974327957</v>
      </c>
      <c r="AU939" s="350">
        <f t="shared" si="370"/>
        <v>1864810.0248841685</v>
      </c>
      <c r="AV939" s="350">
        <f t="shared" si="371"/>
        <v>1886114.7195557088</v>
      </c>
      <c r="AW939" s="350">
        <f t="shared" si="372"/>
        <v>1905915.3891638883</v>
      </c>
      <c r="AX939" s="350">
        <f t="shared" si="373"/>
        <v>1924160.0683556832</v>
      </c>
      <c r="AY939" s="350">
        <f t="shared" si="374"/>
        <v>9423053.5993922446</v>
      </c>
      <c r="AZ939" s="365"/>
      <c r="BA939" s="377">
        <f t="shared" si="375"/>
        <v>0</v>
      </c>
      <c r="BB939" s="377">
        <f t="shared" si="376"/>
        <v>0</v>
      </c>
      <c r="BC939" s="377">
        <f t="shared" si="377"/>
        <v>0</v>
      </c>
      <c r="BD939" s="377">
        <f t="shared" si="378"/>
        <v>0</v>
      </c>
      <c r="BE939" s="377">
        <f t="shared" si="379"/>
        <v>0</v>
      </c>
      <c r="BF939" s="377">
        <f t="shared" si="380"/>
        <v>0</v>
      </c>
      <c r="BG939" s="328"/>
    </row>
    <row r="940" spans="2:59">
      <c r="B940" s="332">
        <v>925</v>
      </c>
      <c r="C940" s="350">
        <v>6459964.1416088659</v>
      </c>
      <c r="D940" s="350">
        <v>39903.022769239171</v>
      </c>
      <c r="E940" s="350">
        <v>38205.744122336073</v>
      </c>
      <c r="F940" s="350">
        <v>36462.794393894452</v>
      </c>
      <c r="G940" s="350">
        <v>34674.262611359336</v>
      </c>
      <c r="H940" s="348">
        <v>6609209.965505694</v>
      </c>
      <c r="I940" s="369"/>
      <c r="J940" s="350">
        <v>8722935.3405368514</v>
      </c>
      <c r="K940" s="350">
        <v>2330830.844767415</v>
      </c>
      <c r="L940" s="350">
        <v>2355306.4829918919</v>
      </c>
      <c r="M940" s="350">
        <v>2377888.7483224934</v>
      </c>
      <c r="N940" s="350">
        <v>2398513.8901078673</v>
      </c>
      <c r="O940" s="348">
        <v>18185475.306726519</v>
      </c>
      <c r="P940" s="369"/>
      <c r="Q940" s="350">
        <f t="shared" si="381"/>
        <v>2262971.1989279855</v>
      </c>
      <c r="R940" s="350">
        <f t="shared" si="382"/>
        <v>2290927.8219981757</v>
      </c>
      <c r="S940" s="350">
        <f t="shared" si="383"/>
        <v>2317100.7388695558</v>
      </c>
      <c r="T940" s="350">
        <f t="shared" si="384"/>
        <v>2341425.9539285991</v>
      </c>
      <c r="U940" s="350">
        <f t="shared" si="385"/>
        <v>2363839.627496508</v>
      </c>
      <c r="V940" s="350">
        <f t="shared" si="386"/>
        <v>11576265.341220826</v>
      </c>
      <c r="W940" s="365"/>
      <c r="X940" s="377">
        <f t="shared" si="364"/>
        <v>0</v>
      </c>
      <c r="Y940" s="377">
        <f t="shared" si="365"/>
        <v>0</v>
      </c>
      <c r="Z940" s="377">
        <f t="shared" si="366"/>
        <v>0</v>
      </c>
      <c r="AA940" s="377">
        <f t="shared" si="367"/>
        <v>0</v>
      </c>
      <c r="AB940" s="377">
        <f t="shared" si="368"/>
        <v>0</v>
      </c>
      <c r="AC940" s="377">
        <f t="shared" si="369"/>
        <v>0</v>
      </c>
      <c r="AD940" s="376"/>
      <c r="AE940" s="332">
        <v>925</v>
      </c>
      <c r="AF940" s="350">
        <v>5864124.6259349156</v>
      </c>
      <c r="AG940" s="350">
        <v>36222.538289827018</v>
      </c>
      <c r="AH940" s="350">
        <v>34681.809379853148</v>
      </c>
      <c r="AI940" s="350">
        <v>33099.621893935488</v>
      </c>
      <c r="AJ940" s="350">
        <v>31476.056648013171</v>
      </c>
      <c r="AK940" s="348">
        <v>5999604.6521465452</v>
      </c>
      <c r="AL940" s="369"/>
      <c r="AM940" s="350">
        <v>8013817.7429707954</v>
      </c>
      <c r="AN940" s="350">
        <v>2212472.8471353166</v>
      </c>
      <c r="AO940" s="350">
        <v>2235794.891237129</v>
      </c>
      <c r="AP940" s="350">
        <v>2257320.2657951377</v>
      </c>
      <c r="AQ940" s="350">
        <v>2276988.4075843068</v>
      </c>
      <c r="AR940" s="348">
        <v>16996394.154722683</v>
      </c>
      <c r="AS940" s="369"/>
      <c r="AT940" s="350">
        <f t="shared" si="387"/>
        <v>2149693.1170358798</v>
      </c>
      <c r="AU940" s="350">
        <f t="shared" si="370"/>
        <v>2176250.3088454898</v>
      </c>
      <c r="AV940" s="350">
        <f t="shared" si="371"/>
        <v>2201113.0818572757</v>
      </c>
      <c r="AW940" s="350">
        <f t="shared" si="372"/>
        <v>2224220.6439012024</v>
      </c>
      <c r="AX940" s="350">
        <f t="shared" si="373"/>
        <v>2245512.3509362936</v>
      </c>
      <c r="AY940" s="350">
        <f t="shared" si="374"/>
        <v>10996789.502576139</v>
      </c>
      <c r="AZ940" s="365"/>
      <c r="BA940" s="377">
        <f t="shared" si="375"/>
        <v>0</v>
      </c>
      <c r="BB940" s="377">
        <f t="shared" si="376"/>
        <v>0</v>
      </c>
      <c r="BC940" s="377">
        <f t="shared" si="377"/>
        <v>0</v>
      </c>
      <c r="BD940" s="377">
        <f t="shared" si="378"/>
        <v>0</v>
      </c>
      <c r="BE940" s="377">
        <f t="shared" si="379"/>
        <v>0</v>
      </c>
      <c r="BF940" s="377">
        <f t="shared" si="380"/>
        <v>0</v>
      </c>
      <c r="BG940" s="328"/>
    </row>
    <row r="941" spans="2:59">
      <c r="B941" s="332">
        <v>926</v>
      </c>
      <c r="C941" s="350">
        <v>5434845.1994152572</v>
      </c>
      <c r="D941" s="350">
        <v>33570.890950108529</v>
      </c>
      <c r="E941" s="350">
        <v>32142.950097188957</v>
      </c>
      <c r="F941" s="350">
        <v>30676.585616396653</v>
      </c>
      <c r="G941" s="350">
        <v>29171.872407590286</v>
      </c>
      <c r="H941" s="348">
        <v>5560407.4984865421</v>
      </c>
      <c r="I941" s="369"/>
      <c r="J941" s="350">
        <v>7178532.7112430315</v>
      </c>
      <c r="K941" s="350">
        <v>1798799.8234302818</v>
      </c>
      <c r="L941" s="350">
        <v>1817538.9038449526</v>
      </c>
      <c r="M941" s="350">
        <v>1834815.8506979835</v>
      </c>
      <c r="N941" s="350">
        <v>1850581.5484926694</v>
      </c>
      <c r="O941" s="348">
        <v>14480268.837708918</v>
      </c>
      <c r="P941" s="369"/>
      <c r="Q941" s="350">
        <f t="shared" si="381"/>
        <v>1743687.5118277743</v>
      </c>
      <c r="R941" s="350">
        <f t="shared" si="382"/>
        <v>1765228.9324801732</v>
      </c>
      <c r="S941" s="350">
        <f t="shared" si="383"/>
        <v>1785395.9537477635</v>
      </c>
      <c r="T941" s="350">
        <f t="shared" si="384"/>
        <v>1804139.2650815868</v>
      </c>
      <c r="U941" s="350">
        <f t="shared" si="385"/>
        <v>1821409.6760850791</v>
      </c>
      <c r="V941" s="350">
        <f t="shared" si="386"/>
        <v>8919861.3392223753</v>
      </c>
      <c r="W941" s="365"/>
      <c r="X941" s="377">
        <f t="shared" si="364"/>
        <v>0</v>
      </c>
      <c r="Y941" s="377">
        <f t="shared" si="365"/>
        <v>0</v>
      </c>
      <c r="Z941" s="377">
        <f t="shared" si="366"/>
        <v>0</v>
      </c>
      <c r="AA941" s="377">
        <f t="shared" si="367"/>
        <v>0</v>
      </c>
      <c r="AB941" s="377">
        <f t="shared" si="368"/>
        <v>0</v>
      </c>
      <c r="AC941" s="377">
        <f t="shared" si="369"/>
        <v>0</v>
      </c>
      <c r="AD941" s="376"/>
      <c r="AE941" s="332">
        <v>926</v>
      </c>
      <c r="AF941" s="350">
        <v>4468189.2831808785</v>
      </c>
      <c r="AG941" s="350">
        <v>27599.883651929769</v>
      </c>
      <c r="AH941" s="350">
        <v>26425.920129157461</v>
      </c>
      <c r="AI941" s="350">
        <v>25220.367106409711</v>
      </c>
      <c r="AJ941" s="350">
        <v>23983.286161662611</v>
      </c>
      <c r="AK941" s="348">
        <v>4571418.7402300388</v>
      </c>
      <c r="AL941" s="369"/>
      <c r="AM941" s="350">
        <v>6612577.1506251208</v>
      </c>
      <c r="AN941" s="350">
        <v>2198479.4021409713</v>
      </c>
      <c r="AO941" s="350">
        <v>2222106.8525386225</v>
      </c>
      <c r="AP941" s="350">
        <v>2243951.8341715066</v>
      </c>
      <c r="AQ941" s="350">
        <v>2263953.9142406732</v>
      </c>
      <c r="AR941" s="348">
        <v>15541069.153716896</v>
      </c>
      <c r="AS941" s="369"/>
      <c r="AT941" s="350">
        <f t="shared" si="387"/>
        <v>2144387.8674442424</v>
      </c>
      <c r="AU941" s="350">
        <f t="shared" si="370"/>
        <v>2170879.5184890414</v>
      </c>
      <c r="AV941" s="350">
        <f t="shared" si="371"/>
        <v>2195680.9324094648</v>
      </c>
      <c r="AW941" s="350">
        <f t="shared" si="372"/>
        <v>2218731.4670650968</v>
      </c>
      <c r="AX941" s="350">
        <f t="shared" si="373"/>
        <v>2239970.6280790106</v>
      </c>
      <c r="AY941" s="350">
        <f t="shared" si="374"/>
        <v>10969650.413486857</v>
      </c>
      <c r="AZ941" s="365"/>
      <c r="BA941" s="377">
        <f t="shared" si="375"/>
        <v>0</v>
      </c>
      <c r="BB941" s="377">
        <f t="shared" si="376"/>
        <v>0</v>
      </c>
      <c r="BC941" s="377">
        <f t="shared" si="377"/>
        <v>0</v>
      </c>
      <c r="BD941" s="377">
        <f t="shared" si="378"/>
        <v>0</v>
      </c>
      <c r="BE941" s="377">
        <f t="shared" si="379"/>
        <v>0</v>
      </c>
      <c r="BF941" s="377">
        <f t="shared" si="380"/>
        <v>0</v>
      </c>
      <c r="BG941" s="328"/>
    </row>
    <row r="942" spans="2:59">
      <c r="B942" s="332">
        <v>927</v>
      </c>
      <c r="C942" s="350">
        <v>5970637.819799236</v>
      </c>
      <c r="D942" s="350">
        <v>36880.467390798774</v>
      </c>
      <c r="E942" s="350">
        <v>35311.753407595017</v>
      </c>
      <c r="F942" s="350">
        <v>33700.827814429365</v>
      </c>
      <c r="G942" s="350">
        <v>32047.772895140519</v>
      </c>
      <c r="H942" s="348">
        <v>6108578.6413071994</v>
      </c>
      <c r="I942" s="369"/>
      <c r="J942" s="350">
        <v>8096229.9005112778</v>
      </c>
      <c r="K942" s="350">
        <v>2188731.997020971</v>
      </c>
      <c r="L942" s="350">
        <v>2211747.3099389006</v>
      </c>
      <c r="M942" s="350">
        <v>2232984.878624239</v>
      </c>
      <c r="N942" s="350">
        <v>2252384.8212235109</v>
      </c>
      <c r="O942" s="348">
        <v>16982078.907318901</v>
      </c>
      <c r="P942" s="369"/>
      <c r="Q942" s="350">
        <f t="shared" si="381"/>
        <v>2125592.0807120418</v>
      </c>
      <c r="R942" s="350">
        <f t="shared" si="382"/>
        <v>2151851.5296301721</v>
      </c>
      <c r="S942" s="350">
        <f t="shared" si="383"/>
        <v>2176435.5565313054</v>
      </c>
      <c r="T942" s="350">
        <f t="shared" si="384"/>
        <v>2199284.0508098095</v>
      </c>
      <c r="U942" s="350">
        <f t="shared" si="385"/>
        <v>2220337.0483283703</v>
      </c>
      <c r="V942" s="350">
        <f t="shared" si="386"/>
        <v>10873500.266011702</v>
      </c>
      <c r="W942" s="365"/>
      <c r="X942" s="377">
        <f t="shared" si="364"/>
        <v>0</v>
      </c>
      <c r="Y942" s="377">
        <f t="shared" si="365"/>
        <v>0</v>
      </c>
      <c r="Z942" s="377">
        <f t="shared" si="366"/>
        <v>0</v>
      </c>
      <c r="AA942" s="377">
        <f t="shared" si="367"/>
        <v>0</v>
      </c>
      <c r="AB942" s="377">
        <f t="shared" si="368"/>
        <v>0</v>
      </c>
      <c r="AC942" s="377">
        <f t="shared" si="369"/>
        <v>0</v>
      </c>
      <c r="AD942" s="376"/>
      <c r="AE942" s="332">
        <v>927</v>
      </c>
      <c r="AF942" s="350">
        <v>6126463.1474018618</v>
      </c>
      <c r="AG942" s="350">
        <v>37842.996200409674</v>
      </c>
      <c r="AH942" s="350">
        <v>36233.340968091878</v>
      </c>
      <c r="AI942" s="350">
        <v>34580.372461610001</v>
      </c>
      <c r="AJ942" s="350">
        <v>32884.175112298493</v>
      </c>
      <c r="AK942" s="348">
        <v>6268004.0321442718</v>
      </c>
      <c r="AL942" s="369"/>
      <c r="AM942" s="350">
        <v>7975208.3777527194</v>
      </c>
      <c r="AN942" s="350">
        <v>1909427.5245424295</v>
      </c>
      <c r="AO942" s="350">
        <v>1929199.9599232201</v>
      </c>
      <c r="AP942" s="350">
        <v>1947419.5931268109</v>
      </c>
      <c r="AQ942" s="350">
        <v>1964034.3544511886</v>
      </c>
      <c r="AR942" s="348">
        <v>15725289.809796371</v>
      </c>
      <c r="AS942" s="369"/>
      <c r="AT942" s="350">
        <f t="shared" si="387"/>
        <v>1848745.2303508576</v>
      </c>
      <c r="AU942" s="350">
        <f t="shared" si="370"/>
        <v>1871584.5283420198</v>
      </c>
      <c r="AV942" s="350">
        <f t="shared" si="371"/>
        <v>1892966.6189551281</v>
      </c>
      <c r="AW942" s="350">
        <f t="shared" si="372"/>
        <v>1912839.2206652008</v>
      </c>
      <c r="AX942" s="350">
        <f t="shared" si="373"/>
        <v>1931150.1793388901</v>
      </c>
      <c r="AY942" s="350">
        <f t="shared" si="374"/>
        <v>9457285.7776520997</v>
      </c>
      <c r="AZ942" s="365"/>
      <c r="BA942" s="377">
        <f t="shared" si="375"/>
        <v>0</v>
      </c>
      <c r="BB942" s="377">
        <f t="shared" si="376"/>
        <v>0</v>
      </c>
      <c r="BC942" s="377">
        <f t="shared" si="377"/>
        <v>0</v>
      </c>
      <c r="BD942" s="377">
        <f t="shared" si="378"/>
        <v>0</v>
      </c>
      <c r="BE942" s="377">
        <f t="shared" si="379"/>
        <v>0</v>
      </c>
      <c r="BF942" s="377">
        <f t="shared" si="380"/>
        <v>0</v>
      </c>
      <c r="BG942" s="328"/>
    </row>
    <row r="943" spans="2:59">
      <c r="B943" s="332">
        <v>928</v>
      </c>
      <c r="C943" s="350">
        <v>6310044.2163262749</v>
      </c>
      <c r="D943" s="350">
        <v>38976.971469110991</v>
      </c>
      <c r="E943" s="350">
        <v>37319.082497190895</v>
      </c>
      <c r="F943" s="350">
        <v>35616.582357525745</v>
      </c>
      <c r="G943" s="350">
        <v>33869.558011464323</v>
      </c>
      <c r="H943" s="348">
        <v>6455826.410661567</v>
      </c>
      <c r="I943" s="369"/>
      <c r="J943" s="350">
        <v>8013512.3222735468</v>
      </c>
      <c r="K943" s="350">
        <v>1763489.6297167486</v>
      </c>
      <c r="L943" s="350">
        <v>1781533.5951701631</v>
      </c>
      <c r="M943" s="350">
        <v>1798142.0784150928</v>
      </c>
      <c r="N943" s="350">
        <v>1813267.1106281851</v>
      </c>
      <c r="O943" s="348">
        <v>15169944.736203736</v>
      </c>
      <c r="P943" s="369"/>
      <c r="Q943" s="350">
        <f t="shared" si="381"/>
        <v>1703468.1059472719</v>
      </c>
      <c r="R943" s="350">
        <f t="shared" si="382"/>
        <v>1724512.6582476376</v>
      </c>
      <c r="S943" s="350">
        <f t="shared" si="383"/>
        <v>1744214.5126729722</v>
      </c>
      <c r="T943" s="350">
        <f t="shared" si="384"/>
        <v>1762525.496057567</v>
      </c>
      <c r="U943" s="350">
        <f t="shared" si="385"/>
        <v>1779397.5526167208</v>
      </c>
      <c r="V943" s="350">
        <f t="shared" si="386"/>
        <v>8714118.3255421687</v>
      </c>
      <c r="W943" s="365"/>
      <c r="X943" s="377">
        <f t="shared" si="364"/>
        <v>0</v>
      </c>
      <c r="Y943" s="377">
        <f t="shared" si="365"/>
        <v>0</v>
      </c>
      <c r="Z943" s="377">
        <f t="shared" si="366"/>
        <v>0</v>
      </c>
      <c r="AA943" s="377">
        <f t="shared" si="367"/>
        <v>0</v>
      </c>
      <c r="AB943" s="377">
        <f t="shared" si="368"/>
        <v>0</v>
      </c>
      <c r="AC943" s="377">
        <f t="shared" si="369"/>
        <v>0</v>
      </c>
      <c r="AD943" s="376"/>
      <c r="AE943" s="332">
        <v>928</v>
      </c>
      <c r="AF943" s="350">
        <v>5027591.9141103467</v>
      </c>
      <c r="AG943" s="350">
        <v>31055.298485484385</v>
      </c>
      <c r="AH943" s="350">
        <v>29734.358583326168</v>
      </c>
      <c r="AI943" s="350">
        <v>28377.874279493451</v>
      </c>
      <c r="AJ943" s="350">
        <v>26985.914861315934</v>
      </c>
      <c r="AK943" s="348">
        <v>5143745.3603199665</v>
      </c>
      <c r="AL943" s="369"/>
      <c r="AM943" s="350">
        <v>7203379.4861942967</v>
      </c>
      <c r="AN943" s="350">
        <v>2233722.4318569885</v>
      </c>
      <c r="AO943" s="350">
        <v>2257566.0664226408</v>
      </c>
      <c r="AP943" s="350">
        <v>2279597.6396596231</v>
      </c>
      <c r="AQ943" s="350">
        <v>2299755.8406751733</v>
      </c>
      <c r="AR943" s="348">
        <v>16274021.464808723</v>
      </c>
      <c r="AS943" s="369"/>
      <c r="AT943" s="350">
        <f t="shared" si="387"/>
        <v>2175787.57208395</v>
      </c>
      <c r="AU943" s="350">
        <f t="shared" si="370"/>
        <v>2202667.133371504</v>
      </c>
      <c r="AV943" s="350">
        <f t="shared" si="371"/>
        <v>2227831.7078393148</v>
      </c>
      <c r="AW943" s="350">
        <f t="shared" si="372"/>
        <v>2251219.7653801297</v>
      </c>
      <c r="AX943" s="350">
        <f t="shared" si="373"/>
        <v>2272769.9258138575</v>
      </c>
      <c r="AY943" s="350">
        <f t="shared" si="374"/>
        <v>11130276.104488757</v>
      </c>
      <c r="AZ943" s="365"/>
      <c r="BA943" s="377">
        <f t="shared" si="375"/>
        <v>0</v>
      </c>
      <c r="BB943" s="377">
        <f t="shared" si="376"/>
        <v>0</v>
      </c>
      <c r="BC943" s="377">
        <f t="shared" si="377"/>
        <v>0</v>
      </c>
      <c r="BD943" s="377">
        <f t="shared" si="378"/>
        <v>0</v>
      </c>
      <c r="BE943" s="377">
        <f t="shared" si="379"/>
        <v>0</v>
      </c>
      <c r="BF943" s="377">
        <f t="shared" si="380"/>
        <v>0</v>
      </c>
      <c r="BG943" s="328"/>
    </row>
    <row r="944" spans="2:59">
      <c r="B944" s="332">
        <v>929</v>
      </c>
      <c r="C944" s="350">
        <v>6278035.7419129908</v>
      </c>
      <c r="D944" s="350">
        <v>38779.255993403545</v>
      </c>
      <c r="E944" s="350">
        <v>37129.776866945918</v>
      </c>
      <c r="F944" s="350">
        <v>35435.912868376625</v>
      </c>
      <c r="G944" s="350">
        <v>33697.750517913104</v>
      </c>
      <c r="H944" s="348">
        <v>6423078.4381596306</v>
      </c>
      <c r="I944" s="369"/>
      <c r="J944" s="350">
        <v>8049683.0298325336</v>
      </c>
      <c r="K944" s="350">
        <v>1832313.3781179758</v>
      </c>
      <c r="L944" s="350">
        <v>1851154.2955171517</v>
      </c>
      <c r="M944" s="350">
        <v>1868504.2891283594</v>
      </c>
      <c r="N944" s="350">
        <v>1884313.4663143938</v>
      </c>
      <c r="O944" s="348">
        <v>15485968.458910415</v>
      </c>
      <c r="P944" s="369"/>
      <c r="Q944" s="350">
        <f t="shared" si="381"/>
        <v>1771647.2879195428</v>
      </c>
      <c r="R944" s="350">
        <f t="shared" si="382"/>
        <v>1793534.1221245723</v>
      </c>
      <c r="S944" s="350">
        <f t="shared" si="383"/>
        <v>1814024.5186502058</v>
      </c>
      <c r="T944" s="350">
        <f t="shared" si="384"/>
        <v>1833068.3762599828</v>
      </c>
      <c r="U944" s="350">
        <f t="shared" si="385"/>
        <v>1850615.7157964807</v>
      </c>
      <c r="V944" s="350">
        <f t="shared" si="386"/>
        <v>9062890.0207507834</v>
      </c>
      <c r="W944" s="365"/>
      <c r="X944" s="377">
        <f t="shared" si="364"/>
        <v>0</v>
      </c>
      <c r="Y944" s="377">
        <f t="shared" si="365"/>
        <v>0</v>
      </c>
      <c r="Z944" s="377">
        <f t="shared" si="366"/>
        <v>0</v>
      </c>
      <c r="AA944" s="377">
        <f t="shared" si="367"/>
        <v>0</v>
      </c>
      <c r="AB944" s="377">
        <f t="shared" si="368"/>
        <v>0</v>
      </c>
      <c r="AC944" s="377">
        <f t="shared" si="369"/>
        <v>0</v>
      </c>
      <c r="AD944" s="376"/>
      <c r="AE944" s="332">
        <v>929</v>
      </c>
      <c r="AF944" s="350">
        <v>5694305.9550786316</v>
      </c>
      <c r="AG944" s="350">
        <v>35173.572979605975</v>
      </c>
      <c r="AH944" s="350">
        <v>33677.461903039512</v>
      </c>
      <c r="AI944" s="350">
        <v>32141.092845795272</v>
      </c>
      <c r="AJ944" s="350">
        <v>30564.544283468567</v>
      </c>
      <c r="AK944" s="348">
        <v>5825862.6270905407</v>
      </c>
      <c r="AL944" s="369"/>
      <c r="AM944" s="350">
        <v>8527907.0045011733</v>
      </c>
      <c r="AN944" s="350">
        <v>2903780.7755991174</v>
      </c>
      <c r="AO944" s="350">
        <v>2935057.3329278417</v>
      </c>
      <c r="AP944" s="350">
        <v>2963980.0147641273</v>
      </c>
      <c r="AQ944" s="350">
        <v>2990468.9621186345</v>
      </c>
      <c r="AR944" s="348">
        <v>20321194.089910891</v>
      </c>
      <c r="AS944" s="369"/>
      <c r="AT944" s="350">
        <f t="shared" si="387"/>
        <v>2833601.0494225416</v>
      </c>
      <c r="AU944" s="350">
        <f t="shared" si="370"/>
        <v>2868607.2026195116</v>
      </c>
      <c r="AV944" s="350">
        <f t="shared" si="371"/>
        <v>2901379.8710248023</v>
      </c>
      <c r="AW944" s="350">
        <f t="shared" si="372"/>
        <v>2931838.9219183321</v>
      </c>
      <c r="AX944" s="350">
        <f t="shared" si="373"/>
        <v>2959904.4178351657</v>
      </c>
      <c r="AY944" s="350">
        <f t="shared" si="374"/>
        <v>14495331.462820351</v>
      </c>
      <c r="AZ944" s="365"/>
      <c r="BA944" s="377">
        <f t="shared" si="375"/>
        <v>0</v>
      </c>
      <c r="BB944" s="377">
        <f t="shared" si="376"/>
        <v>0</v>
      </c>
      <c r="BC944" s="377">
        <f t="shared" si="377"/>
        <v>0</v>
      </c>
      <c r="BD944" s="377">
        <f t="shared" si="378"/>
        <v>0</v>
      </c>
      <c r="BE944" s="377">
        <f t="shared" si="379"/>
        <v>0</v>
      </c>
      <c r="BF944" s="377">
        <f t="shared" si="380"/>
        <v>0</v>
      </c>
      <c r="BG944" s="328"/>
    </row>
    <row r="945" spans="2:59">
      <c r="B945" s="332">
        <v>930</v>
      </c>
      <c r="C945" s="350">
        <v>5326053.4191259984</v>
      </c>
      <c r="D945" s="350">
        <v>32898.887082775502</v>
      </c>
      <c r="E945" s="350">
        <v>31499.529974533962</v>
      </c>
      <c r="F945" s="350">
        <v>30062.518381738566</v>
      </c>
      <c r="G945" s="350">
        <v>28587.925704942594</v>
      </c>
      <c r="H945" s="348">
        <v>5449102.2802699888</v>
      </c>
      <c r="I945" s="369"/>
      <c r="J945" s="350">
        <v>6832253.7524717543</v>
      </c>
      <c r="K945" s="350">
        <v>1557706.7373989136</v>
      </c>
      <c r="L945" s="350">
        <v>1573727.6886600323</v>
      </c>
      <c r="M945" s="350">
        <v>1588481.1822968181</v>
      </c>
      <c r="N945" s="350">
        <v>1601924.8009589387</v>
      </c>
      <c r="O945" s="348">
        <v>13154094.161786458</v>
      </c>
      <c r="P945" s="369"/>
      <c r="Q945" s="350">
        <f t="shared" si="381"/>
        <v>1506200.3333457559</v>
      </c>
      <c r="R945" s="350">
        <f t="shared" si="382"/>
        <v>1524807.850316138</v>
      </c>
      <c r="S945" s="350">
        <f t="shared" si="383"/>
        <v>1542228.1586854984</v>
      </c>
      <c r="T945" s="350">
        <f t="shared" si="384"/>
        <v>1558418.6639150796</v>
      </c>
      <c r="U945" s="350">
        <f t="shared" si="385"/>
        <v>1573336.8752539961</v>
      </c>
      <c r="V945" s="350">
        <f t="shared" si="386"/>
        <v>7704991.8815164687</v>
      </c>
      <c r="W945" s="365"/>
      <c r="X945" s="377">
        <f t="shared" si="364"/>
        <v>0</v>
      </c>
      <c r="Y945" s="377">
        <f t="shared" si="365"/>
        <v>0</v>
      </c>
      <c r="Z945" s="377">
        <f t="shared" si="366"/>
        <v>0</v>
      </c>
      <c r="AA945" s="377">
        <f t="shared" si="367"/>
        <v>0</v>
      </c>
      <c r="AB945" s="377">
        <f t="shared" si="368"/>
        <v>0</v>
      </c>
      <c r="AC945" s="377">
        <f t="shared" si="369"/>
        <v>0</v>
      </c>
      <c r="AD945" s="376"/>
      <c r="AE945" s="332">
        <v>930</v>
      </c>
      <c r="AF945" s="350">
        <v>5259563.7439827425</v>
      </c>
      <c r="AG945" s="350">
        <v>32488.182168166328</v>
      </c>
      <c r="AH945" s="350">
        <v>31106.294430247293</v>
      </c>
      <c r="AI945" s="350">
        <v>29687.222280874343</v>
      </c>
      <c r="AJ945" s="350">
        <v>28231.038204281795</v>
      </c>
      <c r="AK945" s="348">
        <v>5381076.4810663117</v>
      </c>
      <c r="AL945" s="369"/>
      <c r="AM945" s="350">
        <v>6981736.3423938295</v>
      </c>
      <c r="AN945" s="350">
        <v>1775936.4071618624</v>
      </c>
      <c r="AO945" s="350">
        <v>1794472.704983589</v>
      </c>
      <c r="AP945" s="350">
        <v>1811565.6752521589</v>
      </c>
      <c r="AQ945" s="350">
        <v>1827166.8070029507</v>
      </c>
      <c r="AR945" s="348">
        <v>14190877.936794389</v>
      </c>
      <c r="AS945" s="369"/>
      <c r="AT945" s="350">
        <f t="shared" si="387"/>
        <v>1722172.5984110869</v>
      </c>
      <c r="AU945" s="350">
        <f t="shared" si="370"/>
        <v>1743448.224993696</v>
      </c>
      <c r="AV945" s="350">
        <f t="shared" si="371"/>
        <v>1763366.4105533417</v>
      </c>
      <c r="AW945" s="350">
        <f t="shared" si="372"/>
        <v>1781878.4529712845</v>
      </c>
      <c r="AX945" s="350">
        <f t="shared" si="373"/>
        <v>1798935.7687986689</v>
      </c>
      <c r="AY945" s="350">
        <f t="shared" si="374"/>
        <v>8809801.4557280764</v>
      </c>
      <c r="AZ945" s="365"/>
      <c r="BA945" s="377">
        <f t="shared" si="375"/>
        <v>0</v>
      </c>
      <c r="BB945" s="377">
        <f t="shared" si="376"/>
        <v>0</v>
      </c>
      <c r="BC945" s="377">
        <f t="shared" si="377"/>
        <v>0</v>
      </c>
      <c r="BD945" s="377">
        <f t="shared" si="378"/>
        <v>0</v>
      </c>
      <c r="BE945" s="377">
        <f t="shared" si="379"/>
        <v>0</v>
      </c>
      <c r="BF945" s="377">
        <f t="shared" si="380"/>
        <v>0</v>
      </c>
      <c r="BG945" s="328"/>
    </row>
    <row r="946" spans="2:59">
      <c r="B946" s="332">
        <v>931</v>
      </c>
      <c r="C946" s="350">
        <v>6918036.9144958314</v>
      </c>
      <c r="D946" s="350">
        <v>42732.525826190307</v>
      </c>
      <c r="E946" s="350">
        <v>40914.894013371544</v>
      </c>
      <c r="F946" s="350">
        <v>39048.352605840177</v>
      </c>
      <c r="G946" s="350">
        <v>37132.996943938502</v>
      </c>
      <c r="H946" s="348">
        <v>7077865.683885172</v>
      </c>
      <c r="I946" s="369"/>
      <c r="J946" s="350">
        <v>8820038.2753594592</v>
      </c>
      <c r="K946" s="350">
        <v>1968231.108019829</v>
      </c>
      <c r="L946" s="350">
        <v>1988411.5129167663</v>
      </c>
      <c r="M946" s="350">
        <v>2006990.0360188996</v>
      </c>
      <c r="N946" s="350">
        <v>2023913.1161481023</v>
      </c>
      <c r="O946" s="348">
        <v>16807584.048463058</v>
      </c>
      <c r="P946" s="369"/>
      <c r="Q946" s="350">
        <f t="shared" si="381"/>
        <v>1902001.3608636279</v>
      </c>
      <c r="R946" s="350">
        <f t="shared" si="382"/>
        <v>1925498.5821936387</v>
      </c>
      <c r="S946" s="350">
        <f t="shared" si="383"/>
        <v>1947496.6189033948</v>
      </c>
      <c r="T946" s="350">
        <f t="shared" si="384"/>
        <v>1967941.6834130595</v>
      </c>
      <c r="U946" s="350">
        <f t="shared" si="385"/>
        <v>1986780.1192041638</v>
      </c>
      <c r="V946" s="350">
        <f t="shared" si="386"/>
        <v>9729718.3645778857</v>
      </c>
      <c r="W946" s="365"/>
      <c r="X946" s="377">
        <f t="shared" si="364"/>
        <v>0</v>
      </c>
      <c r="Y946" s="377">
        <f t="shared" si="365"/>
        <v>0</v>
      </c>
      <c r="Z946" s="377">
        <f t="shared" si="366"/>
        <v>0</v>
      </c>
      <c r="AA946" s="377">
        <f t="shared" si="367"/>
        <v>0</v>
      </c>
      <c r="AB946" s="377">
        <f t="shared" si="368"/>
        <v>0</v>
      </c>
      <c r="AC946" s="377">
        <f t="shared" si="369"/>
        <v>0</v>
      </c>
      <c r="AD946" s="376"/>
      <c r="AE946" s="332">
        <v>931</v>
      </c>
      <c r="AF946" s="350">
        <v>5333141.2944877185</v>
      </c>
      <c r="AG946" s="350">
        <v>32942.668696070286</v>
      </c>
      <c r="AH946" s="350">
        <v>31541.449332986169</v>
      </c>
      <c r="AI946" s="350">
        <v>30102.525375018307</v>
      </c>
      <c r="AJ946" s="350">
        <v>28625.970320402397</v>
      </c>
      <c r="AK946" s="348">
        <v>5456353.9082121952</v>
      </c>
      <c r="AL946" s="369"/>
      <c r="AM946" s="350">
        <v>6743296.9194315551</v>
      </c>
      <c r="AN946" s="350">
        <v>1460519.2795081944</v>
      </c>
      <c r="AO946" s="350">
        <v>1475427.5412223972</v>
      </c>
      <c r="AP946" s="350">
        <v>1489146.7151048831</v>
      </c>
      <c r="AQ946" s="350">
        <v>1501637.0933777508</v>
      </c>
      <c r="AR946" s="348">
        <v>12670027.548644781</v>
      </c>
      <c r="AS946" s="369"/>
      <c r="AT946" s="350">
        <f t="shared" si="387"/>
        <v>1410155.6249438366</v>
      </c>
      <c r="AU946" s="350">
        <f t="shared" si="370"/>
        <v>1427576.6108121241</v>
      </c>
      <c r="AV946" s="350">
        <f t="shared" si="371"/>
        <v>1443886.091889411</v>
      </c>
      <c r="AW946" s="350">
        <f t="shared" si="372"/>
        <v>1459044.1897298647</v>
      </c>
      <c r="AX946" s="350">
        <f t="shared" si="373"/>
        <v>1473011.1230573484</v>
      </c>
      <c r="AY946" s="350">
        <f t="shared" si="374"/>
        <v>7213673.640432586</v>
      </c>
      <c r="AZ946" s="365"/>
      <c r="BA946" s="377">
        <f t="shared" si="375"/>
        <v>0</v>
      </c>
      <c r="BB946" s="377">
        <f t="shared" si="376"/>
        <v>0</v>
      </c>
      <c r="BC946" s="377">
        <f t="shared" si="377"/>
        <v>0</v>
      </c>
      <c r="BD946" s="377">
        <f t="shared" si="378"/>
        <v>0</v>
      </c>
      <c r="BE946" s="377">
        <f t="shared" si="379"/>
        <v>0</v>
      </c>
      <c r="BF946" s="377">
        <f t="shared" si="380"/>
        <v>0</v>
      </c>
      <c r="BG946" s="328"/>
    </row>
    <row r="947" spans="2:59">
      <c r="B947" s="332">
        <v>932</v>
      </c>
      <c r="C947" s="350">
        <v>4865580.3943203129</v>
      </c>
      <c r="D947" s="350">
        <v>30054.557735017617</v>
      </c>
      <c r="E947" s="350">
        <v>28776.184430299163</v>
      </c>
      <c r="F947" s="350">
        <v>27463.412123658454</v>
      </c>
      <c r="G947" s="350">
        <v>26116.307869681379</v>
      </c>
      <c r="H947" s="348">
        <v>4977990.8564789696</v>
      </c>
      <c r="I947" s="369"/>
      <c r="J947" s="350">
        <v>6795853.8991322443</v>
      </c>
      <c r="K947" s="350">
        <v>1984174.5564050958</v>
      </c>
      <c r="L947" s="350">
        <v>2005221.2078308733</v>
      </c>
      <c r="M947" s="350">
        <v>2024657.4040261596</v>
      </c>
      <c r="N947" s="350">
        <v>2042428.757954126</v>
      </c>
      <c r="O947" s="348">
        <v>14852335.8253485</v>
      </c>
      <c r="P947" s="369"/>
      <c r="Q947" s="350">
        <f t="shared" si="381"/>
        <v>1930273.5048119314</v>
      </c>
      <c r="R947" s="350">
        <f t="shared" si="382"/>
        <v>1954119.9986700783</v>
      </c>
      <c r="S947" s="350">
        <f t="shared" si="383"/>
        <v>1976445.0234005742</v>
      </c>
      <c r="T947" s="350">
        <f t="shared" si="384"/>
        <v>1997193.9919025011</v>
      </c>
      <c r="U947" s="350">
        <f t="shared" si="385"/>
        <v>2016312.4500844446</v>
      </c>
      <c r="V947" s="350">
        <f t="shared" si="386"/>
        <v>9874344.9688695297</v>
      </c>
      <c r="W947" s="365"/>
      <c r="X947" s="377">
        <f t="shared" si="364"/>
        <v>0</v>
      </c>
      <c r="Y947" s="377">
        <f t="shared" si="365"/>
        <v>0</v>
      </c>
      <c r="Z947" s="377">
        <f t="shared" si="366"/>
        <v>0</v>
      </c>
      <c r="AA947" s="377">
        <f t="shared" si="367"/>
        <v>0</v>
      </c>
      <c r="AB947" s="377">
        <f t="shared" si="368"/>
        <v>0</v>
      </c>
      <c r="AC947" s="377">
        <f t="shared" si="369"/>
        <v>0</v>
      </c>
      <c r="AD947" s="376"/>
      <c r="AE947" s="332">
        <v>932</v>
      </c>
      <c r="AF947" s="350">
        <v>5632812.5574704669</v>
      </c>
      <c r="AG947" s="350">
        <v>34793.729935414733</v>
      </c>
      <c r="AH947" s="350">
        <v>33313.775516748887</v>
      </c>
      <c r="AI947" s="350">
        <v>31793.997867491056</v>
      </c>
      <c r="AJ947" s="350">
        <v>30234.474615777111</v>
      </c>
      <c r="AK947" s="348">
        <v>5762948.5354058985</v>
      </c>
      <c r="AL947" s="369"/>
      <c r="AM947" s="350">
        <v>7816237.8349140678</v>
      </c>
      <c r="AN947" s="350">
        <v>2245192.9244630393</v>
      </c>
      <c r="AO947" s="350">
        <v>2268965.8801602749</v>
      </c>
      <c r="AP947" s="350">
        <v>2290916.2595613254</v>
      </c>
      <c r="AQ947" s="350">
        <v>2310982.5446503144</v>
      </c>
      <c r="AR947" s="348">
        <v>16932295.443749025</v>
      </c>
      <c r="AS947" s="369"/>
      <c r="AT947" s="350">
        <f t="shared" si="387"/>
        <v>2183425.2774436008</v>
      </c>
      <c r="AU947" s="350">
        <f t="shared" si="370"/>
        <v>2210399.1945276246</v>
      </c>
      <c r="AV947" s="350">
        <f t="shared" si="371"/>
        <v>2235652.104643526</v>
      </c>
      <c r="AW947" s="350">
        <f t="shared" si="372"/>
        <v>2259122.2616938343</v>
      </c>
      <c r="AX947" s="350">
        <f t="shared" si="373"/>
        <v>2280748.0700345375</v>
      </c>
      <c r="AY947" s="350">
        <f t="shared" si="374"/>
        <v>11169346.908343127</v>
      </c>
      <c r="AZ947" s="365"/>
      <c r="BA947" s="377">
        <f t="shared" si="375"/>
        <v>0</v>
      </c>
      <c r="BB947" s="377">
        <f t="shared" si="376"/>
        <v>0</v>
      </c>
      <c r="BC947" s="377">
        <f t="shared" si="377"/>
        <v>0</v>
      </c>
      <c r="BD947" s="377">
        <f t="shared" si="378"/>
        <v>0</v>
      </c>
      <c r="BE947" s="377">
        <f t="shared" si="379"/>
        <v>0</v>
      </c>
      <c r="BF947" s="377">
        <f t="shared" si="380"/>
        <v>0</v>
      </c>
      <c r="BG947" s="328"/>
    </row>
    <row r="948" spans="2:59">
      <c r="B948" s="332">
        <v>933</v>
      </c>
      <c r="C948" s="350">
        <v>6113370.862069848</v>
      </c>
      <c r="D948" s="350">
        <v>37762.125510069847</v>
      </c>
      <c r="E948" s="350">
        <v>36155.910119805871</v>
      </c>
      <c r="F948" s="350">
        <v>34506.474016086235</v>
      </c>
      <c r="G948" s="350">
        <v>32813.901449809229</v>
      </c>
      <c r="H948" s="348">
        <v>6254609.2731656181</v>
      </c>
      <c r="I948" s="369"/>
      <c r="J948" s="350">
        <v>8535268.9541505016</v>
      </c>
      <c r="K948" s="350">
        <v>2489580.2148521957</v>
      </c>
      <c r="L948" s="350">
        <v>2515985.0220790124</v>
      </c>
      <c r="M948" s="350">
        <v>2540369.1439670431</v>
      </c>
      <c r="N948" s="350">
        <v>2562664.341672149</v>
      </c>
      <c r="O948" s="348">
        <v>18643867.676720902</v>
      </c>
      <c r="P948" s="369"/>
      <c r="Q948" s="350">
        <f t="shared" si="381"/>
        <v>2421898.0920806536</v>
      </c>
      <c r="R948" s="350">
        <f t="shared" si="382"/>
        <v>2451818.0893421257</v>
      </c>
      <c r="S948" s="350">
        <f t="shared" si="383"/>
        <v>2479829.1119592064</v>
      </c>
      <c r="T948" s="350">
        <f t="shared" si="384"/>
        <v>2505862.6699509569</v>
      </c>
      <c r="U948" s="350">
        <f t="shared" si="385"/>
        <v>2529850.4402223397</v>
      </c>
      <c r="V948" s="350">
        <f t="shared" si="386"/>
        <v>12389258.403555285</v>
      </c>
      <c r="W948" s="365"/>
      <c r="X948" s="377">
        <f t="shared" si="364"/>
        <v>0</v>
      </c>
      <c r="Y948" s="377">
        <f t="shared" si="365"/>
        <v>0</v>
      </c>
      <c r="Z948" s="377">
        <f t="shared" si="366"/>
        <v>0</v>
      </c>
      <c r="AA948" s="377">
        <f t="shared" si="367"/>
        <v>0</v>
      </c>
      <c r="AB948" s="377">
        <f t="shared" si="368"/>
        <v>0</v>
      </c>
      <c r="AC948" s="377">
        <f t="shared" si="369"/>
        <v>0</v>
      </c>
      <c r="AD948" s="376"/>
      <c r="AE948" s="332">
        <v>933</v>
      </c>
      <c r="AF948" s="350">
        <v>5350283.9946635729</v>
      </c>
      <c r="AG948" s="350">
        <v>33048.558688715268</v>
      </c>
      <c r="AH948" s="350">
        <v>31642.8352853123</v>
      </c>
      <c r="AI948" s="350">
        <v>30199.286090429243</v>
      </c>
      <c r="AJ948" s="350">
        <v>28717.984838553391</v>
      </c>
      <c r="AK948" s="348">
        <v>5473892.6595665831</v>
      </c>
      <c r="AL948" s="369"/>
      <c r="AM948" s="350">
        <v>7252731.9436106971</v>
      </c>
      <c r="AN948" s="350">
        <v>1958999.2460907386</v>
      </c>
      <c r="AO948" s="350">
        <v>1979596.7245148751</v>
      </c>
      <c r="AP948" s="350">
        <v>1998603.040311069</v>
      </c>
      <c r="AQ948" s="350">
        <v>2015964.5980968324</v>
      </c>
      <c r="AR948" s="348">
        <v>15205895.552624213</v>
      </c>
      <c r="AS948" s="369"/>
      <c r="AT948" s="350">
        <f t="shared" si="387"/>
        <v>1902447.9489471242</v>
      </c>
      <c r="AU948" s="350">
        <f t="shared" si="370"/>
        <v>1925950.6874020232</v>
      </c>
      <c r="AV948" s="350">
        <f t="shared" si="371"/>
        <v>1947953.8892295628</v>
      </c>
      <c r="AW948" s="350">
        <f t="shared" si="372"/>
        <v>1968403.7542206398</v>
      </c>
      <c r="AX948" s="350">
        <f t="shared" si="373"/>
        <v>1987246.6132582789</v>
      </c>
      <c r="AY948" s="350">
        <f t="shared" si="374"/>
        <v>9732002.8930576295</v>
      </c>
      <c r="AZ948" s="365"/>
      <c r="BA948" s="377">
        <f t="shared" si="375"/>
        <v>0</v>
      </c>
      <c r="BB948" s="377">
        <f t="shared" si="376"/>
        <v>0</v>
      </c>
      <c r="BC948" s="377">
        <f t="shared" si="377"/>
        <v>0</v>
      </c>
      <c r="BD948" s="377">
        <f t="shared" si="378"/>
        <v>0</v>
      </c>
      <c r="BE948" s="377">
        <f t="shared" si="379"/>
        <v>0</v>
      </c>
      <c r="BF948" s="377">
        <f t="shared" si="380"/>
        <v>0</v>
      </c>
      <c r="BG948" s="328"/>
    </row>
    <row r="949" spans="2:59">
      <c r="B949" s="332">
        <v>934</v>
      </c>
      <c r="C949" s="350">
        <v>6333182.1380048376</v>
      </c>
      <c r="D949" s="350">
        <v>39119.893781888364</v>
      </c>
      <c r="E949" s="350">
        <v>37455.925596593494</v>
      </c>
      <c r="F949" s="350">
        <v>35747.182661548999</v>
      </c>
      <c r="G949" s="350">
        <v>33993.752256970474</v>
      </c>
      <c r="H949" s="348">
        <v>6479498.8923018398</v>
      </c>
      <c r="I949" s="369"/>
      <c r="J949" s="350">
        <v>8332341.0201262338</v>
      </c>
      <c r="K949" s="350">
        <v>2062976.2759648715</v>
      </c>
      <c r="L949" s="350">
        <v>2084434.0422759019</v>
      </c>
      <c r="M949" s="350">
        <v>2104214.733129425</v>
      </c>
      <c r="N949" s="350">
        <v>2122262.0384193566</v>
      </c>
      <c r="O949" s="348">
        <v>16706228.109915789</v>
      </c>
      <c r="P949" s="369"/>
      <c r="Q949" s="350">
        <f t="shared" si="381"/>
        <v>1999158.8821213963</v>
      </c>
      <c r="R949" s="350">
        <f t="shared" si="382"/>
        <v>2023856.3821829832</v>
      </c>
      <c r="S949" s="350">
        <f t="shared" si="383"/>
        <v>2046978.1166793085</v>
      </c>
      <c r="T949" s="350">
        <f t="shared" si="384"/>
        <v>2068467.550467876</v>
      </c>
      <c r="U949" s="350">
        <f t="shared" si="385"/>
        <v>2088268.2861623862</v>
      </c>
      <c r="V949" s="350">
        <f t="shared" si="386"/>
        <v>10226729.21761395</v>
      </c>
      <c r="W949" s="365"/>
      <c r="X949" s="377">
        <f t="shared" si="364"/>
        <v>0</v>
      </c>
      <c r="Y949" s="377">
        <f t="shared" si="365"/>
        <v>0</v>
      </c>
      <c r="Z949" s="377">
        <f t="shared" si="366"/>
        <v>0</v>
      </c>
      <c r="AA949" s="377">
        <f t="shared" si="367"/>
        <v>0</v>
      </c>
      <c r="AB949" s="377">
        <f t="shared" si="368"/>
        <v>0</v>
      </c>
      <c r="AC949" s="377">
        <f t="shared" si="369"/>
        <v>0</v>
      </c>
      <c r="AD949" s="376"/>
      <c r="AE949" s="332">
        <v>934</v>
      </c>
      <c r="AF949" s="350">
        <v>5716666.3612491312</v>
      </c>
      <c r="AG949" s="350">
        <v>35311.692600241542</v>
      </c>
      <c r="AH949" s="350">
        <v>33809.706593239694</v>
      </c>
      <c r="AI949" s="350">
        <v>32267.304520486508</v>
      </c>
      <c r="AJ949" s="350">
        <v>30684.56516573127</v>
      </c>
      <c r="AK949" s="348">
        <v>5848739.6301288307</v>
      </c>
      <c r="AL949" s="369"/>
      <c r="AM949" s="350">
        <v>7622628.5933138188</v>
      </c>
      <c r="AN949" s="350">
        <v>1964820.0783822609</v>
      </c>
      <c r="AO949" s="350">
        <v>1985361.9394571162</v>
      </c>
      <c r="AP949" s="350">
        <v>2004307.1782396024</v>
      </c>
      <c r="AQ949" s="350">
        <v>2021602.1052566082</v>
      </c>
      <c r="AR949" s="348">
        <v>15598719.894649407</v>
      </c>
      <c r="AS949" s="369"/>
      <c r="AT949" s="350">
        <f t="shared" si="387"/>
        <v>1905962.2320646876</v>
      </c>
      <c r="AU949" s="350">
        <f t="shared" si="370"/>
        <v>1929508.3857820192</v>
      </c>
      <c r="AV949" s="350">
        <f t="shared" si="371"/>
        <v>1951552.2328638765</v>
      </c>
      <c r="AW949" s="350">
        <f t="shared" si="372"/>
        <v>1972039.8737191157</v>
      </c>
      <c r="AX949" s="350">
        <f t="shared" si="373"/>
        <v>1990917.5400908769</v>
      </c>
      <c r="AY949" s="350">
        <f t="shared" si="374"/>
        <v>9749980.2645205762</v>
      </c>
      <c r="AZ949" s="365"/>
      <c r="BA949" s="377">
        <f t="shared" si="375"/>
        <v>0</v>
      </c>
      <c r="BB949" s="377">
        <f t="shared" si="376"/>
        <v>0</v>
      </c>
      <c r="BC949" s="377">
        <f t="shared" si="377"/>
        <v>0</v>
      </c>
      <c r="BD949" s="377">
        <f t="shared" si="378"/>
        <v>0</v>
      </c>
      <c r="BE949" s="377">
        <f t="shared" si="379"/>
        <v>0</v>
      </c>
      <c r="BF949" s="377">
        <f t="shared" si="380"/>
        <v>0</v>
      </c>
      <c r="BG949" s="328"/>
    </row>
    <row r="950" spans="2:59">
      <c r="B950" s="332">
        <v>935</v>
      </c>
      <c r="C950" s="350">
        <v>5771688.9009288782</v>
      </c>
      <c r="D950" s="350">
        <v>35651.565331038102</v>
      </c>
      <c r="E950" s="350">
        <v>34135.122806997671</v>
      </c>
      <c r="F950" s="350">
        <v>32577.87521521276</v>
      </c>
      <c r="G950" s="350">
        <v>30979.90209773005</v>
      </c>
      <c r="H950" s="348">
        <v>5905033.3663798571</v>
      </c>
      <c r="I950" s="369"/>
      <c r="J950" s="350">
        <v>7778179.0841270592</v>
      </c>
      <c r="K950" s="350">
        <v>2066929.8190854338</v>
      </c>
      <c r="L950" s="350">
        <v>2088619.9029161988</v>
      </c>
      <c r="M950" s="350">
        <v>2108630.8950100415</v>
      </c>
      <c r="N950" s="350">
        <v>2126906.2707026228</v>
      </c>
      <c r="O950" s="348">
        <v>16169265.971841356</v>
      </c>
      <c r="P950" s="369"/>
      <c r="Q950" s="350">
        <f t="shared" si="381"/>
        <v>2006490.183198181</v>
      </c>
      <c r="R950" s="350">
        <f t="shared" si="382"/>
        <v>2031278.2537543958</v>
      </c>
      <c r="S950" s="350">
        <f t="shared" si="383"/>
        <v>2054484.7801092011</v>
      </c>
      <c r="T950" s="350">
        <f t="shared" si="384"/>
        <v>2076053.0197948287</v>
      </c>
      <c r="U950" s="350">
        <f t="shared" si="385"/>
        <v>2095926.3686048929</v>
      </c>
      <c r="V950" s="350">
        <f t="shared" si="386"/>
        <v>10264232.605461499</v>
      </c>
      <c r="W950" s="365"/>
      <c r="X950" s="377">
        <f t="shared" si="364"/>
        <v>0</v>
      </c>
      <c r="Y950" s="377">
        <f t="shared" si="365"/>
        <v>0</v>
      </c>
      <c r="Z950" s="377">
        <f t="shared" si="366"/>
        <v>0</v>
      </c>
      <c r="AA950" s="377">
        <f t="shared" si="367"/>
        <v>0</v>
      </c>
      <c r="AB950" s="377">
        <f t="shared" si="368"/>
        <v>0</v>
      </c>
      <c r="AC950" s="377">
        <f t="shared" si="369"/>
        <v>0</v>
      </c>
      <c r="AD950" s="376"/>
      <c r="AE950" s="332">
        <v>935</v>
      </c>
      <c r="AF950" s="350">
        <v>5314639.4970518155</v>
      </c>
      <c r="AG950" s="350">
        <v>32828.383596622611</v>
      </c>
      <c r="AH950" s="350">
        <v>31432.025360477011</v>
      </c>
      <c r="AI950" s="350">
        <v>29998.093334679586</v>
      </c>
      <c r="AJ950" s="350">
        <v>28526.660762484393</v>
      </c>
      <c r="AK950" s="348">
        <v>5437424.6601060787</v>
      </c>
      <c r="AL950" s="369"/>
      <c r="AM950" s="350">
        <v>7127620.0619051568</v>
      </c>
      <c r="AN950" s="350">
        <v>1868206.4117094171</v>
      </c>
      <c r="AO950" s="350">
        <v>1887778.4995744901</v>
      </c>
      <c r="AP950" s="350">
        <v>1905832.7263722853</v>
      </c>
      <c r="AQ950" s="350">
        <v>1922318.0201538496</v>
      </c>
      <c r="AR950" s="348">
        <v>14711755.719715199</v>
      </c>
      <c r="AS950" s="369"/>
      <c r="AT950" s="350">
        <f t="shared" si="387"/>
        <v>1812980.5648533413</v>
      </c>
      <c r="AU950" s="350">
        <f t="shared" si="370"/>
        <v>1835378.0281127945</v>
      </c>
      <c r="AV950" s="350">
        <f t="shared" si="371"/>
        <v>1856346.4742140132</v>
      </c>
      <c r="AW950" s="350">
        <f t="shared" si="372"/>
        <v>1875834.6330376058</v>
      </c>
      <c r="AX950" s="350">
        <f t="shared" si="373"/>
        <v>1893791.3593913652</v>
      </c>
      <c r="AY950" s="350">
        <f t="shared" si="374"/>
        <v>9274331.0596091188</v>
      </c>
      <c r="AZ950" s="365"/>
      <c r="BA950" s="377">
        <f t="shared" si="375"/>
        <v>0</v>
      </c>
      <c r="BB950" s="377">
        <f t="shared" si="376"/>
        <v>0</v>
      </c>
      <c r="BC950" s="377">
        <f t="shared" si="377"/>
        <v>0</v>
      </c>
      <c r="BD950" s="377">
        <f t="shared" si="378"/>
        <v>0</v>
      </c>
      <c r="BE950" s="377">
        <f t="shared" si="379"/>
        <v>0</v>
      </c>
      <c r="BF950" s="377">
        <f t="shared" si="380"/>
        <v>0</v>
      </c>
      <c r="BG950" s="328"/>
    </row>
    <row r="951" spans="2:59">
      <c r="B951" s="332">
        <v>936</v>
      </c>
      <c r="C951" s="350">
        <v>5083064.7748388089</v>
      </c>
      <c r="D951" s="350">
        <v>31397.952837149049</v>
      </c>
      <c r="E951" s="350">
        <v>30062.438101458138</v>
      </c>
      <c r="F951" s="350">
        <v>28690.986778392951</v>
      </c>
      <c r="G951" s="350">
        <v>27283.668919781681</v>
      </c>
      <c r="H951" s="348">
        <v>5200499.8214755906</v>
      </c>
      <c r="I951" s="369"/>
      <c r="J951" s="350">
        <v>6619269.3096876834</v>
      </c>
      <c r="K951" s="350">
        <v>1586580.6749293394</v>
      </c>
      <c r="L951" s="350">
        <v>1603012.4890960606</v>
      </c>
      <c r="M951" s="350">
        <v>1618154.0652930001</v>
      </c>
      <c r="N951" s="350">
        <v>1631962.1363858497</v>
      </c>
      <c r="O951" s="348">
        <v>13058978.675391935</v>
      </c>
      <c r="P951" s="369"/>
      <c r="Q951" s="350">
        <f t="shared" si="381"/>
        <v>1536204.5348488744</v>
      </c>
      <c r="R951" s="350">
        <f t="shared" si="382"/>
        <v>1555182.7220921903</v>
      </c>
      <c r="S951" s="350">
        <f t="shared" si="383"/>
        <v>1572950.0509946025</v>
      </c>
      <c r="T951" s="350">
        <f t="shared" si="384"/>
        <v>1589463.0785146072</v>
      </c>
      <c r="U951" s="350">
        <f t="shared" si="385"/>
        <v>1604678.467466068</v>
      </c>
      <c r="V951" s="350">
        <f t="shared" si="386"/>
        <v>7858478.8539163442</v>
      </c>
      <c r="W951" s="365"/>
      <c r="X951" s="377">
        <f t="shared" si="364"/>
        <v>0</v>
      </c>
      <c r="Y951" s="377">
        <f t="shared" si="365"/>
        <v>0</v>
      </c>
      <c r="Z951" s="377">
        <f t="shared" si="366"/>
        <v>0</v>
      </c>
      <c r="AA951" s="377">
        <f t="shared" si="367"/>
        <v>0</v>
      </c>
      <c r="AB951" s="377">
        <f t="shared" si="368"/>
        <v>0</v>
      </c>
      <c r="AC951" s="377">
        <f t="shared" si="369"/>
        <v>0</v>
      </c>
      <c r="AD951" s="376"/>
      <c r="AE951" s="332">
        <v>936</v>
      </c>
      <c r="AF951" s="350">
        <v>5257501.2683469532</v>
      </c>
      <c r="AG951" s="350">
        <v>32475.442312269941</v>
      </c>
      <c r="AH951" s="350">
        <v>31094.096465263512</v>
      </c>
      <c r="AI951" s="350">
        <v>29675.580788227413</v>
      </c>
      <c r="AJ951" s="350">
        <v>28219.967736976323</v>
      </c>
      <c r="AK951" s="348">
        <v>5378966.3556496911</v>
      </c>
      <c r="AL951" s="369"/>
      <c r="AM951" s="350">
        <v>6791926.4324166793</v>
      </c>
      <c r="AN951" s="350">
        <v>1585856.8113755169</v>
      </c>
      <c r="AO951" s="350">
        <v>1602222.2147065732</v>
      </c>
      <c r="AP951" s="350">
        <v>1617297.5996702879</v>
      </c>
      <c r="AQ951" s="350">
        <v>1631039.7517333874</v>
      </c>
      <c r="AR951" s="348">
        <v>13228342.809902444</v>
      </c>
      <c r="AS951" s="369"/>
      <c r="AT951" s="350">
        <f t="shared" si="387"/>
        <v>1534425.1640697261</v>
      </c>
      <c r="AU951" s="350">
        <f t="shared" si="370"/>
        <v>1553381.369063247</v>
      </c>
      <c r="AV951" s="350">
        <f t="shared" si="371"/>
        <v>1571128.1182413097</v>
      </c>
      <c r="AW951" s="350">
        <f t="shared" si="372"/>
        <v>1587622.0188820604</v>
      </c>
      <c r="AX951" s="350">
        <f t="shared" si="373"/>
        <v>1602819.7839964111</v>
      </c>
      <c r="AY951" s="350">
        <f t="shared" si="374"/>
        <v>7849376.4542527534</v>
      </c>
      <c r="AZ951" s="365"/>
      <c r="BA951" s="377">
        <f t="shared" si="375"/>
        <v>0</v>
      </c>
      <c r="BB951" s="377">
        <f t="shared" si="376"/>
        <v>0</v>
      </c>
      <c r="BC951" s="377">
        <f t="shared" si="377"/>
        <v>0</v>
      </c>
      <c r="BD951" s="377">
        <f t="shared" si="378"/>
        <v>0</v>
      </c>
      <c r="BE951" s="377">
        <f t="shared" si="379"/>
        <v>0</v>
      </c>
      <c r="BF951" s="377">
        <f t="shared" si="380"/>
        <v>0</v>
      </c>
      <c r="BG951" s="328"/>
    </row>
    <row r="952" spans="2:59">
      <c r="B952" s="332">
        <v>937</v>
      </c>
      <c r="C952" s="350">
        <v>5032198.4856114155</v>
      </c>
      <c r="D952" s="350">
        <v>31083.753152331912</v>
      </c>
      <c r="E952" s="350">
        <v>29761.602928371463</v>
      </c>
      <c r="F952" s="350">
        <v>28403.875734890717</v>
      </c>
      <c r="G952" s="350">
        <v>27010.640922711551</v>
      </c>
      <c r="H952" s="348">
        <v>5148458.3583497209</v>
      </c>
      <c r="I952" s="369"/>
      <c r="J952" s="350">
        <v>6773807.1719161002</v>
      </c>
      <c r="K952" s="350">
        <v>1794208.1784120044</v>
      </c>
      <c r="L952" s="350">
        <v>1813029.0063181757</v>
      </c>
      <c r="M952" s="350">
        <v>1830392.2446690775</v>
      </c>
      <c r="N952" s="350">
        <v>1846248.8310637982</v>
      </c>
      <c r="O952" s="348">
        <v>14057685.432379156</v>
      </c>
      <c r="P952" s="369"/>
      <c r="Q952" s="350">
        <f t="shared" si="381"/>
        <v>1741608.6863046847</v>
      </c>
      <c r="R952" s="350">
        <f t="shared" si="382"/>
        <v>1763124.4252596726</v>
      </c>
      <c r="S952" s="350">
        <f t="shared" si="383"/>
        <v>1783267.4033898043</v>
      </c>
      <c r="T952" s="350">
        <f t="shared" si="384"/>
        <v>1801988.3689341866</v>
      </c>
      <c r="U952" s="350">
        <f t="shared" si="385"/>
        <v>1819238.1901410867</v>
      </c>
      <c r="V952" s="350">
        <f t="shared" si="386"/>
        <v>8909227.0740294345</v>
      </c>
      <c r="W952" s="365"/>
      <c r="X952" s="377">
        <f t="shared" si="364"/>
        <v>0</v>
      </c>
      <c r="Y952" s="377">
        <f t="shared" si="365"/>
        <v>0</v>
      </c>
      <c r="Z952" s="377">
        <f t="shared" si="366"/>
        <v>0</v>
      </c>
      <c r="AA952" s="377">
        <f t="shared" si="367"/>
        <v>0</v>
      </c>
      <c r="AB952" s="377">
        <f t="shared" si="368"/>
        <v>0</v>
      </c>
      <c r="AC952" s="377">
        <f t="shared" si="369"/>
        <v>0</v>
      </c>
      <c r="AD952" s="376"/>
      <c r="AE952" s="332">
        <v>937</v>
      </c>
      <c r="AF952" s="350">
        <v>7272400.6474813633</v>
      </c>
      <c r="AG952" s="350">
        <v>44921.420964917685</v>
      </c>
      <c r="AH952" s="350">
        <v>43010.684301350055</v>
      </c>
      <c r="AI952" s="350">
        <v>41048.53273892904</v>
      </c>
      <c r="AJ952" s="350">
        <v>39035.066501622139</v>
      </c>
      <c r="AK952" s="348">
        <v>7440416.3519881824</v>
      </c>
      <c r="AL952" s="369"/>
      <c r="AM952" s="350">
        <v>9107154.0474015381</v>
      </c>
      <c r="AN952" s="350">
        <v>1902341.2645643668</v>
      </c>
      <c r="AO952" s="350">
        <v>1921650.7927624725</v>
      </c>
      <c r="AP952" s="350">
        <v>1939410.8414006161</v>
      </c>
      <c r="AQ952" s="350">
        <v>1955569.7512867465</v>
      </c>
      <c r="AR952" s="348">
        <v>16826126.697415739</v>
      </c>
      <c r="AS952" s="369"/>
      <c r="AT952" s="350">
        <f t="shared" si="387"/>
        <v>1834753.3999201749</v>
      </c>
      <c r="AU952" s="350">
        <f t="shared" si="370"/>
        <v>1857419.8435994491</v>
      </c>
      <c r="AV952" s="350">
        <f t="shared" si="371"/>
        <v>1878640.1084611225</v>
      </c>
      <c r="AW952" s="350">
        <f t="shared" si="372"/>
        <v>1898362.308661687</v>
      </c>
      <c r="AX952" s="350">
        <f t="shared" si="373"/>
        <v>1916534.6847851244</v>
      </c>
      <c r="AY952" s="350">
        <f t="shared" si="374"/>
        <v>9385710.3454275578</v>
      </c>
      <c r="AZ952" s="365"/>
      <c r="BA952" s="377">
        <f t="shared" si="375"/>
        <v>0</v>
      </c>
      <c r="BB952" s="377">
        <f t="shared" si="376"/>
        <v>0</v>
      </c>
      <c r="BC952" s="377">
        <f t="shared" si="377"/>
        <v>0</v>
      </c>
      <c r="BD952" s="377">
        <f t="shared" si="378"/>
        <v>0</v>
      </c>
      <c r="BE952" s="377">
        <f t="shared" si="379"/>
        <v>0</v>
      </c>
      <c r="BF952" s="377">
        <f t="shared" si="380"/>
        <v>0</v>
      </c>
      <c r="BG952" s="328"/>
    </row>
    <row r="953" spans="2:59">
      <c r="B953" s="332">
        <v>938</v>
      </c>
      <c r="C953" s="350">
        <v>5297192.1124086101</v>
      </c>
      <c r="D953" s="350">
        <v>32720.611576310432</v>
      </c>
      <c r="E953" s="350">
        <v>31328.837432699602</v>
      </c>
      <c r="F953" s="350">
        <v>29899.612850113128</v>
      </c>
      <c r="G953" s="350">
        <v>28433.010831347401</v>
      </c>
      <c r="H953" s="348">
        <v>5419574.1850990802</v>
      </c>
      <c r="I953" s="369"/>
      <c r="J953" s="350">
        <v>7269971.7272539046</v>
      </c>
      <c r="K953" s="350">
        <v>2029871.8384504786</v>
      </c>
      <c r="L953" s="350">
        <v>2051296.7032854608</v>
      </c>
      <c r="M953" s="350">
        <v>2071073.35548025</v>
      </c>
      <c r="N953" s="350">
        <v>2089146.2148251594</v>
      </c>
      <c r="O953" s="348">
        <v>15511359.839295253</v>
      </c>
      <c r="P953" s="369"/>
      <c r="Q953" s="350">
        <f t="shared" si="381"/>
        <v>1972779.6148452945</v>
      </c>
      <c r="R953" s="350">
        <f t="shared" si="382"/>
        <v>1997151.2268741683</v>
      </c>
      <c r="S953" s="350">
        <f t="shared" si="383"/>
        <v>2019967.8658527613</v>
      </c>
      <c r="T953" s="350">
        <f t="shared" si="384"/>
        <v>2041173.7426301369</v>
      </c>
      <c r="U953" s="350">
        <f t="shared" si="385"/>
        <v>2060713.203993812</v>
      </c>
      <c r="V953" s="350">
        <f t="shared" si="386"/>
        <v>10091785.654196173</v>
      </c>
      <c r="W953" s="365"/>
      <c r="X953" s="377">
        <f t="shared" si="364"/>
        <v>0</v>
      </c>
      <c r="Y953" s="377">
        <f t="shared" si="365"/>
        <v>0</v>
      </c>
      <c r="Z953" s="377">
        <f t="shared" si="366"/>
        <v>0</v>
      </c>
      <c r="AA953" s="377">
        <f t="shared" si="367"/>
        <v>0</v>
      </c>
      <c r="AB953" s="377">
        <f t="shared" si="368"/>
        <v>0</v>
      </c>
      <c r="AC953" s="377">
        <f t="shared" si="369"/>
        <v>0</v>
      </c>
      <c r="AD953" s="376"/>
      <c r="AE953" s="332">
        <v>938</v>
      </c>
      <c r="AF953" s="350">
        <v>6191860.6676758612</v>
      </c>
      <c r="AG953" s="350">
        <v>38246.954904101091</v>
      </c>
      <c r="AH953" s="350">
        <v>36620.117252147073</v>
      </c>
      <c r="AI953" s="350">
        <v>34949.503974316925</v>
      </c>
      <c r="AJ953" s="350">
        <v>33235.20040321417</v>
      </c>
      <c r="AK953" s="348">
        <v>6334912.4442096399</v>
      </c>
      <c r="AL953" s="369"/>
      <c r="AM953" s="350">
        <v>8172751.5829716157</v>
      </c>
      <c r="AN953" s="350">
        <v>2043609.6887931826</v>
      </c>
      <c r="AO953" s="350">
        <v>2064893.3032414878</v>
      </c>
      <c r="AP953" s="350">
        <v>2084515.757036672</v>
      </c>
      <c r="AQ953" s="350">
        <v>2102421.2534745629</v>
      </c>
      <c r="AR953" s="348">
        <v>16468191.585517522</v>
      </c>
      <c r="AS953" s="369"/>
      <c r="AT953" s="350">
        <f t="shared" si="387"/>
        <v>1980890.9152957546</v>
      </c>
      <c r="AU953" s="350">
        <f t="shared" si="370"/>
        <v>2005362.7338890815</v>
      </c>
      <c r="AV953" s="350">
        <f t="shared" si="371"/>
        <v>2028273.1859893408</v>
      </c>
      <c r="AW953" s="350">
        <f t="shared" si="372"/>
        <v>2049566.2530623551</v>
      </c>
      <c r="AX953" s="350">
        <f t="shared" si="373"/>
        <v>2069186.0530713487</v>
      </c>
      <c r="AY953" s="350">
        <f t="shared" si="374"/>
        <v>10133279.141307883</v>
      </c>
      <c r="AZ953" s="365"/>
      <c r="BA953" s="377">
        <f t="shared" si="375"/>
        <v>0</v>
      </c>
      <c r="BB953" s="377">
        <f t="shared" si="376"/>
        <v>0</v>
      </c>
      <c r="BC953" s="377">
        <f t="shared" si="377"/>
        <v>0</v>
      </c>
      <c r="BD953" s="377">
        <f t="shared" si="378"/>
        <v>0</v>
      </c>
      <c r="BE953" s="377">
        <f t="shared" si="379"/>
        <v>0</v>
      </c>
      <c r="BF953" s="377">
        <f t="shared" si="380"/>
        <v>0</v>
      </c>
      <c r="BG953" s="328"/>
    </row>
    <row r="954" spans="2:59">
      <c r="B954" s="332">
        <v>939</v>
      </c>
      <c r="C954" s="350">
        <v>6015442.3081345288</v>
      </c>
      <c r="D954" s="350">
        <v>37157.223496406747</v>
      </c>
      <c r="E954" s="350">
        <v>35576.737667467511</v>
      </c>
      <c r="F954" s="350">
        <v>33953.723466832802</v>
      </c>
      <c r="G954" s="350">
        <v>32288.263795809904</v>
      </c>
      <c r="H954" s="348">
        <v>6154418.2565610455</v>
      </c>
      <c r="I954" s="369"/>
      <c r="J954" s="350">
        <v>8234663.1203729399</v>
      </c>
      <c r="K954" s="350">
        <v>2283794.168908169</v>
      </c>
      <c r="L954" s="350">
        <v>2307880.5947330184</v>
      </c>
      <c r="M954" s="350">
        <v>2330112.5122905867</v>
      </c>
      <c r="N954" s="350">
        <v>2350427.3990261732</v>
      </c>
      <c r="O954" s="348">
        <v>17506877.79533089</v>
      </c>
      <c r="P954" s="369"/>
      <c r="Q954" s="350">
        <f t="shared" si="381"/>
        <v>2219220.812238411</v>
      </c>
      <c r="R954" s="350">
        <f t="shared" si="382"/>
        <v>2246636.9454117622</v>
      </c>
      <c r="S954" s="350">
        <f t="shared" si="383"/>
        <v>2272303.857065551</v>
      </c>
      <c r="T954" s="350">
        <f t="shared" si="384"/>
        <v>2296158.7888237541</v>
      </c>
      <c r="U954" s="350">
        <f t="shared" si="385"/>
        <v>2318139.1352303633</v>
      </c>
      <c r="V954" s="350">
        <f t="shared" si="386"/>
        <v>11352459.538769845</v>
      </c>
      <c r="W954" s="365"/>
      <c r="X954" s="377">
        <f t="shared" si="364"/>
        <v>0</v>
      </c>
      <c r="Y954" s="377">
        <f t="shared" si="365"/>
        <v>0</v>
      </c>
      <c r="Z954" s="377">
        <f t="shared" si="366"/>
        <v>0</v>
      </c>
      <c r="AA954" s="377">
        <f t="shared" si="367"/>
        <v>0</v>
      </c>
      <c r="AB954" s="377">
        <f t="shared" si="368"/>
        <v>0</v>
      </c>
      <c r="AC954" s="377">
        <f t="shared" si="369"/>
        <v>0</v>
      </c>
      <c r="AD954" s="376"/>
      <c r="AE954" s="332">
        <v>939</v>
      </c>
      <c r="AF954" s="350">
        <v>7290603.5162380561</v>
      </c>
      <c r="AG954" s="350">
        <v>45033.859590044456</v>
      </c>
      <c r="AH954" s="350">
        <v>43118.340339491588</v>
      </c>
      <c r="AI954" s="350">
        <v>41151.277498234027</v>
      </c>
      <c r="AJ954" s="350">
        <v>39132.771541111048</v>
      </c>
      <c r="AK954" s="348">
        <v>7459039.7652069367</v>
      </c>
      <c r="AL954" s="369"/>
      <c r="AM954" s="350">
        <v>9043026.762932295</v>
      </c>
      <c r="AN954" s="350">
        <v>1819106.4477299366</v>
      </c>
      <c r="AO954" s="350">
        <v>1837458.9849093235</v>
      </c>
      <c r="AP954" s="350">
        <v>1854329.1358914224</v>
      </c>
      <c r="AQ954" s="350">
        <v>1869667.5643145663</v>
      </c>
      <c r="AR954" s="348">
        <v>16423588.895777544</v>
      </c>
      <c r="AS954" s="369"/>
      <c r="AT954" s="350">
        <f t="shared" si="387"/>
        <v>1752423.2466942389</v>
      </c>
      <c r="AU954" s="350">
        <f t="shared" si="370"/>
        <v>1774072.5881398921</v>
      </c>
      <c r="AV954" s="350">
        <f t="shared" si="371"/>
        <v>1794340.6445698319</v>
      </c>
      <c r="AW954" s="350">
        <f t="shared" si="372"/>
        <v>1813177.8583931883</v>
      </c>
      <c r="AX954" s="350">
        <f t="shared" si="373"/>
        <v>1830534.7927734554</v>
      </c>
      <c r="AY954" s="350">
        <f t="shared" si="374"/>
        <v>8964549.1305706073</v>
      </c>
      <c r="AZ954" s="365"/>
      <c r="BA954" s="377">
        <f t="shared" si="375"/>
        <v>0</v>
      </c>
      <c r="BB954" s="377">
        <f t="shared" si="376"/>
        <v>0</v>
      </c>
      <c r="BC954" s="377">
        <f t="shared" si="377"/>
        <v>0</v>
      </c>
      <c r="BD954" s="377">
        <f t="shared" si="378"/>
        <v>0</v>
      </c>
      <c r="BE954" s="377">
        <f t="shared" si="379"/>
        <v>0</v>
      </c>
      <c r="BF954" s="377">
        <f t="shared" si="380"/>
        <v>0</v>
      </c>
      <c r="BG954" s="328"/>
    </row>
    <row r="955" spans="2:59">
      <c r="B955" s="332">
        <v>940</v>
      </c>
      <c r="C955" s="350">
        <v>6400379.9030478438</v>
      </c>
      <c r="D955" s="350">
        <v>39534.972548545724</v>
      </c>
      <c r="E955" s="350">
        <v>37853.348950740467</v>
      </c>
      <c r="F955" s="350">
        <v>36126.475523983951</v>
      </c>
      <c r="G955" s="350">
        <v>34354.440474569317</v>
      </c>
      <c r="H955" s="348">
        <v>6548249.140545683</v>
      </c>
      <c r="I955" s="369"/>
      <c r="J955" s="350">
        <v>8434211.61633466</v>
      </c>
      <c r="K955" s="350">
        <v>2098492.5321667222</v>
      </c>
      <c r="L955" s="350">
        <v>2120333.659714601</v>
      </c>
      <c r="M955" s="350">
        <v>2140468.9265762591</v>
      </c>
      <c r="N955" s="350">
        <v>2158841.0454317927</v>
      </c>
      <c r="O955" s="348">
        <v>16952347.780224033</v>
      </c>
      <c r="P955" s="369"/>
      <c r="Q955" s="350">
        <f t="shared" si="381"/>
        <v>2033831.7132868161</v>
      </c>
      <c r="R955" s="350">
        <f t="shared" si="382"/>
        <v>2058957.5596181764</v>
      </c>
      <c r="S955" s="350">
        <f t="shared" si="383"/>
        <v>2082480.3107638606</v>
      </c>
      <c r="T955" s="350">
        <f t="shared" si="384"/>
        <v>2104342.451052275</v>
      </c>
      <c r="U955" s="350">
        <f t="shared" si="385"/>
        <v>2124486.6049572234</v>
      </c>
      <c r="V955" s="350">
        <f t="shared" si="386"/>
        <v>10404098.63967835</v>
      </c>
      <c r="W955" s="365"/>
      <c r="X955" s="377">
        <f t="shared" si="364"/>
        <v>0</v>
      </c>
      <c r="Y955" s="377">
        <f t="shared" si="365"/>
        <v>0</v>
      </c>
      <c r="Z955" s="377">
        <f t="shared" si="366"/>
        <v>0</v>
      </c>
      <c r="AA955" s="377">
        <f t="shared" si="367"/>
        <v>0</v>
      </c>
      <c r="AB955" s="377">
        <f t="shared" si="368"/>
        <v>0</v>
      </c>
      <c r="AC955" s="377">
        <f t="shared" si="369"/>
        <v>0</v>
      </c>
      <c r="AD955" s="376"/>
      <c r="AE955" s="332">
        <v>940</v>
      </c>
      <c r="AF955" s="350">
        <v>5870874.1490694964</v>
      </c>
      <c r="AG955" s="350">
        <v>36264.22991061955</v>
      </c>
      <c r="AH955" s="350">
        <v>34721.727643821396</v>
      </c>
      <c r="AI955" s="350">
        <v>33137.719082853153</v>
      </c>
      <c r="AJ955" s="350">
        <v>31512.285136676463</v>
      </c>
      <c r="AK955" s="348">
        <v>6006510.1108434666</v>
      </c>
      <c r="AL955" s="369"/>
      <c r="AM955" s="350">
        <v>7155113.7174131963</v>
      </c>
      <c r="AN955" s="350">
        <v>1336369.2240100773</v>
      </c>
      <c r="AO955" s="350">
        <v>1349679.8915410736</v>
      </c>
      <c r="AP955" s="350">
        <v>1361900.4792127428</v>
      </c>
      <c r="AQ955" s="350">
        <v>1372994.8388200537</v>
      </c>
      <c r="AR955" s="348">
        <v>12576058.150997143</v>
      </c>
      <c r="AS955" s="369"/>
      <c r="AT955" s="350">
        <f t="shared" si="387"/>
        <v>1284239.5683436999</v>
      </c>
      <c r="AU955" s="350">
        <f t="shared" si="370"/>
        <v>1300104.9940994577</v>
      </c>
      <c r="AV955" s="350">
        <f t="shared" si="371"/>
        <v>1314958.1638972522</v>
      </c>
      <c r="AW955" s="350">
        <f t="shared" si="372"/>
        <v>1328762.7601298897</v>
      </c>
      <c r="AX955" s="350">
        <f t="shared" si="373"/>
        <v>1341482.5536833773</v>
      </c>
      <c r="AY955" s="350">
        <f t="shared" si="374"/>
        <v>6569548.0401536766</v>
      </c>
      <c r="AZ955" s="365"/>
      <c r="BA955" s="377">
        <f t="shared" si="375"/>
        <v>0</v>
      </c>
      <c r="BB955" s="377">
        <f t="shared" si="376"/>
        <v>0</v>
      </c>
      <c r="BC955" s="377">
        <f t="shared" si="377"/>
        <v>0</v>
      </c>
      <c r="BD955" s="377">
        <f t="shared" si="378"/>
        <v>0</v>
      </c>
      <c r="BE955" s="377">
        <f t="shared" si="379"/>
        <v>0</v>
      </c>
      <c r="BF955" s="377">
        <f t="shared" si="380"/>
        <v>0</v>
      </c>
      <c r="BG955" s="328"/>
    </row>
    <row r="956" spans="2:59">
      <c r="B956" s="332">
        <v>941</v>
      </c>
      <c r="C956" s="350">
        <v>7627403.6601825878</v>
      </c>
      <c r="D956" s="350">
        <v>47114.264917056869</v>
      </c>
      <c r="E956" s="350">
        <v>45110.255439611341</v>
      </c>
      <c r="F956" s="350">
        <v>43052.321239542827</v>
      </c>
      <c r="G956" s="350">
        <v>40940.567433267257</v>
      </c>
      <c r="H956" s="348">
        <v>7803621.069212066</v>
      </c>
      <c r="I956" s="369"/>
      <c r="J956" s="350">
        <v>10062006.723113459</v>
      </c>
      <c r="K956" s="350">
        <v>2511794.2816280453</v>
      </c>
      <c r="L956" s="350">
        <v>2537948.2370469617</v>
      </c>
      <c r="M956" s="350">
        <v>2562060.4295887873</v>
      </c>
      <c r="N956" s="350">
        <v>2584062.2828605939</v>
      </c>
      <c r="O956" s="348">
        <v>20257871.954237849</v>
      </c>
      <c r="P956" s="369"/>
      <c r="Q956" s="350">
        <f t="shared" si="381"/>
        <v>2434603.0629308708</v>
      </c>
      <c r="R956" s="350">
        <f t="shared" si="382"/>
        <v>2464680.0167109882</v>
      </c>
      <c r="S956" s="350">
        <f t="shared" si="383"/>
        <v>2492837.9816073505</v>
      </c>
      <c r="T956" s="350">
        <f t="shared" si="384"/>
        <v>2519008.1083492446</v>
      </c>
      <c r="U956" s="350">
        <f t="shared" si="385"/>
        <v>2543121.7154273265</v>
      </c>
      <c r="V956" s="350">
        <f t="shared" si="386"/>
        <v>12454250.885025783</v>
      </c>
      <c r="W956" s="365"/>
      <c r="X956" s="377">
        <f t="shared" si="364"/>
        <v>0</v>
      </c>
      <c r="Y956" s="377">
        <f t="shared" si="365"/>
        <v>0</v>
      </c>
      <c r="Z956" s="377">
        <f t="shared" si="366"/>
        <v>0</v>
      </c>
      <c r="AA956" s="377">
        <f t="shared" si="367"/>
        <v>0</v>
      </c>
      <c r="AB956" s="377">
        <f t="shared" si="368"/>
        <v>0</v>
      </c>
      <c r="AC956" s="377">
        <f t="shared" si="369"/>
        <v>0</v>
      </c>
      <c r="AD956" s="376"/>
      <c r="AE956" s="332">
        <v>941</v>
      </c>
      <c r="AF956" s="350">
        <v>7511370.0473588211</v>
      </c>
      <c r="AG956" s="350">
        <v>46397.528447160352</v>
      </c>
      <c r="AH956" s="350">
        <v>44424.00541965085</v>
      </c>
      <c r="AI956" s="350">
        <v>42397.378011620167</v>
      </c>
      <c r="AJ956" s="350">
        <v>40317.749740379906</v>
      </c>
      <c r="AK956" s="348">
        <v>7684906.7089776332</v>
      </c>
      <c r="AL956" s="369"/>
      <c r="AM956" s="350">
        <v>9534468.976712212</v>
      </c>
      <c r="AN956" s="350">
        <v>2094489.7119031353</v>
      </c>
      <c r="AO956" s="350">
        <v>2115914.8075260231</v>
      </c>
      <c r="AP956" s="350">
        <v>2135634.9511619871</v>
      </c>
      <c r="AQ956" s="350">
        <v>2153593.1735799592</v>
      </c>
      <c r="AR956" s="348">
        <v>18034101.620883316</v>
      </c>
      <c r="AS956" s="369"/>
      <c r="AT956" s="350">
        <f t="shared" si="387"/>
        <v>2023098.9293533908</v>
      </c>
      <c r="AU956" s="350">
        <f t="shared" si="370"/>
        <v>2048092.183455975</v>
      </c>
      <c r="AV956" s="350">
        <f t="shared" si="371"/>
        <v>2071490.8021063723</v>
      </c>
      <c r="AW956" s="350">
        <f t="shared" si="372"/>
        <v>2093237.573150367</v>
      </c>
      <c r="AX956" s="350">
        <f t="shared" si="373"/>
        <v>2113275.4238395793</v>
      </c>
      <c r="AY956" s="350">
        <f t="shared" si="374"/>
        <v>10349194.911905684</v>
      </c>
      <c r="AZ956" s="365"/>
      <c r="BA956" s="377">
        <f t="shared" si="375"/>
        <v>0</v>
      </c>
      <c r="BB956" s="377">
        <f t="shared" si="376"/>
        <v>0</v>
      </c>
      <c r="BC956" s="377">
        <f t="shared" si="377"/>
        <v>0</v>
      </c>
      <c r="BD956" s="377">
        <f t="shared" si="378"/>
        <v>0</v>
      </c>
      <c r="BE956" s="377">
        <f t="shared" si="379"/>
        <v>0</v>
      </c>
      <c r="BF956" s="377">
        <f t="shared" si="380"/>
        <v>0</v>
      </c>
      <c r="BG956" s="328"/>
    </row>
    <row r="957" spans="2:59">
      <c r="B957" s="332">
        <v>942</v>
      </c>
      <c r="C957" s="350">
        <v>5244958.8216653243</v>
      </c>
      <c r="D957" s="350">
        <v>32397.967960316862</v>
      </c>
      <c r="E957" s="350">
        <v>31019.917491805638</v>
      </c>
      <c r="F957" s="350">
        <v>29604.785866690021</v>
      </c>
      <c r="G957" s="350">
        <v>28152.645367920402</v>
      </c>
      <c r="H957" s="348">
        <v>5366134.138352057</v>
      </c>
      <c r="I957" s="369"/>
      <c r="J957" s="350">
        <v>6772988.4970109854</v>
      </c>
      <c r="K957" s="350">
        <v>1579304.8387797624</v>
      </c>
      <c r="L957" s="350">
        <v>1595599.568985068</v>
      </c>
      <c r="M957" s="350">
        <v>1610609.5913729577</v>
      </c>
      <c r="N957" s="350">
        <v>1624291.871657582</v>
      </c>
      <c r="O957" s="348">
        <v>13182794.367806355</v>
      </c>
      <c r="P957" s="369"/>
      <c r="Q957" s="350">
        <f t="shared" si="381"/>
        <v>1528029.6753456611</v>
      </c>
      <c r="R957" s="350">
        <f t="shared" si="382"/>
        <v>1546906.8708194455</v>
      </c>
      <c r="S957" s="350">
        <f t="shared" si="383"/>
        <v>1564579.6514932623</v>
      </c>
      <c r="T957" s="350">
        <f t="shared" si="384"/>
        <v>1581004.8055062676</v>
      </c>
      <c r="U957" s="350">
        <f t="shared" si="385"/>
        <v>1596139.2262896616</v>
      </c>
      <c r="V957" s="350">
        <f t="shared" si="386"/>
        <v>7816660.2294542976</v>
      </c>
      <c r="W957" s="365"/>
      <c r="X957" s="377">
        <f t="shared" si="364"/>
        <v>0</v>
      </c>
      <c r="Y957" s="377">
        <f t="shared" si="365"/>
        <v>0</v>
      </c>
      <c r="Z957" s="377">
        <f t="shared" si="366"/>
        <v>0</v>
      </c>
      <c r="AA957" s="377">
        <f t="shared" si="367"/>
        <v>0</v>
      </c>
      <c r="AB957" s="377">
        <f t="shared" si="368"/>
        <v>0</v>
      </c>
      <c r="AC957" s="377">
        <f t="shared" si="369"/>
        <v>0</v>
      </c>
      <c r="AD957" s="376"/>
      <c r="AE957" s="332">
        <v>942</v>
      </c>
      <c r="AF957" s="350">
        <v>5219111.7138555953</v>
      </c>
      <c r="AG957" s="350">
        <v>32238.311078505954</v>
      </c>
      <c r="AH957" s="350">
        <v>30867.051629763268</v>
      </c>
      <c r="AI957" s="350">
        <v>29458.893760002295</v>
      </c>
      <c r="AJ957" s="350">
        <v>28013.909395971532</v>
      </c>
      <c r="AK957" s="348">
        <v>5339689.8797198376</v>
      </c>
      <c r="AL957" s="369"/>
      <c r="AM957" s="350">
        <v>7323319.8262776705</v>
      </c>
      <c r="AN957" s="350">
        <v>2162441.6960378936</v>
      </c>
      <c r="AO957" s="350">
        <v>2185407.1422584914</v>
      </c>
      <c r="AP957" s="350">
        <v>2206617.6173116346</v>
      </c>
      <c r="AQ957" s="350">
        <v>2226013.8322404227</v>
      </c>
      <c r="AR957" s="348">
        <v>16103800.114126112</v>
      </c>
      <c r="AS957" s="369"/>
      <c r="AT957" s="350">
        <f t="shared" si="387"/>
        <v>2104208.1124220751</v>
      </c>
      <c r="AU957" s="350">
        <f t="shared" si="370"/>
        <v>2130203.3849593876</v>
      </c>
      <c r="AV957" s="350">
        <f t="shared" si="371"/>
        <v>2154540.0906287283</v>
      </c>
      <c r="AW957" s="350">
        <f t="shared" si="372"/>
        <v>2177158.7235516324</v>
      </c>
      <c r="AX957" s="350">
        <f t="shared" si="373"/>
        <v>2197999.9228444514</v>
      </c>
      <c r="AY957" s="350">
        <f t="shared" si="374"/>
        <v>10764110.234406274</v>
      </c>
      <c r="AZ957" s="365"/>
      <c r="BA957" s="377">
        <f t="shared" si="375"/>
        <v>0</v>
      </c>
      <c r="BB957" s="377">
        <f t="shared" si="376"/>
        <v>0</v>
      </c>
      <c r="BC957" s="377">
        <f t="shared" si="377"/>
        <v>0</v>
      </c>
      <c r="BD957" s="377">
        <f t="shared" si="378"/>
        <v>0</v>
      </c>
      <c r="BE957" s="377">
        <f t="shared" si="379"/>
        <v>0</v>
      </c>
      <c r="BF957" s="377">
        <f t="shared" si="380"/>
        <v>0</v>
      </c>
      <c r="BG957" s="328"/>
    </row>
    <row r="958" spans="2:59">
      <c r="B958" s="332">
        <v>943</v>
      </c>
      <c r="C958" s="350">
        <v>5767106.8071467802</v>
      </c>
      <c r="D958" s="350">
        <v>35623.261862393389</v>
      </c>
      <c r="E958" s="350">
        <v>34108.023228927326</v>
      </c>
      <c r="F958" s="350">
        <v>32552.011922508427</v>
      </c>
      <c r="G958" s="350">
        <v>30955.307422026428</v>
      </c>
      <c r="H958" s="348">
        <v>5900345.4115826357</v>
      </c>
      <c r="I958" s="369"/>
      <c r="J958" s="350">
        <v>7515477.8041312024</v>
      </c>
      <c r="K958" s="350">
        <v>1805593.5390200242</v>
      </c>
      <c r="L958" s="350">
        <v>1824299.4895851123</v>
      </c>
      <c r="M958" s="350">
        <v>1841537.1335071814</v>
      </c>
      <c r="N958" s="350">
        <v>1857257.2277448205</v>
      </c>
      <c r="O958" s="348">
        <v>14844165.193988342</v>
      </c>
      <c r="P958" s="369"/>
      <c r="Q958" s="350">
        <f t="shared" si="381"/>
        <v>1748370.9969844222</v>
      </c>
      <c r="R958" s="350">
        <f t="shared" si="382"/>
        <v>1769970.2771576308</v>
      </c>
      <c r="S958" s="350">
        <f t="shared" si="383"/>
        <v>1790191.466356185</v>
      </c>
      <c r="T958" s="350">
        <f t="shared" si="384"/>
        <v>1808985.1215846729</v>
      </c>
      <c r="U958" s="350">
        <f t="shared" si="385"/>
        <v>1826301.920322794</v>
      </c>
      <c r="V958" s="350">
        <f t="shared" si="386"/>
        <v>8943819.7824057061</v>
      </c>
      <c r="W958" s="365"/>
      <c r="X958" s="377">
        <f t="shared" si="364"/>
        <v>0</v>
      </c>
      <c r="Y958" s="377">
        <f t="shared" si="365"/>
        <v>0</v>
      </c>
      <c r="Z958" s="377">
        <f t="shared" si="366"/>
        <v>0</v>
      </c>
      <c r="AA958" s="377">
        <f t="shared" si="367"/>
        <v>0</v>
      </c>
      <c r="AB958" s="377">
        <f t="shared" si="368"/>
        <v>0</v>
      </c>
      <c r="AC958" s="377">
        <f t="shared" si="369"/>
        <v>0</v>
      </c>
      <c r="AD958" s="376"/>
      <c r="AE958" s="332">
        <v>943</v>
      </c>
      <c r="AF958" s="350">
        <v>7321404.7509919545</v>
      </c>
      <c r="AG958" s="350">
        <v>45224.117979219351</v>
      </c>
      <c r="AH958" s="350">
        <v>43300.506071043783</v>
      </c>
      <c r="AI958" s="350">
        <v>41325.132811560114</v>
      </c>
      <c r="AJ958" s="350">
        <v>39298.099100085863</v>
      </c>
      <c r="AK958" s="348">
        <v>7490552.606953864</v>
      </c>
      <c r="AL958" s="369"/>
      <c r="AM958" s="350">
        <v>9557394.8488131668</v>
      </c>
      <c r="AN958" s="350">
        <v>2308837.5158155095</v>
      </c>
      <c r="AO958" s="350">
        <v>2332774.7646125983</v>
      </c>
      <c r="AP958" s="350">
        <v>2354834.580146132</v>
      </c>
      <c r="AQ958" s="350">
        <v>2374953.9847885249</v>
      </c>
      <c r="AR958" s="348">
        <v>18928795.694175933</v>
      </c>
      <c r="AS958" s="369"/>
      <c r="AT958" s="350">
        <f t="shared" si="387"/>
        <v>2235990.0978212124</v>
      </c>
      <c r="AU958" s="350">
        <f t="shared" si="370"/>
        <v>2263613.3978362903</v>
      </c>
      <c r="AV958" s="350">
        <f t="shared" si="371"/>
        <v>2289474.2585415547</v>
      </c>
      <c r="AW958" s="350">
        <f t="shared" si="372"/>
        <v>2313509.4473345717</v>
      </c>
      <c r="AX958" s="350">
        <f t="shared" si="373"/>
        <v>2335655.885688439</v>
      </c>
      <c r="AY958" s="350">
        <f t="shared" si="374"/>
        <v>11438243.08722207</v>
      </c>
      <c r="AZ958" s="365"/>
      <c r="BA958" s="377">
        <f t="shared" si="375"/>
        <v>0</v>
      </c>
      <c r="BB958" s="377">
        <f t="shared" si="376"/>
        <v>0</v>
      </c>
      <c r="BC958" s="377">
        <f t="shared" si="377"/>
        <v>0</v>
      </c>
      <c r="BD958" s="377">
        <f t="shared" si="378"/>
        <v>0</v>
      </c>
      <c r="BE958" s="377">
        <f t="shared" si="379"/>
        <v>0</v>
      </c>
      <c r="BF958" s="377">
        <f t="shared" si="380"/>
        <v>0</v>
      </c>
      <c r="BG958" s="328"/>
    </row>
    <row r="959" spans="2:59">
      <c r="B959" s="332">
        <v>944</v>
      </c>
      <c r="C959" s="350">
        <v>5203335.5399715714</v>
      </c>
      <c r="D959" s="350">
        <v>32140.862081592401</v>
      </c>
      <c r="E959" s="350">
        <v>30773.747634658743</v>
      </c>
      <c r="F959" s="350">
        <v>29369.846302145168</v>
      </c>
      <c r="G959" s="350">
        <v>27929.229793381604</v>
      </c>
      <c r="H959" s="348">
        <v>5323549.225783349</v>
      </c>
      <c r="I959" s="369"/>
      <c r="J959" s="350">
        <v>7795869.7580030151</v>
      </c>
      <c r="K959" s="350">
        <v>2656703.106790713</v>
      </c>
      <c r="L959" s="350">
        <v>2685320.5465470706</v>
      </c>
      <c r="M959" s="350">
        <v>2711784.4114642609</v>
      </c>
      <c r="N959" s="350">
        <v>2736021.6364163728</v>
      </c>
      <c r="O959" s="348">
        <v>18585699.459221434</v>
      </c>
      <c r="P959" s="369"/>
      <c r="Q959" s="350">
        <f t="shared" si="381"/>
        <v>2592534.2180314437</v>
      </c>
      <c r="R959" s="350">
        <f t="shared" si="382"/>
        <v>2624562.2447091206</v>
      </c>
      <c r="S959" s="350">
        <f t="shared" si="383"/>
        <v>2654546.798912412</v>
      </c>
      <c r="T959" s="350">
        <f t="shared" si="384"/>
        <v>2682414.5651621157</v>
      </c>
      <c r="U959" s="350">
        <f t="shared" si="385"/>
        <v>2708092.4066229914</v>
      </c>
      <c r="V959" s="350">
        <f t="shared" si="386"/>
        <v>13262150.233438086</v>
      </c>
      <c r="W959" s="365"/>
      <c r="X959" s="377">
        <f t="shared" si="364"/>
        <v>0</v>
      </c>
      <c r="Y959" s="377">
        <f t="shared" si="365"/>
        <v>0</v>
      </c>
      <c r="Z959" s="377">
        <f t="shared" si="366"/>
        <v>0</v>
      </c>
      <c r="AA959" s="377">
        <f t="shared" si="367"/>
        <v>0</v>
      </c>
      <c r="AB959" s="377">
        <f t="shared" si="368"/>
        <v>0</v>
      </c>
      <c r="AC959" s="377">
        <f t="shared" si="369"/>
        <v>0</v>
      </c>
      <c r="AD959" s="376"/>
      <c r="AE959" s="332">
        <v>944</v>
      </c>
      <c r="AF959" s="350">
        <v>7011925.4894362539</v>
      </c>
      <c r="AG959" s="350">
        <v>43312.472999501289</v>
      </c>
      <c r="AH959" s="350">
        <v>41470.173081730907</v>
      </c>
      <c r="AI959" s="350">
        <v>39578.299789592042</v>
      </c>
      <c r="AJ959" s="350">
        <v>37636.949757349124</v>
      </c>
      <c r="AK959" s="348">
        <v>7173923.3850644259</v>
      </c>
      <c r="AL959" s="369"/>
      <c r="AM959" s="350">
        <v>10004979.495904217</v>
      </c>
      <c r="AN959" s="350">
        <v>3073342.5058204234</v>
      </c>
      <c r="AO959" s="350">
        <v>3106117.0643672897</v>
      </c>
      <c r="AP959" s="350">
        <v>3136398.2396871462</v>
      </c>
      <c r="AQ959" s="350">
        <v>3164101.6926925573</v>
      </c>
      <c r="AR959" s="348">
        <v>22484938.998471633</v>
      </c>
      <c r="AS959" s="369"/>
      <c r="AT959" s="350">
        <f t="shared" si="387"/>
        <v>2993054.0064679626</v>
      </c>
      <c r="AU959" s="350">
        <f t="shared" si="370"/>
        <v>3030030.0328209219</v>
      </c>
      <c r="AV959" s="350">
        <f t="shared" si="371"/>
        <v>3064646.8912855587</v>
      </c>
      <c r="AW959" s="350">
        <f t="shared" si="372"/>
        <v>3096819.939897554</v>
      </c>
      <c r="AX959" s="350">
        <f t="shared" si="373"/>
        <v>3126464.7429352081</v>
      </c>
      <c r="AY959" s="350">
        <f t="shared" si="374"/>
        <v>15311015.613407206</v>
      </c>
      <c r="AZ959" s="365"/>
      <c r="BA959" s="377">
        <f t="shared" si="375"/>
        <v>0</v>
      </c>
      <c r="BB959" s="377">
        <f t="shared" si="376"/>
        <v>0</v>
      </c>
      <c r="BC959" s="377">
        <f t="shared" si="377"/>
        <v>0</v>
      </c>
      <c r="BD959" s="377">
        <f t="shared" si="378"/>
        <v>0</v>
      </c>
      <c r="BE959" s="377">
        <f t="shared" si="379"/>
        <v>0</v>
      </c>
      <c r="BF959" s="377">
        <f t="shared" si="380"/>
        <v>0</v>
      </c>
      <c r="BG959" s="328"/>
    </row>
    <row r="960" spans="2:59">
      <c r="B960" s="332">
        <v>945</v>
      </c>
      <c r="C960" s="350">
        <v>6057115.7437138334</v>
      </c>
      <c r="D960" s="350">
        <v>37414.639174317897</v>
      </c>
      <c r="E960" s="350">
        <v>35823.204146466516</v>
      </c>
      <c r="F960" s="350">
        <v>34188.946121309382</v>
      </c>
      <c r="G960" s="350">
        <v>32511.948574474132</v>
      </c>
      <c r="H960" s="348">
        <v>6197054.4817304006</v>
      </c>
      <c r="I960" s="369"/>
      <c r="J960" s="350">
        <v>8269984.9846971817</v>
      </c>
      <c r="K960" s="350">
        <v>2277621.546365303</v>
      </c>
      <c r="L960" s="350">
        <v>2301623.5624246458</v>
      </c>
      <c r="M960" s="350">
        <v>2323775.961609249</v>
      </c>
      <c r="N960" s="350">
        <v>2344016.4011201034</v>
      </c>
      <c r="O960" s="348">
        <v>17517022.456216481</v>
      </c>
      <c r="P960" s="369"/>
      <c r="Q960" s="350">
        <f t="shared" si="381"/>
        <v>2212869.2409833483</v>
      </c>
      <c r="R960" s="350">
        <f t="shared" si="382"/>
        <v>2240206.907190985</v>
      </c>
      <c r="S960" s="350">
        <f t="shared" si="383"/>
        <v>2265800.3582781791</v>
      </c>
      <c r="T960" s="350">
        <f t="shared" si="384"/>
        <v>2289587.0154879396</v>
      </c>
      <c r="U960" s="350">
        <f t="shared" si="385"/>
        <v>2311504.4525456293</v>
      </c>
      <c r="V960" s="350">
        <f t="shared" si="386"/>
        <v>11319967.974486079</v>
      </c>
      <c r="W960" s="365"/>
      <c r="X960" s="377">
        <f t="shared" si="364"/>
        <v>0</v>
      </c>
      <c r="Y960" s="377">
        <f t="shared" si="365"/>
        <v>0</v>
      </c>
      <c r="Z960" s="377">
        <f t="shared" si="366"/>
        <v>0</v>
      </c>
      <c r="AA960" s="377">
        <f t="shared" si="367"/>
        <v>0</v>
      </c>
      <c r="AB960" s="377">
        <f t="shared" si="368"/>
        <v>0</v>
      </c>
      <c r="AC960" s="377">
        <f t="shared" si="369"/>
        <v>0</v>
      </c>
      <c r="AD960" s="376"/>
      <c r="AE960" s="332">
        <v>945</v>
      </c>
      <c r="AF960" s="350">
        <v>8500143.9838484619</v>
      </c>
      <c r="AG960" s="350">
        <v>52505.158154770994</v>
      </c>
      <c r="AH960" s="350">
        <v>50271.846550692499</v>
      </c>
      <c r="AI960" s="350">
        <v>47978.440066752722</v>
      </c>
      <c r="AJ960" s="350">
        <v>45625.055846971845</v>
      </c>
      <c r="AK960" s="348">
        <v>8696524.4844676498</v>
      </c>
      <c r="AL960" s="369"/>
      <c r="AM960" s="350">
        <v>10447908.678577155</v>
      </c>
      <c r="AN960" s="350">
        <v>2024332.4319502024</v>
      </c>
      <c r="AO960" s="350">
        <v>2044626.4434796621</v>
      </c>
      <c r="AP960" s="350">
        <v>2063270.0224536592</v>
      </c>
      <c r="AQ960" s="350">
        <v>2080208.3384885835</v>
      </c>
      <c r="AR960" s="348">
        <v>18660345.914949261</v>
      </c>
      <c r="AS960" s="369"/>
      <c r="AT960" s="350">
        <f t="shared" si="387"/>
        <v>1947764.694728693</v>
      </c>
      <c r="AU960" s="350">
        <f t="shared" si="370"/>
        <v>1971827.2737954315</v>
      </c>
      <c r="AV960" s="350">
        <f t="shared" si="371"/>
        <v>1994354.5969289695</v>
      </c>
      <c r="AW960" s="350">
        <f t="shared" si="372"/>
        <v>2015291.5823869065</v>
      </c>
      <c r="AX960" s="350">
        <f t="shared" si="373"/>
        <v>2034583.2826416115</v>
      </c>
      <c r="AY960" s="350">
        <f t="shared" si="374"/>
        <v>9963821.4304816108</v>
      </c>
      <c r="AZ960" s="365"/>
      <c r="BA960" s="377">
        <f t="shared" si="375"/>
        <v>0</v>
      </c>
      <c r="BB960" s="377">
        <f t="shared" si="376"/>
        <v>0</v>
      </c>
      <c r="BC960" s="377">
        <f t="shared" si="377"/>
        <v>0</v>
      </c>
      <c r="BD960" s="377">
        <f t="shared" si="378"/>
        <v>0</v>
      </c>
      <c r="BE960" s="377">
        <f t="shared" si="379"/>
        <v>0</v>
      </c>
      <c r="BF960" s="377">
        <f t="shared" si="380"/>
        <v>0</v>
      </c>
      <c r="BG960" s="328"/>
    </row>
    <row r="961" spans="2:59">
      <c r="B961" s="332">
        <v>946</v>
      </c>
      <c r="C961" s="350">
        <v>4393414.9086235017</v>
      </c>
      <c r="D961" s="350">
        <v>27138.004374410528</v>
      </c>
      <c r="E961" s="350">
        <v>25983.686928071362</v>
      </c>
      <c r="F961" s="350">
        <v>24798.308626571965</v>
      </c>
      <c r="G961" s="350">
        <v>23581.930017391926</v>
      </c>
      <c r="H961" s="348">
        <v>4494916.8385699475</v>
      </c>
      <c r="I961" s="369"/>
      <c r="J961" s="350">
        <v>6162750.6589358822</v>
      </c>
      <c r="K961" s="350">
        <v>1818332.0322819836</v>
      </c>
      <c r="L961" s="350">
        <v>1837641.3767383802</v>
      </c>
      <c r="M961" s="350">
        <v>1855475.0087797365</v>
      </c>
      <c r="N961" s="350">
        <v>1871783.0750058803</v>
      </c>
      <c r="O961" s="348">
        <v>13545982.151741862</v>
      </c>
      <c r="P961" s="369"/>
      <c r="Q961" s="350">
        <f t="shared" si="381"/>
        <v>1769335.7503123805</v>
      </c>
      <c r="R961" s="350">
        <f t="shared" si="382"/>
        <v>1791194.0279075732</v>
      </c>
      <c r="S961" s="350">
        <f t="shared" si="383"/>
        <v>1811657.6898103089</v>
      </c>
      <c r="T961" s="350">
        <f t="shared" si="384"/>
        <v>1830676.7001531646</v>
      </c>
      <c r="U961" s="350">
        <f t="shared" si="385"/>
        <v>1848201.1449884884</v>
      </c>
      <c r="V961" s="350">
        <f t="shared" si="386"/>
        <v>9051065.3131719157</v>
      </c>
      <c r="W961" s="365"/>
      <c r="X961" s="377">
        <f t="shared" si="364"/>
        <v>0</v>
      </c>
      <c r="Y961" s="377">
        <f t="shared" si="365"/>
        <v>0</v>
      </c>
      <c r="Z961" s="377">
        <f t="shared" si="366"/>
        <v>0</v>
      </c>
      <c r="AA961" s="377">
        <f t="shared" si="367"/>
        <v>0</v>
      </c>
      <c r="AB961" s="377">
        <f t="shared" si="368"/>
        <v>0</v>
      </c>
      <c r="AC961" s="377">
        <f t="shared" si="369"/>
        <v>0</v>
      </c>
      <c r="AD961" s="376"/>
      <c r="AE961" s="332">
        <v>946</v>
      </c>
      <c r="AF961" s="350">
        <v>4162674.3180324878</v>
      </c>
      <c r="AG961" s="350">
        <v>25712.726023277173</v>
      </c>
      <c r="AH961" s="350">
        <v>24619.032919238318</v>
      </c>
      <c r="AI961" s="350">
        <v>23495.910265123839</v>
      </c>
      <c r="AJ961" s="350">
        <v>22343.415428476284</v>
      </c>
      <c r="AK961" s="348">
        <v>4258845.4026686028</v>
      </c>
      <c r="AL961" s="369"/>
      <c r="AM961" s="350">
        <v>5916015.0540223429</v>
      </c>
      <c r="AN961" s="350">
        <v>1800714.138071626</v>
      </c>
      <c r="AO961" s="350">
        <v>1819899.1128322084</v>
      </c>
      <c r="AP961" s="350">
        <v>1837623.0663118686</v>
      </c>
      <c r="AQ961" s="350">
        <v>1853836.5931587555</v>
      </c>
      <c r="AR961" s="348">
        <v>13228087.964396801</v>
      </c>
      <c r="AS961" s="369"/>
      <c r="AT961" s="350">
        <f t="shared" si="387"/>
        <v>1753340.7359898551</v>
      </c>
      <c r="AU961" s="350">
        <f t="shared" si="370"/>
        <v>1775001.4120483487</v>
      </c>
      <c r="AV961" s="350">
        <f t="shared" si="371"/>
        <v>1795280.0799129701</v>
      </c>
      <c r="AW961" s="350">
        <f t="shared" si="372"/>
        <v>1814127.1560467447</v>
      </c>
      <c r="AX961" s="350">
        <f t="shared" si="373"/>
        <v>1831493.1777302793</v>
      </c>
      <c r="AY961" s="350">
        <f t="shared" si="374"/>
        <v>8969242.5617281981</v>
      </c>
      <c r="AZ961" s="365"/>
      <c r="BA961" s="377">
        <f t="shared" si="375"/>
        <v>0</v>
      </c>
      <c r="BB961" s="377">
        <f t="shared" si="376"/>
        <v>0</v>
      </c>
      <c r="BC961" s="377">
        <f t="shared" si="377"/>
        <v>0</v>
      </c>
      <c r="BD961" s="377">
        <f t="shared" si="378"/>
        <v>0</v>
      </c>
      <c r="BE961" s="377">
        <f t="shared" si="379"/>
        <v>0</v>
      </c>
      <c r="BF961" s="377">
        <f t="shared" si="380"/>
        <v>0</v>
      </c>
      <c r="BG961" s="328"/>
    </row>
    <row r="962" spans="2:59">
      <c r="B962" s="332">
        <v>947</v>
      </c>
      <c r="C962" s="350">
        <v>4933637.0213995762</v>
      </c>
      <c r="D962" s="350">
        <v>30474.941669108604</v>
      </c>
      <c r="E962" s="350">
        <v>29178.687296109525</v>
      </c>
      <c r="F962" s="350">
        <v>27847.552769942849</v>
      </c>
      <c r="G962" s="350">
        <v>26481.606083115985</v>
      </c>
      <c r="H962" s="348">
        <v>5047619.8092178525</v>
      </c>
      <c r="I962" s="369"/>
      <c r="J962" s="350">
        <v>6401851.4617935531</v>
      </c>
      <c r="K962" s="350">
        <v>1516827.62337864</v>
      </c>
      <c r="L962" s="350">
        <v>1532512.3427431746</v>
      </c>
      <c r="M962" s="350">
        <v>1546963.3940584788</v>
      </c>
      <c r="N962" s="350">
        <v>1560139.4261693805</v>
      </c>
      <c r="O962" s="348">
        <v>12558294.248143228</v>
      </c>
      <c r="P962" s="369"/>
      <c r="Q962" s="350">
        <f t="shared" si="381"/>
        <v>1468214.4403939769</v>
      </c>
      <c r="R962" s="350">
        <f t="shared" si="382"/>
        <v>1486352.6817095315</v>
      </c>
      <c r="S962" s="350">
        <f t="shared" si="383"/>
        <v>1503333.6554470651</v>
      </c>
      <c r="T962" s="350">
        <f t="shared" si="384"/>
        <v>1519115.8412885359</v>
      </c>
      <c r="U962" s="350">
        <f t="shared" si="385"/>
        <v>1533657.8200862645</v>
      </c>
      <c r="V962" s="350">
        <f t="shared" si="386"/>
        <v>7510674.4389253752</v>
      </c>
      <c r="W962" s="365"/>
      <c r="X962" s="377">
        <f t="shared" si="364"/>
        <v>0</v>
      </c>
      <c r="Y962" s="377">
        <f t="shared" si="365"/>
        <v>0</v>
      </c>
      <c r="Z962" s="377">
        <f t="shared" si="366"/>
        <v>0</v>
      </c>
      <c r="AA962" s="377">
        <f t="shared" si="367"/>
        <v>0</v>
      </c>
      <c r="AB962" s="377">
        <f t="shared" si="368"/>
        <v>0</v>
      </c>
      <c r="AC962" s="377">
        <f t="shared" si="369"/>
        <v>0</v>
      </c>
      <c r="AD962" s="376"/>
      <c r="AE962" s="332">
        <v>947</v>
      </c>
      <c r="AF962" s="350">
        <v>4693886.7566373395</v>
      </c>
      <c r="AG962" s="350">
        <v>28994.010805713904</v>
      </c>
      <c r="AH962" s="350">
        <v>27760.747959608532</v>
      </c>
      <c r="AI962" s="350">
        <v>26494.299962609228</v>
      </c>
      <c r="AJ962" s="350">
        <v>25194.731503122643</v>
      </c>
      <c r="AK962" s="348">
        <v>4802330.5468683932</v>
      </c>
      <c r="AL962" s="369"/>
      <c r="AM962" s="350">
        <v>6754992.2114727348</v>
      </c>
      <c r="AN962" s="350">
        <v>2115562.2502916814</v>
      </c>
      <c r="AO962" s="350">
        <v>2138167.1793580977</v>
      </c>
      <c r="AP962" s="350">
        <v>2159056.0435771737</v>
      </c>
      <c r="AQ962" s="350">
        <v>2178170.7627036753</v>
      </c>
      <c r="AR962" s="348">
        <v>15345948.447403362</v>
      </c>
      <c r="AS962" s="369"/>
      <c r="AT962" s="350">
        <f t="shared" si="387"/>
        <v>2061105.4548353953</v>
      </c>
      <c r="AU962" s="350">
        <f t="shared" si="370"/>
        <v>2086568.2394859674</v>
      </c>
      <c r="AV962" s="350">
        <f t="shared" si="371"/>
        <v>2110406.431398489</v>
      </c>
      <c r="AW962" s="350">
        <f t="shared" si="372"/>
        <v>2132561.7436145646</v>
      </c>
      <c r="AX962" s="350">
        <f t="shared" si="373"/>
        <v>2152976.0312005528</v>
      </c>
      <c r="AY962" s="350">
        <f t="shared" si="374"/>
        <v>10543617.900534969</v>
      </c>
      <c r="AZ962" s="365"/>
      <c r="BA962" s="377">
        <f t="shared" si="375"/>
        <v>0</v>
      </c>
      <c r="BB962" s="377">
        <f t="shared" si="376"/>
        <v>0</v>
      </c>
      <c r="BC962" s="377">
        <f t="shared" si="377"/>
        <v>0</v>
      </c>
      <c r="BD962" s="377">
        <f t="shared" si="378"/>
        <v>0</v>
      </c>
      <c r="BE962" s="377">
        <f t="shared" si="379"/>
        <v>0</v>
      </c>
      <c r="BF962" s="377">
        <f t="shared" si="380"/>
        <v>0</v>
      </c>
      <c r="BG962" s="328"/>
    </row>
    <row r="963" spans="2:59">
      <c r="B963" s="332">
        <v>948</v>
      </c>
      <c r="C963" s="350">
        <v>6970235.5076801274</v>
      </c>
      <c r="D963" s="350">
        <v>43054.955116307203</v>
      </c>
      <c r="E963" s="350">
        <v>41223.608744758829</v>
      </c>
      <c r="F963" s="350">
        <v>39342.983741431191</v>
      </c>
      <c r="G963" s="350">
        <v>37413.176166044541</v>
      </c>
      <c r="H963" s="348">
        <v>7131270.2314486699</v>
      </c>
      <c r="I963" s="369"/>
      <c r="J963" s="350">
        <v>8702045.5725422762</v>
      </c>
      <c r="K963" s="350">
        <v>1796259.7072972564</v>
      </c>
      <c r="L963" s="350">
        <v>1814458.0108329314</v>
      </c>
      <c r="M963" s="350">
        <v>1831193.0236641206</v>
      </c>
      <c r="N963" s="350">
        <v>1846415.9865233882</v>
      </c>
      <c r="O963" s="348">
        <v>15990372.300859973</v>
      </c>
      <c r="P963" s="369"/>
      <c r="Q963" s="350">
        <f t="shared" si="381"/>
        <v>1731810.0648621488</v>
      </c>
      <c r="R963" s="350">
        <f t="shared" si="382"/>
        <v>1753204.7521809493</v>
      </c>
      <c r="S963" s="350">
        <f t="shared" si="383"/>
        <v>1773234.4020881725</v>
      </c>
      <c r="T963" s="350">
        <f t="shared" si="384"/>
        <v>1791850.0399226893</v>
      </c>
      <c r="U963" s="350">
        <f t="shared" si="385"/>
        <v>1809002.8103573436</v>
      </c>
      <c r="V963" s="350">
        <f t="shared" si="386"/>
        <v>8859102.0694113038</v>
      </c>
      <c r="W963" s="365"/>
      <c r="X963" s="377">
        <f t="shared" si="364"/>
        <v>0</v>
      </c>
      <c r="Y963" s="377">
        <f t="shared" si="365"/>
        <v>0</v>
      </c>
      <c r="Z963" s="377">
        <f t="shared" si="366"/>
        <v>0</v>
      </c>
      <c r="AA963" s="377">
        <f t="shared" si="367"/>
        <v>0</v>
      </c>
      <c r="AB963" s="377">
        <f t="shared" si="368"/>
        <v>0</v>
      </c>
      <c r="AC963" s="377">
        <f t="shared" si="369"/>
        <v>0</v>
      </c>
      <c r="AD963" s="376"/>
      <c r="AE963" s="332">
        <v>948</v>
      </c>
      <c r="AF963" s="350">
        <v>5226317.4468678692</v>
      </c>
      <c r="AG963" s="350">
        <v>32282.820695302344</v>
      </c>
      <c r="AH963" s="350">
        <v>30909.668026021947</v>
      </c>
      <c r="AI963" s="350">
        <v>29499.565992157393</v>
      </c>
      <c r="AJ963" s="350">
        <v>28052.58661976226</v>
      </c>
      <c r="AK963" s="348">
        <v>5347062.088201113</v>
      </c>
      <c r="AL963" s="369"/>
      <c r="AM963" s="350">
        <v>7607236.1933124885</v>
      </c>
      <c r="AN963" s="350">
        <v>2442615.3077949658</v>
      </c>
      <c r="AO963" s="350">
        <v>2468779.2216414795</v>
      </c>
      <c r="AP963" s="350">
        <v>2492962.180877157</v>
      </c>
      <c r="AQ963" s="350">
        <v>2515097.0904832045</v>
      </c>
      <c r="AR963" s="348">
        <v>17526689.994109295</v>
      </c>
      <c r="AS963" s="369"/>
      <c r="AT963" s="350">
        <f t="shared" si="387"/>
        <v>2380918.7464446193</v>
      </c>
      <c r="AU963" s="350">
        <f t="shared" si="370"/>
        <v>2410332.4870996634</v>
      </c>
      <c r="AV963" s="350">
        <f t="shared" si="371"/>
        <v>2437869.5536154574</v>
      </c>
      <c r="AW963" s="350">
        <f t="shared" si="372"/>
        <v>2463462.6148849996</v>
      </c>
      <c r="AX963" s="350">
        <f t="shared" si="373"/>
        <v>2487044.5038634422</v>
      </c>
      <c r="AY963" s="350">
        <f t="shared" si="374"/>
        <v>12179627.905908182</v>
      </c>
      <c r="AZ963" s="365"/>
      <c r="BA963" s="377">
        <f t="shared" si="375"/>
        <v>0</v>
      </c>
      <c r="BB963" s="377">
        <f t="shared" si="376"/>
        <v>0</v>
      </c>
      <c r="BC963" s="377">
        <f t="shared" si="377"/>
        <v>0</v>
      </c>
      <c r="BD963" s="377">
        <f t="shared" si="378"/>
        <v>0</v>
      </c>
      <c r="BE963" s="377">
        <f t="shared" si="379"/>
        <v>0</v>
      </c>
      <c r="BF963" s="377">
        <f t="shared" si="380"/>
        <v>0</v>
      </c>
      <c r="BG963" s="328"/>
    </row>
    <row r="964" spans="2:59">
      <c r="B964" s="332">
        <v>949</v>
      </c>
      <c r="C964" s="350">
        <v>4601978.9070742605</v>
      </c>
      <c r="D964" s="350">
        <v>28426.298519175638</v>
      </c>
      <c r="E964" s="350">
        <v>27217.183366017962</v>
      </c>
      <c r="F964" s="350">
        <v>25975.532838158193</v>
      </c>
      <c r="G964" s="350">
        <v>24701.410357378656</v>
      </c>
      <c r="H964" s="348">
        <v>4708299.3321549911</v>
      </c>
      <c r="I964" s="369"/>
      <c r="J964" s="350">
        <v>6112225.0001861304</v>
      </c>
      <c r="K964" s="350">
        <v>1557329.889697464</v>
      </c>
      <c r="L964" s="350">
        <v>1573587.8750841042</v>
      </c>
      <c r="M964" s="350">
        <v>1588580.2186187531</v>
      </c>
      <c r="N964" s="350">
        <v>1602264.3788391668</v>
      </c>
      <c r="O964" s="348">
        <v>12433987.362425618</v>
      </c>
      <c r="P964" s="369"/>
      <c r="Q964" s="350">
        <f t="shared" si="381"/>
        <v>1510246.0931118699</v>
      </c>
      <c r="R964" s="350">
        <f t="shared" si="382"/>
        <v>1528903.5911782882</v>
      </c>
      <c r="S964" s="350">
        <f t="shared" si="383"/>
        <v>1546370.6917180864</v>
      </c>
      <c r="T964" s="350">
        <f t="shared" si="384"/>
        <v>1562604.6857805951</v>
      </c>
      <c r="U964" s="350">
        <f t="shared" si="385"/>
        <v>1577562.9684817882</v>
      </c>
      <c r="V964" s="350">
        <f t="shared" si="386"/>
        <v>7725688.0302706268</v>
      </c>
      <c r="W964" s="365"/>
      <c r="X964" s="377">
        <f t="shared" si="364"/>
        <v>0</v>
      </c>
      <c r="Y964" s="377">
        <f t="shared" si="365"/>
        <v>0</v>
      </c>
      <c r="Z964" s="377">
        <f t="shared" si="366"/>
        <v>0</v>
      </c>
      <c r="AA964" s="377">
        <f t="shared" si="367"/>
        <v>0</v>
      </c>
      <c r="AB964" s="377">
        <f t="shared" si="368"/>
        <v>0</v>
      </c>
      <c r="AC964" s="377">
        <f t="shared" si="369"/>
        <v>0</v>
      </c>
      <c r="AD964" s="376"/>
      <c r="AE964" s="332">
        <v>949</v>
      </c>
      <c r="AF964" s="350">
        <v>6119140.5909470655</v>
      </c>
      <c r="AG964" s="350">
        <v>37797.764968386611</v>
      </c>
      <c r="AH964" s="350">
        <v>36190.033650573147</v>
      </c>
      <c r="AI964" s="350">
        <v>34539.040828092329</v>
      </c>
      <c r="AJ964" s="350">
        <v>32844.87083135642</v>
      </c>
      <c r="AK964" s="348">
        <v>6260512.3012254741</v>
      </c>
      <c r="AL964" s="369"/>
      <c r="AM964" s="350">
        <v>8360804.3576954696</v>
      </c>
      <c r="AN964" s="350">
        <v>2307154.9239291064</v>
      </c>
      <c r="AO964" s="350">
        <v>2331473.6734469673</v>
      </c>
      <c r="AP964" s="350">
        <v>2353918.8570327675</v>
      </c>
      <c r="AQ964" s="350">
        <v>2374427.3204326518</v>
      </c>
      <c r="AR964" s="348">
        <v>17727779.132536963</v>
      </c>
      <c r="AS964" s="369"/>
      <c r="AT964" s="350">
        <f t="shared" si="387"/>
        <v>2241663.7667484041</v>
      </c>
      <c r="AU964" s="350">
        <f t="shared" si="370"/>
        <v>2269357.1589607201</v>
      </c>
      <c r="AV964" s="350">
        <f t="shared" si="371"/>
        <v>2295283.6397963939</v>
      </c>
      <c r="AW964" s="350">
        <f t="shared" si="372"/>
        <v>2319379.816204675</v>
      </c>
      <c r="AX964" s="350">
        <f t="shared" si="373"/>
        <v>2341582.4496012954</v>
      </c>
      <c r="AY964" s="350">
        <f t="shared" si="374"/>
        <v>11467266.831311489</v>
      </c>
      <c r="AZ964" s="365"/>
      <c r="BA964" s="377">
        <f t="shared" si="375"/>
        <v>0</v>
      </c>
      <c r="BB964" s="377">
        <f t="shared" si="376"/>
        <v>0</v>
      </c>
      <c r="BC964" s="377">
        <f t="shared" si="377"/>
        <v>0</v>
      </c>
      <c r="BD964" s="377">
        <f t="shared" si="378"/>
        <v>0</v>
      </c>
      <c r="BE964" s="377">
        <f t="shared" si="379"/>
        <v>0</v>
      </c>
      <c r="BF964" s="377">
        <f t="shared" si="380"/>
        <v>0</v>
      </c>
      <c r="BG964" s="328"/>
    </row>
    <row r="965" spans="2:59">
      <c r="B965" s="332">
        <v>950</v>
      </c>
      <c r="C965" s="350">
        <v>4991100.1696001748</v>
      </c>
      <c r="D965" s="350">
        <v>30829.889972348348</v>
      </c>
      <c r="E965" s="350">
        <v>29518.537841480593</v>
      </c>
      <c r="F965" s="350">
        <v>28171.899300688376</v>
      </c>
      <c r="G965" s="350">
        <v>26790.043134390904</v>
      </c>
      <c r="H965" s="348">
        <v>5106410.5398490829</v>
      </c>
      <c r="I965" s="369"/>
      <c r="J965" s="350">
        <v>6620032.0998439286</v>
      </c>
      <c r="K965" s="350">
        <v>1679885.5566571131</v>
      </c>
      <c r="L965" s="350">
        <v>1697413.9935697825</v>
      </c>
      <c r="M965" s="350">
        <v>1713577.1313524786</v>
      </c>
      <c r="N965" s="350">
        <v>1728329.0857119721</v>
      </c>
      <c r="O965" s="348">
        <v>13439237.867135275</v>
      </c>
      <c r="P965" s="369"/>
      <c r="Q965" s="350">
        <f t="shared" si="381"/>
        <v>1628931.9302437538</v>
      </c>
      <c r="R965" s="350">
        <f t="shared" si="382"/>
        <v>1649055.6666847649</v>
      </c>
      <c r="S965" s="350">
        <f t="shared" si="383"/>
        <v>1667895.4557283018</v>
      </c>
      <c r="T965" s="350">
        <f t="shared" si="384"/>
        <v>1685405.2320517902</v>
      </c>
      <c r="U965" s="350">
        <f t="shared" si="385"/>
        <v>1701539.0425775812</v>
      </c>
      <c r="V965" s="350">
        <f t="shared" si="386"/>
        <v>8332827.3272861922</v>
      </c>
      <c r="W965" s="365"/>
      <c r="X965" s="377">
        <f t="shared" si="364"/>
        <v>0</v>
      </c>
      <c r="Y965" s="377">
        <f t="shared" si="365"/>
        <v>0</v>
      </c>
      <c r="Z965" s="377">
        <f t="shared" si="366"/>
        <v>0</v>
      </c>
      <c r="AA965" s="377">
        <f t="shared" si="367"/>
        <v>0</v>
      </c>
      <c r="AB965" s="377">
        <f t="shared" si="368"/>
        <v>0</v>
      </c>
      <c r="AC965" s="377">
        <f t="shared" si="369"/>
        <v>0</v>
      </c>
      <c r="AD965" s="376"/>
      <c r="AE965" s="332">
        <v>950</v>
      </c>
      <c r="AF965" s="350">
        <v>5372031.020351626</v>
      </c>
      <c r="AG965" s="350">
        <v>33182.889474795753</v>
      </c>
      <c r="AH965" s="350">
        <v>31771.452299376408</v>
      </c>
      <c r="AI965" s="350">
        <v>30322.035583919089</v>
      </c>
      <c r="AJ965" s="350">
        <v>28834.713362611441</v>
      </c>
      <c r="AK965" s="348">
        <v>5496142.1110723289</v>
      </c>
      <c r="AL965" s="369"/>
      <c r="AM965" s="350">
        <v>8128351.8446183074</v>
      </c>
      <c r="AN965" s="350">
        <v>2823555.1512414534</v>
      </c>
      <c r="AO965" s="350">
        <v>2854022.5801508334</v>
      </c>
      <c r="AP965" s="350">
        <v>2882201.5108282953</v>
      </c>
      <c r="AQ965" s="350">
        <v>2908014.2599613224</v>
      </c>
      <c r="AR965" s="348">
        <v>19596145.346800212</v>
      </c>
      <c r="AS965" s="369"/>
      <c r="AT965" s="350">
        <f t="shared" si="387"/>
        <v>2756320.8242666814</v>
      </c>
      <c r="AU965" s="350">
        <f t="shared" si="370"/>
        <v>2790372.2617666577</v>
      </c>
      <c r="AV965" s="350">
        <f t="shared" si="371"/>
        <v>2822251.1278514569</v>
      </c>
      <c r="AW965" s="350">
        <f t="shared" si="372"/>
        <v>2851879.4752443763</v>
      </c>
      <c r="AX965" s="350">
        <f t="shared" si="373"/>
        <v>2879179.5465987111</v>
      </c>
      <c r="AY965" s="350">
        <f t="shared" si="374"/>
        <v>14100003.235727884</v>
      </c>
      <c r="AZ965" s="365"/>
      <c r="BA965" s="377">
        <f t="shared" si="375"/>
        <v>0</v>
      </c>
      <c r="BB965" s="377">
        <f t="shared" si="376"/>
        <v>0</v>
      </c>
      <c r="BC965" s="377">
        <f t="shared" si="377"/>
        <v>0</v>
      </c>
      <c r="BD965" s="377">
        <f t="shared" si="378"/>
        <v>0</v>
      </c>
      <c r="BE965" s="377">
        <f t="shared" si="379"/>
        <v>0</v>
      </c>
      <c r="BF965" s="377">
        <f t="shared" si="380"/>
        <v>0</v>
      </c>
      <c r="BG965" s="328"/>
    </row>
    <row r="966" spans="2:59">
      <c r="B966" s="332">
        <v>951</v>
      </c>
      <c r="C966" s="350">
        <v>5309549.8350064671</v>
      </c>
      <c r="D966" s="350">
        <v>32796.94489262467</v>
      </c>
      <c r="E966" s="350">
        <v>31401.923904569212</v>
      </c>
      <c r="F966" s="350">
        <v>29969.365110091341</v>
      </c>
      <c r="G966" s="350">
        <v>28499.341682300859</v>
      </c>
      <c r="H966" s="348">
        <v>5432217.4105960522</v>
      </c>
      <c r="I966" s="369"/>
      <c r="J966" s="350">
        <v>7040216.9584757984</v>
      </c>
      <c r="K966" s="350">
        <v>1784844.635844972</v>
      </c>
      <c r="L966" s="350">
        <v>1803466.0458110748</v>
      </c>
      <c r="M966" s="350">
        <v>1820636.8391025418</v>
      </c>
      <c r="N966" s="350">
        <v>1836308.2658083329</v>
      </c>
      <c r="O966" s="348">
        <v>14285472.745042721</v>
      </c>
      <c r="P966" s="369"/>
      <c r="Q966" s="350">
        <f t="shared" si="381"/>
        <v>1730667.1234693313</v>
      </c>
      <c r="R966" s="350">
        <f t="shared" si="382"/>
        <v>1752047.6909523474</v>
      </c>
      <c r="S966" s="350">
        <f t="shared" si="383"/>
        <v>1772064.1219065057</v>
      </c>
      <c r="T966" s="350">
        <f t="shared" si="384"/>
        <v>1790667.4739924504</v>
      </c>
      <c r="U966" s="350">
        <f t="shared" si="385"/>
        <v>1807808.924126032</v>
      </c>
      <c r="V966" s="350">
        <f t="shared" si="386"/>
        <v>8853255.3344466686</v>
      </c>
      <c r="W966" s="365"/>
      <c r="X966" s="377">
        <f t="shared" si="364"/>
        <v>0</v>
      </c>
      <c r="Y966" s="377">
        <f t="shared" si="365"/>
        <v>0</v>
      </c>
      <c r="Z966" s="377">
        <f t="shared" si="366"/>
        <v>0</v>
      </c>
      <c r="AA966" s="377">
        <f t="shared" si="367"/>
        <v>0</v>
      </c>
      <c r="AB966" s="377">
        <f t="shared" si="368"/>
        <v>0</v>
      </c>
      <c r="AC966" s="377">
        <f t="shared" si="369"/>
        <v>0</v>
      </c>
      <c r="AD966" s="376"/>
      <c r="AE966" s="332">
        <v>951</v>
      </c>
      <c r="AF966" s="350">
        <v>4743417.4033732722</v>
      </c>
      <c r="AG966" s="350">
        <v>29299.960263196077</v>
      </c>
      <c r="AH966" s="350">
        <v>28053.683829517595</v>
      </c>
      <c r="AI966" s="350">
        <v>26773.872069906116</v>
      </c>
      <c r="AJ966" s="350">
        <v>25460.590355366785</v>
      </c>
      <c r="AK966" s="348">
        <v>4853005.5098912595</v>
      </c>
      <c r="AL966" s="369"/>
      <c r="AM966" s="350">
        <v>6782322.6796069397</v>
      </c>
      <c r="AN966" s="350">
        <v>2093393.7613488329</v>
      </c>
      <c r="AO966" s="350">
        <v>2115728.9155267142</v>
      </c>
      <c r="AP966" s="350">
        <v>2136365.7809890229</v>
      </c>
      <c r="AQ966" s="350">
        <v>2155246.9044525246</v>
      </c>
      <c r="AR966" s="348">
        <v>15283058.041924035</v>
      </c>
      <c r="AS966" s="369"/>
      <c r="AT966" s="350">
        <f t="shared" si="387"/>
        <v>2038905.2762336675</v>
      </c>
      <c r="AU966" s="350">
        <f t="shared" si="370"/>
        <v>2064093.8010856367</v>
      </c>
      <c r="AV966" s="350">
        <f t="shared" si="371"/>
        <v>2087675.2316971966</v>
      </c>
      <c r="AW966" s="350">
        <f t="shared" si="372"/>
        <v>2109591.9089191169</v>
      </c>
      <c r="AX966" s="350">
        <f t="shared" si="373"/>
        <v>2129786.3140971577</v>
      </c>
      <c r="AY966" s="350">
        <f t="shared" si="374"/>
        <v>10430052.532032777</v>
      </c>
      <c r="AZ966" s="365"/>
      <c r="BA966" s="377">
        <f t="shared" si="375"/>
        <v>0</v>
      </c>
      <c r="BB966" s="377">
        <f t="shared" si="376"/>
        <v>0</v>
      </c>
      <c r="BC966" s="377">
        <f t="shared" si="377"/>
        <v>0</v>
      </c>
      <c r="BD966" s="377">
        <f t="shared" si="378"/>
        <v>0</v>
      </c>
      <c r="BE966" s="377">
        <f t="shared" si="379"/>
        <v>0</v>
      </c>
      <c r="BF966" s="377">
        <f t="shared" si="380"/>
        <v>0</v>
      </c>
      <c r="BG966" s="328"/>
    </row>
    <row r="967" spans="2:59">
      <c r="B967" s="332">
        <v>952</v>
      </c>
      <c r="C967" s="350">
        <v>6971879.5182940401</v>
      </c>
      <c r="D967" s="350">
        <v>43065.110125146035</v>
      </c>
      <c r="E967" s="350">
        <v>41233.331809387309</v>
      </c>
      <c r="F967" s="350">
        <v>39352.26323891629</v>
      </c>
      <c r="G967" s="350">
        <v>37422.000496104112</v>
      </c>
      <c r="H967" s="348">
        <v>7132952.2239635941</v>
      </c>
      <c r="I967" s="369"/>
      <c r="J967" s="350">
        <v>8884824.5688128099</v>
      </c>
      <c r="K967" s="350">
        <v>1979642.5797205153</v>
      </c>
      <c r="L967" s="350">
        <v>1999935.4098887111</v>
      </c>
      <c r="M967" s="350">
        <v>2018617.0421480366</v>
      </c>
      <c r="N967" s="350">
        <v>2035633.6073348012</v>
      </c>
      <c r="O967" s="348">
        <v>16918653.207904875</v>
      </c>
      <c r="P967" s="369"/>
      <c r="Q967" s="350">
        <f t="shared" si="381"/>
        <v>1912945.0505187698</v>
      </c>
      <c r="R967" s="350">
        <f t="shared" si="382"/>
        <v>1936577.4695953692</v>
      </c>
      <c r="S967" s="350">
        <f t="shared" si="383"/>
        <v>1958702.0780793237</v>
      </c>
      <c r="T967" s="350">
        <f t="shared" si="384"/>
        <v>1979264.7789091202</v>
      </c>
      <c r="U967" s="350">
        <f t="shared" si="385"/>
        <v>1998211.6068386971</v>
      </c>
      <c r="V967" s="350">
        <f t="shared" si="386"/>
        <v>9785700.9839412812</v>
      </c>
      <c r="W967" s="365"/>
      <c r="X967" s="377">
        <f t="shared" si="364"/>
        <v>0</v>
      </c>
      <c r="Y967" s="377">
        <f t="shared" si="365"/>
        <v>0</v>
      </c>
      <c r="Z967" s="377">
        <f t="shared" si="366"/>
        <v>0</v>
      </c>
      <c r="AA967" s="377">
        <f t="shared" si="367"/>
        <v>0</v>
      </c>
      <c r="AB967" s="377">
        <f t="shared" si="368"/>
        <v>0</v>
      </c>
      <c r="AC967" s="377">
        <f t="shared" si="369"/>
        <v>0</v>
      </c>
      <c r="AD967" s="376"/>
      <c r="AE967" s="332">
        <v>952</v>
      </c>
      <c r="AF967" s="350">
        <v>6691461.9886936303</v>
      </c>
      <c r="AG967" s="350">
        <v>41332.9786731356</v>
      </c>
      <c r="AH967" s="350">
        <v>39574.87672380553</v>
      </c>
      <c r="AI967" s="350">
        <v>37769.46703414993</v>
      </c>
      <c r="AJ967" s="350">
        <v>35916.841821991446</v>
      </c>
      <c r="AK967" s="348">
        <v>6846056.1529467134</v>
      </c>
      <c r="AL967" s="369"/>
      <c r="AM967" s="350">
        <v>8470132.7944728173</v>
      </c>
      <c r="AN967" s="350">
        <v>1841977.386814862</v>
      </c>
      <c r="AO967" s="350">
        <v>1860790.9135116506</v>
      </c>
      <c r="AP967" s="350">
        <v>1878104.8588939079</v>
      </c>
      <c r="AQ967" s="350">
        <v>1893869.1378846823</v>
      </c>
      <c r="AR967" s="348">
        <v>15944875.091577921</v>
      </c>
      <c r="AS967" s="369"/>
      <c r="AT967" s="350">
        <f t="shared" si="387"/>
        <v>1778670.805779187</v>
      </c>
      <c r="AU967" s="350">
        <f t="shared" si="370"/>
        <v>1800644.4081417264</v>
      </c>
      <c r="AV967" s="350">
        <f t="shared" si="371"/>
        <v>1821216.0367878452</v>
      </c>
      <c r="AW967" s="350">
        <f t="shared" si="372"/>
        <v>1840335.3918597579</v>
      </c>
      <c r="AX967" s="350">
        <f t="shared" si="373"/>
        <v>1857952.2960626909</v>
      </c>
      <c r="AY967" s="350">
        <f t="shared" si="374"/>
        <v>9098818.9386312068</v>
      </c>
      <c r="AZ967" s="365"/>
      <c r="BA967" s="377">
        <f t="shared" si="375"/>
        <v>0</v>
      </c>
      <c r="BB967" s="377">
        <f t="shared" si="376"/>
        <v>0</v>
      </c>
      <c r="BC967" s="377">
        <f t="shared" si="377"/>
        <v>0</v>
      </c>
      <c r="BD967" s="377">
        <f t="shared" si="378"/>
        <v>0</v>
      </c>
      <c r="BE967" s="377">
        <f t="shared" si="379"/>
        <v>0</v>
      </c>
      <c r="BF967" s="377">
        <f t="shared" si="380"/>
        <v>0</v>
      </c>
      <c r="BG967" s="328"/>
    </row>
    <row r="968" spans="2:59">
      <c r="B968" s="332">
        <v>953</v>
      </c>
      <c r="C968" s="350">
        <v>7602999.7753079999</v>
      </c>
      <c r="D968" s="350">
        <v>46963.522784056113</v>
      </c>
      <c r="E968" s="350">
        <v>44965.92513674029</v>
      </c>
      <c r="F968" s="350">
        <v>42914.575298992415</v>
      </c>
      <c r="G968" s="350">
        <v>40809.578050923352</v>
      </c>
      <c r="H968" s="348">
        <v>7778653.3765787119</v>
      </c>
      <c r="I968" s="369"/>
      <c r="J968" s="350">
        <v>9984798.2042102478</v>
      </c>
      <c r="K968" s="350">
        <v>2458186.5598905692</v>
      </c>
      <c r="L968" s="350">
        <v>2483736.2029299992</v>
      </c>
      <c r="M968" s="350">
        <v>2507287.370277524</v>
      </c>
      <c r="N968" s="350">
        <v>2528772.9748520828</v>
      </c>
      <c r="O968" s="348">
        <v>19962781.312160421</v>
      </c>
      <c r="P968" s="369"/>
      <c r="Q968" s="350">
        <f t="shared" si="381"/>
        <v>2381798.4289022479</v>
      </c>
      <c r="R968" s="350">
        <f t="shared" si="382"/>
        <v>2411223.037106513</v>
      </c>
      <c r="S968" s="350">
        <f t="shared" si="383"/>
        <v>2438770.2777932589</v>
      </c>
      <c r="T968" s="350">
        <f t="shared" si="384"/>
        <v>2464372.7949785315</v>
      </c>
      <c r="U968" s="350">
        <f t="shared" si="385"/>
        <v>2487963.3968011593</v>
      </c>
      <c r="V968" s="350">
        <f t="shared" si="386"/>
        <v>12184127.93558171</v>
      </c>
      <c r="W968" s="365"/>
      <c r="X968" s="377">
        <f t="shared" si="364"/>
        <v>0</v>
      </c>
      <c r="Y968" s="377">
        <f t="shared" si="365"/>
        <v>0</v>
      </c>
      <c r="Z968" s="377">
        <f t="shared" si="366"/>
        <v>0</v>
      </c>
      <c r="AA968" s="377">
        <f t="shared" si="367"/>
        <v>0</v>
      </c>
      <c r="AB968" s="377">
        <f t="shared" si="368"/>
        <v>0</v>
      </c>
      <c r="AC968" s="377">
        <f t="shared" si="369"/>
        <v>0</v>
      </c>
      <c r="AD968" s="376"/>
      <c r="AE968" s="332">
        <v>953</v>
      </c>
      <c r="AF968" s="350">
        <v>6057189.3673421806</v>
      </c>
      <c r="AG968" s="350">
        <v>37415.09394546879</v>
      </c>
      <c r="AH968" s="350">
        <v>35823.639573883127</v>
      </c>
      <c r="AI968" s="350">
        <v>34189.361684486626</v>
      </c>
      <c r="AJ968" s="350">
        <v>32512.343753916659</v>
      </c>
      <c r="AK968" s="348">
        <v>6197129.8062999351</v>
      </c>
      <c r="AL968" s="369"/>
      <c r="AM968" s="350">
        <v>7788766.646399254</v>
      </c>
      <c r="AN968" s="350">
        <v>1790384.1844981727</v>
      </c>
      <c r="AO968" s="350">
        <v>1808819.6876957314</v>
      </c>
      <c r="AP968" s="350">
        <v>1825798.5453709296</v>
      </c>
      <c r="AQ968" s="350">
        <v>1841271.9922402534</v>
      </c>
      <c r="AR968" s="348">
        <v>15055041.056204341</v>
      </c>
      <c r="AS968" s="369"/>
      <c r="AT968" s="350">
        <f t="shared" si="387"/>
        <v>1731577.2790570734</v>
      </c>
      <c r="AU968" s="350">
        <f t="shared" si="370"/>
        <v>1752969.0905527039</v>
      </c>
      <c r="AV968" s="350">
        <f t="shared" si="371"/>
        <v>1772996.0481218484</v>
      </c>
      <c r="AW968" s="350">
        <f t="shared" si="372"/>
        <v>1791609.1836864429</v>
      </c>
      <c r="AX968" s="350">
        <f t="shared" si="373"/>
        <v>1808759.6484863367</v>
      </c>
      <c r="AY968" s="350">
        <f t="shared" si="374"/>
        <v>8857911.2499044053</v>
      </c>
      <c r="AZ968" s="365"/>
      <c r="BA968" s="377">
        <f t="shared" si="375"/>
        <v>0</v>
      </c>
      <c r="BB968" s="377">
        <f t="shared" si="376"/>
        <v>0</v>
      </c>
      <c r="BC968" s="377">
        <f t="shared" si="377"/>
        <v>0</v>
      </c>
      <c r="BD968" s="377">
        <f t="shared" si="378"/>
        <v>0</v>
      </c>
      <c r="BE968" s="377">
        <f t="shared" si="379"/>
        <v>0</v>
      </c>
      <c r="BF968" s="377">
        <f t="shared" si="380"/>
        <v>0</v>
      </c>
      <c r="BG968" s="328"/>
    </row>
    <row r="969" spans="2:59">
      <c r="B969" s="332">
        <v>954</v>
      </c>
      <c r="C969" s="350">
        <v>5915147.834554296</v>
      </c>
      <c r="D969" s="350">
        <v>36537.707261461386</v>
      </c>
      <c r="E969" s="350">
        <v>34983.572611052747</v>
      </c>
      <c r="F969" s="350">
        <v>33387.618657449748</v>
      </c>
      <c r="G969" s="350">
        <v>31749.926919761765</v>
      </c>
      <c r="H969" s="348">
        <v>6051806.6600040225</v>
      </c>
      <c r="I969" s="369"/>
      <c r="J969" s="350">
        <v>8675945.3426042944</v>
      </c>
      <c r="K969" s="350">
        <v>2831441.957519331</v>
      </c>
      <c r="L969" s="350">
        <v>2861818.4650755627</v>
      </c>
      <c r="M969" s="350">
        <v>2889898.979452447</v>
      </c>
      <c r="N969" s="350">
        <v>2915605.6985326456</v>
      </c>
      <c r="O969" s="348">
        <v>20174710.443184279</v>
      </c>
      <c r="P969" s="369"/>
      <c r="Q969" s="350">
        <f t="shared" si="381"/>
        <v>2760797.5080499984</v>
      </c>
      <c r="R969" s="350">
        <f t="shared" si="382"/>
        <v>2794904.2502578697</v>
      </c>
      <c r="S969" s="350">
        <f t="shared" si="383"/>
        <v>2826834.8924645102</v>
      </c>
      <c r="T969" s="350">
        <f t="shared" si="384"/>
        <v>2856511.3607949973</v>
      </c>
      <c r="U969" s="350">
        <f t="shared" si="385"/>
        <v>2883855.771612884</v>
      </c>
      <c r="V969" s="350">
        <f t="shared" si="386"/>
        <v>14122903.783180255</v>
      </c>
      <c r="W969" s="365"/>
      <c r="X969" s="377">
        <f t="shared" si="364"/>
        <v>0</v>
      </c>
      <c r="Y969" s="377">
        <f t="shared" si="365"/>
        <v>0</v>
      </c>
      <c r="Z969" s="377">
        <f t="shared" si="366"/>
        <v>0</v>
      </c>
      <c r="AA969" s="377">
        <f t="shared" si="367"/>
        <v>0</v>
      </c>
      <c r="AB969" s="377">
        <f t="shared" si="368"/>
        <v>0</v>
      </c>
      <c r="AC969" s="377">
        <f t="shared" si="369"/>
        <v>0</v>
      </c>
      <c r="AD969" s="376"/>
      <c r="AE969" s="332">
        <v>954</v>
      </c>
      <c r="AF969" s="350">
        <v>4357455.1699352935</v>
      </c>
      <c r="AG969" s="350">
        <v>26915.882046763902</v>
      </c>
      <c r="AH969" s="350">
        <v>25771.012593522108</v>
      </c>
      <c r="AI969" s="350">
        <v>24595.336515658873</v>
      </c>
      <c r="AJ969" s="350">
        <v>23388.91386507612</v>
      </c>
      <c r="AK969" s="348">
        <v>4458126.3149563139</v>
      </c>
      <c r="AL969" s="369"/>
      <c r="AM969" s="350">
        <v>6068435.0770032052</v>
      </c>
      <c r="AN969" s="350">
        <v>1759033.1417973903</v>
      </c>
      <c r="AO969" s="350">
        <v>1777677.0062429742</v>
      </c>
      <c r="AP969" s="350">
        <v>1794893.0596846212</v>
      </c>
      <c r="AQ969" s="350">
        <v>1810633.0944774395</v>
      </c>
      <c r="AR969" s="348">
        <v>13210671.379205629</v>
      </c>
      <c r="AS969" s="369"/>
      <c r="AT969" s="350">
        <f t="shared" si="387"/>
        <v>1710979.9070679117</v>
      </c>
      <c r="AU969" s="350">
        <f t="shared" si="370"/>
        <v>1732117.2597506265</v>
      </c>
      <c r="AV969" s="350">
        <f t="shared" si="371"/>
        <v>1751905.993649452</v>
      </c>
      <c r="AW969" s="350">
        <f t="shared" si="372"/>
        <v>1770297.7231689624</v>
      </c>
      <c r="AX969" s="350">
        <f t="shared" si="373"/>
        <v>1787244.1806123634</v>
      </c>
      <c r="AY969" s="350">
        <f t="shared" si="374"/>
        <v>8752545.0642493144</v>
      </c>
      <c r="AZ969" s="365"/>
      <c r="BA969" s="377">
        <f t="shared" si="375"/>
        <v>0</v>
      </c>
      <c r="BB969" s="377">
        <f t="shared" si="376"/>
        <v>0</v>
      </c>
      <c r="BC969" s="377">
        <f t="shared" si="377"/>
        <v>0</v>
      </c>
      <c r="BD969" s="377">
        <f t="shared" si="378"/>
        <v>0</v>
      </c>
      <c r="BE969" s="377">
        <f t="shared" si="379"/>
        <v>0</v>
      </c>
      <c r="BF969" s="377">
        <f t="shared" si="380"/>
        <v>0</v>
      </c>
      <c r="BG969" s="328"/>
    </row>
    <row r="970" spans="2:59">
      <c r="B970" s="332">
        <v>955</v>
      </c>
      <c r="C970" s="350">
        <v>7168076.2522255769</v>
      </c>
      <c r="D970" s="350">
        <v>44277.012013407621</v>
      </c>
      <c r="E970" s="350">
        <v>42393.685342302706</v>
      </c>
      <c r="F970" s="350">
        <v>40459.681331848005</v>
      </c>
      <c r="G970" s="350">
        <v>38475.09876827585</v>
      </c>
      <c r="H970" s="348">
        <v>7333681.7296814108</v>
      </c>
      <c r="I970" s="369"/>
      <c r="J970" s="350">
        <v>9633352.7815525234</v>
      </c>
      <c r="K970" s="350">
        <v>2540009.4334554756</v>
      </c>
      <c r="L970" s="350">
        <v>2566638.8327517197</v>
      </c>
      <c r="M970" s="350">
        <v>2591204.6718609212</v>
      </c>
      <c r="N970" s="350">
        <v>2613637.5027443869</v>
      </c>
      <c r="O970" s="348">
        <v>19944843.222365025</v>
      </c>
      <c r="P970" s="369"/>
      <c r="Q970" s="350">
        <f t="shared" si="381"/>
        <v>2465276.5293269465</v>
      </c>
      <c r="R970" s="350">
        <f t="shared" si="382"/>
        <v>2495732.4214420682</v>
      </c>
      <c r="S970" s="350">
        <f t="shared" si="383"/>
        <v>2524245.1474094172</v>
      </c>
      <c r="T970" s="350">
        <f t="shared" si="384"/>
        <v>2550744.9905290734</v>
      </c>
      <c r="U970" s="350">
        <f t="shared" si="385"/>
        <v>2575162.4039761112</v>
      </c>
      <c r="V970" s="350">
        <f t="shared" si="386"/>
        <v>12611161.492683616</v>
      </c>
      <c r="W970" s="365"/>
      <c r="X970" s="377">
        <f t="shared" si="364"/>
        <v>0</v>
      </c>
      <c r="Y970" s="377">
        <f t="shared" si="365"/>
        <v>0</v>
      </c>
      <c r="Z970" s="377">
        <f t="shared" si="366"/>
        <v>0</v>
      </c>
      <c r="AA970" s="377">
        <f t="shared" si="367"/>
        <v>0</v>
      </c>
      <c r="AB970" s="377">
        <f t="shared" si="368"/>
        <v>0</v>
      </c>
      <c r="AC970" s="377">
        <f t="shared" si="369"/>
        <v>0</v>
      </c>
      <c r="AD970" s="376"/>
      <c r="AE970" s="332">
        <v>955</v>
      </c>
      <c r="AF970" s="350">
        <v>5631053.9421373187</v>
      </c>
      <c r="AG970" s="350">
        <v>34782.867016341625</v>
      </c>
      <c r="AH970" s="350">
        <v>33303.374652912244</v>
      </c>
      <c r="AI970" s="350">
        <v>31784.071492065181</v>
      </c>
      <c r="AJ970" s="350">
        <v>30225.035137699084</v>
      </c>
      <c r="AK970" s="348">
        <v>5761149.2904363358</v>
      </c>
      <c r="AL970" s="369"/>
      <c r="AM970" s="350">
        <v>7561683.897951914</v>
      </c>
      <c r="AN970" s="350">
        <v>1989263.7202653789</v>
      </c>
      <c r="AO970" s="350">
        <v>2010113.375248973</v>
      </c>
      <c r="AP970" s="350">
        <v>2029346.8721665633</v>
      </c>
      <c r="AQ970" s="350">
        <v>2046909.8244749601</v>
      </c>
      <c r="AR970" s="348">
        <v>15637317.690107789</v>
      </c>
      <c r="AS970" s="369"/>
      <c r="AT970" s="350">
        <f t="shared" si="387"/>
        <v>1930629.9558145953</v>
      </c>
      <c r="AU970" s="350">
        <f t="shared" si="370"/>
        <v>1954480.8532490374</v>
      </c>
      <c r="AV970" s="350">
        <f t="shared" si="371"/>
        <v>1976810.0005960609</v>
      </c>
      <c r="AW970" s="350">
        <f t="shared" si="372"/>
        <v>1997562.8006744981</v>
      </c>
      <c r="AX970" s="350">
        <f t="shared" si="373"/>
        <v>2016684.7893372611</v>
      </c>
      <c r="AY970" s="350">
        <f t="shared" si="374"/>
        <v>9876168.399671454</v>
      </c>
      <c r="AZ970" s="365"/>
      <c r="BA970" s="377">
        <f t="shared" si="375"/>
        <v>0</v>
      </c>
      <c r="BB970" s="377">
        <f t="shared" si="376"/>
        <v>0</v>
      </c>
      <c r="BC970" s="377">
        <f t="shared" si="377"/>
        <v>0</v>
      </c>
      <c r="BD970" s="377">
        <f t="shared" si="378"/>
        <v>0</v>
      </c>
      <c r="BE970" s="377">
        <f t="shared" si="379"/>
        <v>0</v>
      </c>
      <c r="BF970" s="377">
        <f t="shared" si="380"/>
        <v>0</v>
      </c>
      <c r="BG970" s="328"/>
    </row>
    <row r="971" spans="2:59">
      <c r="B971" s="332">
        <v>956</v>
      </c>
      <c r="C971" s="350">
        <v>4206573.489655151</v>
      </c>
      <c r="D971" s="350">
        <v>25983.890012180036</v>
      </c>
      <c r="E971" s="350">
        <v>24878.662923590338</v>
      </c>
      <c r="F971" s="350">
        <v>23743.695923658175</v>
      </c>
      <c r="G971" s="350">
        <v>22579.0469849207</v>
      </c>
      <c r="H971" s="348">
        <v>4303758.7854995001</v>
      </c>
      <c r="I971" s="369"/>
      <c r="J971" s="350">
        <v>6012757.1869275663</v>
      </c>
      <c r="K971" s="350">
        <v>1854481.0824117502</v>
      </c>
      <c r="L971" s="350">
        <v>1874265.6906801206</v>
      </c>
      <c r="M971" s="350">
        <v>1892545.821359338</v>
      </c>
      <c r="N971" s="350">
        <v>1909270.5789731555</v>
      </c>
      <c r="O971" s="348">
        <v>13543320.360351931</v>
      </c>
      <c r="P971" s="369"/>
      <c r="Q971" s="350">
        <f t="shared" si="381"/>
        <v>1806183.6972724153</v>
      </c>
      <c r="R971" s="350">
        <f t="shared" si="382"/>
        <v>1828497.1923995703</v>
      </c>
      <c r="S971" s="350">
        <f t="shared" si="383"/>
        <v>1849387.0277565303</v>
      </c>
      <c r="T971" s="350">
        <f t="shared" si="384"/>
        <v>1868802.1254356799</v>
      </c>
      <c r="U971" s="350">
        <f t="shared" si="385"/>
        <v>1886691.5319882347</v>
      </c>
      <c r="V971" s="350">
        <f t="shared" si="386"/>
        <v>9239561.5748524312</v>
      </c>
      <c r="W971" s="365"/>
      <c r="X971" s="377">
        <f t="shared" si="364"/>
        <v>0</v>
      </c>
      <c r="Y971" s="377">
        <f t="shared" si="365"/>
        <v>0</v>
      </c>
      <c r="Z971" s="377">
        <f t="shared" si="366"/>
        <v>0</v>
      </c>
      <c r="AA971" s="377">
        <f t="shared" si="367"/>
        <v>0</v>
      </c>
      <c r="AB971" s="377">
        <f t="shared" si="368"/>
        <v>0</v>
      </c>
      <c r="AC971" s="377">
        <f t="shared" si="369"/>
        <v>0</v>
      </c>
      <c r="AD971" s="376"/>
      <c r="AE971" s="332">
        <v>956</v>
      </c>
      <c r="AF971" s="350">
        <v>6544554.0352243697</v>
      </c>
      <c r="AG971" s="350">
        <v>40425.532240963053</v>
      </c>
      <c r="AH971" s="350">
        <v>38706.028606887878</v>
      </c>
      <c r="AI971" s="350">
        <v>36940.255852052869</v>
      </c>
      <c r="AJ971" s="350">
        <v>35128.304169671879</v>
      </c>
      <c r="AK971" s="348">
        <v>6695754.1560939448</v>
      </c>
      <c r="AL971" s="369"/>
      <c r="AM971" s="350">
        <v>8614236.3490127102</v>
      </c>
      <c r="AN971" s="350">
        <v>2135676.5887287389</v>
      </c>
      <c r="AO971" s="350">
        <v>2157894.4746534037</v>
      </c>
      <c r="AP971" s="350">
        <v>2178376.2088092398</v>
      </c>
      <c r="AQ971" s="350">
        <v>2197063.4944978431</v>
      </c>
      <c r="AR971" s="348">
        <v>17283247.115701936</v>
      </c>
      <c r="AS971" s="369"/>
      <c r="AT971" s="350">
        <f t="shared" si="387"/>
        <v>2069682.3137883404</v>
      </c>
      <c r="AU971" s="350">
        <f t="shared" si="370"/>
        <v>2095251.0564877759</v>
      </c>
      <c r="AV971" s="350">
        <f t="shared" si="371"/>
        <v>2119188.4460465158</v>
      </c>
      <c r="AW971" s="350">
        <f t="shared" si="372"/>
        <v>2141435.9529571868</v>
      </c>
      <c r="AX971" s="350">
        <f t="shared" si="373"/>
        <v>2161935.190328171</v>
      </c>
      <c r="AY971" s="350">
        <f t="shared" si="374"/>
        <v>10587492.959607992</v>
      </c>
      <c r="AZ971" s="365"/>
      <c r="BA971" s="377">
        <f t="shared" si="375"/>
        <v>0</v>
      </c>
      <c r="BB971" s="377">
        <f t="shared" si="376"/>
        <v>0</v>
      </c>
      <c r="BC971" s="377">
        <f t="shared" si="377"/>
        <v>0</v>
      </c>
      <c r="BD971" s="377">
        <f t="shared" si="378"/>
        <v>0</v>
      </c>
      <c r="BE971" s="377">
        <f t="shared" si="379"/>
        <v>0</v>
      </c>
      <c r="BF971" s="377">
        <f t="shared" si="380"/>
        <v>0</v>
      </c>
      <c r="BG971" s="328"/>
    </row>
    <row r="972" spans="2:59">
      <c r="B972" s="332">
        <v>957</v>
      </c>
      <c r="C972" s="350">
        <v>4286530.5966239506</v>
      </c>
      <c r="D972" s="350">
        <v>26477.782886814879</v>
      </c>
      <c r="E972" s="350">
        <v>25351.548020573769</v>
      </c>
      <c r="F972" s="350">
        <v>24195.007956949321</v>
      </c>
      <c r="G972" s="350">
        <v>23008.221770400411</v>
      </c>
      <c r="H972" s="348">
        <v>4385563.1572586885</v>
      </c>
      <c r="I972" s="369"/>
      <c r="J972" s="350">
        <v>6054920.2818490379</v>
      </c>
      <c r="K972" s="350">
        <v>1816714.0580704804</v>
      </c>
      <c r="L972" s="350">
        <v>1836040.5431723613</v>
      </c>
      <c r="M972" s="350">
        <v>1853892.8439732045</v>
      </c>
      <c r="N972" s="350">
        <v>1870221.1322888276</v>
      </c>
      <c r="O972" s="348">
        <v>13431788.859353911</v>
      </c>
      <c r="P972" s="369"/>
      <c r="Q972" s="350">
        <f t="shared" si="381"/>
        <v>1768389.6852250872</v>
      </c>
      <c r="R972" s="350">
        <f t="shared" si="382"/>
        <v>1790236.2751836656</v>
      </c>
      <c r="S972" s="350">
        <f t="shared" si="383"/>
        <v>1810688.9951517875</v>
      </c>
      <c r="T972" s="350">
        <f t="shared" si="384"/>
        <v>1829697.8360162552</v>
      </c>
      <c r="U972" s="350">
        <f t="shared" si="385"/>
        <v>1847212.9105184271</v>
      </c>
      <c r="V972" s="350">
        <f t="shared" si="386"/>
        <v>9046225.7020952217</v>
      </c>
      <c r="W972" s="365"/>
      <c r="X972" s="377">
        <f t="shared" si="364"/>
        <v>0</v>
      </c>
      <c r="Y972" s="377">
        <f t="shared" si="365"/>
        <v>0</v>
      </c>
      <c r="Z972" s="377">
        <f t="shared" si="366"/>
        <v>0</v>
      </c>
      <c r="AA972" s="377">
        <f t="shared" si="367"/>
        <v>0</v>
      </c>
      <c r="AB972" s="377">
        <f t="shared" si="368"/>
        <v>0</v>
      </c>
      <c r="AC972" s="377">
        <f t="shared" si="369"/>
        <v>0</v>
      </c>
      <c r="AD972" s="376"/>
      <c r="AE972" s="332">
        <v>957</v>
      </c>
      <c r="AF972" s="350">
        <v>7464901.3100655861</v>
      </c>
      <c r="AG972" s="350">
        <v>46110.492321012905</v>
      </c>
      <c r="AH972" s="350">
        <v>44149.178400831028</v>
      </c>
      <c r="AI972" s="350">
        <v>42135.088627882826</v>
      </c>
      <c r="AJ972" s="350">
        <v>40068.325879071323</v>
      </c>
      <c r="AK972" s="348">
        <v>7637364.3952943841</v>
      </c>
      <c r="AL972" s="369"/>
      <c r="AM972" s="350">
        <v>10642790.589891978</v>
      </c>
      <c r="AN972" s="350">
        <v>3263259.2434111107</v>
      </c>
      <c r="AO972" s="350">
        <v>3298052.5430656588</v>
      </c>
      <c r="AP972" s="350">
        <v>3330198.3401716226</v>
      </c>
      <c r="AQ972" s="350">
        <v>3359607.0875780955</v>
      </c>
      <c r="AR972" s="348">
        <v>23893907.804118466</v>
      </c>
      <c r="AS972" s="369"/>
      <c r="AT972" s="350">
        <f t="shared" si="387"/>
        <v>3177889.2798263915</v>
      </c>
      <c r="AU972" s="350">
        <f t="shared" si="370"/>
        <v>3217148.7510900977</v>
      </c>
      <c r="AV972" s="350">
        <f t="shared" si="371"/>
        <v>3253903.3646648279</v>
      </c>
      <c r="AW972" s="350">
        <f t="shared" si="372"/>
        <v>3288063.2515437398</v>
      </c>
      <c r="AX972" s="350">
        <f t="shared" si="373"/>
        <v>3319538.7616990241</v>
      </c>
      <c r="AY972" s="350">
        <f t="shared" si="374"/>
        <v>16256543.408824082</v>
      </c>
      <c r="AZ972" s="365"/>
      <c r="BA972" s="377">
        <f t="shared" si="375"/>
        <v>0</v>
      </c>
      <c r="BB972" s="377">
        <f t="shared" si="376"/>
        <v>0</v>
      </c>
      <c r="BC972" s="377">
        <f t="shared" si="377"/>
        <v>0</v>
      </c>
      <c r="BD972" s="377">
        <f t="shared" si="378"/>
        <v>0</v>
      </c>
      <c r="BE972" s="377">
        <f t="shared" si="379"/>
        <v>0</v>
      </c>
      <c r="BF972" s="377">
        <f t="shared" si="380"/>
        <v>0</v>
      </c>
      <c r="BG972" s="328"/>
    </row>
    <row r="973" spans="2:59">
      <c r="B973" s="332">
        <v>958</v>
      </c>
      <c r="C973" s="350">
        <v>5427343.1588661224</v>
      </c>
      <c r="D973" s="350">
        <v>33524.551049718182</v>
      </c>
      <c r="E973" s="350">
        <v>32098.581268612001</v>
      </c>
      <c r="F973" s="350">
        <v>30634.240898054119</v>
      </c>
      <c r="G973" s="350">
        <v>29131.604734516495</v>
      </c>
      <c r="H973" s="348">
        <v>5552732.1368170241</v>
      </c>
      <c r="I973" s="369"/>
      <c r="J973" s="350">
        <v>7906230.6821119366</v>
      </c>
      <c r="K973" s="350">
        <v>2543036.115888997</v>
      </c>
      <c r="L973" s="350">
        <v>2570280.2931739013</v>
      </c>
      <c r="M973" s="350">
        <v>2595462.1037303633</v>
      </c>
      <c r="N973" s="350">
        <v>2618511.6915562069</v>
      </c>
      <c r="O973" s="348">
        <v>18233520.886461407</v>
      </c>
      <c r="P973" s="369"/>
      <c r="Q973" s="350">
        <f t="shared" si="381"/>
        <v>2478887.5232458143</v>
      </c>
      <c r="R973" s="350">
        <f t="shared" si="382"/>
        <v>2509511.5648392788</v>
      </c>
      <c r="S973" s="350">
        <f t="shared" si="383"/>
        <v>2538181.7119052894</v>
      </c>
      <c r="T973" s="350">
        <f t="shared" si="384"/>
        <v>2564827.8628323092</v>
      </c>
      <c r="U973" s="350">
        <f t="shared" si="385"/>
        <v>2589380.0868216902</v>
      </c>
      <c r="V973" s="350">
        <f t="shared" si="386"/>
        <v>12680788.749644384</v>
      </c>
      <c r="W973" s="365"/>
      <c r="X973" s="377">
        <f t="shared" si="364"/>
        <v>0</v>
      </c>
      <c r="Y973" s="377">
        <f t="shared" si="365"/>
        <v>0</v>
      </c>
      <c r="Z973" s="377">
        <f t="shared" si="366"/>
        <v>0</v>
      </c>
      <c r="AA973" s="377">
        <f t="shared" si="367"/>
        <v>0</v>
      </c>
      <c r="AB973" s="377">
        <f t="shared" si="368"/>
        <v>0</v>
      </c>
      <c r="AC973" s="377">
        <f t="shared" si="369"/>
        <v>0</v>
      </c>
      <c r="AD973" s="376"/>
      <c r="AE973" s="332">
        <v>958</v>
      </c>
      <c r="AF973" s="350">
        <v>5833087.1030705469</v>
      </c>
      <c r="AG973" s="350">
        <v>36030.82035542393</v>
      </c>
      <c r="AH973" s="350">
        <v>34498.246184955111</v>
      </c>
      <c r="AI973" s="350">
        <v>32924.432869678727</v>
      </c>
      <c r="AJ973" s="350">
        <v>31309.460797786774</v>
      </c>
      <c r="AK973" s="348">
        <v>5967850.063278391</v>
      </c>
      <c r="AL973" s="369"/>
      <c r="AM973" s="350">
        <v>7773304.287345808</v>
      </c>
      <c r="AN973" s="350">
        <v>2000217.3421639183</v>
      </c>
      <c r="AO973" s="350">
        <v>2021124.7986489469</v>
      </c>
      <c r="AP973" s="350">
        <v>2040406.840808592</v>
      </c>
      <c r="AQ973" s="350">
        <v>2058008.8144228838</v>
      </c>
      <c r="AR973" s="348">
        <v>15893062.08339015</v>
      </c>
      <c r="AS973" s="369"/>
      <c r="AT973" s="350">
        <f t="shared" si="387"/>
        <v>1940217.1842752611</v>
      </c>
      <c r="AU973" s="350">
        <f t="shared" si="370"/>
        <v>1964186.5218084943</v>
      </c>
      <c r="AV973" s="350">
        <f t="shared" si="371"/>
        <v>1986626.5524639918</v>
      </c>
      <c r="AW973" s="350">
        <f t="shared" si="372"/>
        <v>2007482.4079389132</v>
      </c>
      <c r="AX973" s="350">
        <f t="shared" si="373"/>
        <v>2026699.3536250971</v>
      </c>
      <c r="AY973" s="350">
        <f t="shared" si="374"/>
        <v>9925212.0201117583</v>
      </c>
      <c r="AZ973" s="365"/>
      <c r="BA973" s="377">
        <f t="shared" si="375"/>
        <v>0</v>
      </c>
      <c r="BB973" s="377">
        <f t="shared" si="376"/>
        <v>0</v>
      </c>
      <c r="BC973" s="377">
        <f t="shared" si="377"/>
        <v>0</v>
      </c>
      <c r="BD973" s="377">
        <f t="shared" si="378"/>
        <v>0</v>
      </c>
      <c r="BE973" s="377">
        <f t="shared" si="379"/>
        <v>0</v>
      </c>
      <c r="BF973" s="377">
        <f t="shared" si="380"/>
        <v>0</v>
      </c>
      <c r="BG973" s="328"/>
    </row>
    <row r="974" spans="2:59">
      <c r="B974" s="332">
        <v>959</v>
      </c>
      <c r="C974" s="350">
        <v>5236722.3524764832</v>
      </c>
      <c r="D974" s="350">
        <v>32347.091514197517</v>
      </c>
      <c r="E974" s="350">
        <v>30971.205079880005</v>
      </c>
      <c r="F974" s="350">
        <v>29558.295719688704</v>
      </c>
      <c r="G974" s="350">
        <v>28108.435603069021</v>
      </c>
      <c r="H974" s="348">
        <v>5357707.3803933179</v>
      </c>
      <c r="I974" s="369"/>
      <c r="J974" s="350">
        <v>7341058.0649743583</v>
      </c>
      <c r="K974" s="350">
        <v>2162679.6529137781</v>
      </c>
      <c r="L974" s="350">
        <v>2185641.947936995</v>
      </c>
      <c r="M974" s="350">
        <v>2206849.0431032376</v>
      </c>
      <c r="N974" s="350">
        <v>2226241.6460986347</v>
      </c>
      <c r="O974" s="348">
        <v>16122470.355027003</v>
      </c>
      <c r="P974" s="369"/>
      <c r="Q974" s="350">
        <f t="shared" si="381"/>
        <v>2104335.7124978751</v>
      </c>
      <c r="R974" s="350">
        <f t="shared" si="382"/>
        <v>2130332.5613995804</v>
      </c>
      <c r="S974" s="350">
        <f t="shared" si="383"/>
        <v>2154670.7428571149</v>
      </c>
      <c r="T974" s="350">
        <f t="shared" si="384"/>
        <v>2177290.7473835489</v>
      </c>
      <c r="U974" s="350">
        <f t="shared" si="385"/>
        <v>2198133.2104955656</v>
      </c>
      <c r="V974" s="350">
        <f t="shared" si="386"/>
        <v>10764762.974633686</v>
      </c>
      <c r="W974" s="365"/>
      <c r="X974" s="377">
        <f t="shared" si="364"/>
        <v>0</v>
      </c>
      <c r="Y974" s="377">
        <f t="shared" si="365"/>
        <v>0</v>
      </c>
      <c r="Z974" s="377">
        <f t="shared" si="366"/>
        <v>0</v>
      </c>
      <c r="AA974" s="377">
        <f t="shared" si="367"/>
        <v>0</v>
      </c>
      <c r="AB974" s="377">
        <f t="shared" si="368"/>
        <v>0</v>
      </c>
      <c r="AC974" s="377">
        <f t="shared" si="369"/>
        <v>0</v>
      </c>
      <c r="AD974" s="376"/>
      <c r="AE974" s="332">
        <v>959</v>
      </c>
      <c r="AF974" s="350">
        <v>5157652.3715817817</v>
      </c>
      <c r="AG974" s="350">
        <v>31858.678393188344</v>
      </c>
      <c r="AH974" s="350">
        <v>30503.566654712758</v>
      </c>
      <c r="AI974" s="350">
        <v>29111.991004539555</v>
      </c>
      <c r="AJ974" s="350">
        <v>27684.022522421063</v>
      </c>
      <c r="AK974" s="348">
        <v>5276810.6301566428</v>
      </c>
      <c r="AL974" s="369"/>
      <c r="AM974" s="350">
        <v>7152085.6744904434</v>
      </c>
      <c r="AN974" s="350">
        <v>2050931.1018149459</v>
      </c>
      <c r="AO974" s="350">
        <v>2072643.0697932919</v>
      </c>
      <c r="AP974" s="350">
        <v>2092690.1315580136</v>
      </c>
      <c r="AQ974" s="350">
        <v>2111016.0941137895</v>
      </c>
      <c r="AR974" s="348">
        <v>15479366.071770484</v>
      </c>
      <c r="AS974" s="369"/>
      <c r="AT974" s="350">
        <f t="shared" si="387"/>
        <v>1994433.3029086618</v>
      </c>
      <c r="AU974" s="350">
        <f t="shared" si="370"/>
        <v>2019072.4234217575</v>
      </c>
      <c r="AV974" s="350">
        <f t="shared" si="371"/>
        <v>2042139.5031385792</v>
      </c>
      <c r="AW974" s="350">
        <f t="shared" si="372"/>
        <v>2063578.140553474</v>
      </c>
      <c r="AX974" s="350">
        <f t="shared" si="373"/>
        <v>2083332.0715913684</v>
      </c>
      <c r="AY974" s="350">
        <f t="shared" si="374"/>
        <v>10202555.441613842</v>
      </c>
      <c r="AZ974" s="365"/>
      <c r="BA974" s="377">
        <f t="shared" si="375"/>
        <v>0</v>
      </c>
      <c r="BB974" s="377">
        <f t="shared" si="376"/>
        <v>0</v>
      </c>
      <c r="BC974" s="377">
        <f t="shared" si="377"/>
        <v>0</v>
      </c>
      <c r="BD974" s="377">
        <f t="shared" si="378"/>
        <v>0</v>
      </c>
      <c r="BE974" s="377">
        <f t="shared" si="379"/>
        <v>0</v>
      </c>
      <c r="BF974" s="377">
        <f t="shared" si="380"/>
        <v>0</v>
      </c>
      <c r="BG974" s="328"/>
    </row>
    <row r="975" spans="2:59">
      <c r="B975" s="332">
        <v>960</v>
      </c>
      <c r="C975" s="350">
        <v>4735192.461691306</v>
      </c>
      <c r="D975" s="350">
        <v>29249.155022173047</v>
      </c>
      <c r="E975" s="350">
        <v>28005.039593972087</v>
      </c>
      <c r="F975" s="350">
        <v>26727.446989073727</v>
      </c>
      <c r="G975" s="350">
        <v>25416.442465132637</v>
      </c>
      <c r="H975" s="348">
        <v>4844590.5457616579</v>
      </c>
      <c r="I975" s="369"/>
      <c r="J975" s="350">
        <v>6926729.8298352035</v>
      </c>
      <c r="K975" s="350">
        <v>2247860.6565772509</v>
      </c>
      <c r="L975" s="350">
        <v>2271963.2735264329</v>
      </c>
      <c r="M975" s="350">
        <v>2294243.0367620713</v>
      </c>
      <c r="N975" s="350">
        <v>2314638.1870512017</v>
      </c>
      <c r="O975" s="348">
        <v>16055434.983752161</v>
      </c>
      <c r="P975" s="369"/>
      <c r="Q975" s="350">
        <f t="shared" si="381"/>
        <v>2191537.3681438975</v>
      </c>
      <c r="R975" s="350">
        <f t="shared" si="382"/>
        <v>2218611.5015550777</v>
      </c>
      <c r="S975" s="350">
        <f t="shared" si="383"/>
        <v>2243958.2339324607</v>
      </c>
      <c r="T975" s="350">
        <f t="shared" si="384"/>
        <v>2267515.5897729974</v>
      </c>
      <c r="U975" s="350">
        <f t="shared" si="385"/>
        <v>2289221.7445860691</v>
      </c>
      <c r="V975" s="350">
        <f t="shared" si="386"/>
        <v>11210844.437990503</v>
      </c>
      <c r="W975" s="365"/>
      <c r="X975" s="377">
        <f t="shared" si="364"/>
        <v>0</v>
      </c>
      <c r="Y975" s="377">
        <f t="shared" si="365"/>
        <v>0</v>
      </c>
      <c r="Z975" s="377">
        <f t="shared" si="366"/>
        <v>0</v>
      </c>
      <c r="AA975" s="377">
        <f t="shared" si="367"/>
        <v>0</v>
      </c>
      <c r="AB975" s="377">
        <f t="shared" si="368"/>
        <v>0</v>
      </c>
      <c r="AC975" s="377">
        <f t="shared" si="369"/>
        <v>0</v>
      </c>
      <c r="AD975" s="376"/>
      <c r="AE975" s="332">
        <v>960</v>
      </c>
      <c r="AF975" s="350">
        <v>9321486.9537349027</v>
      </c>
      <c r="AG975" s="350">
        <v>57578.571336375957</v>
      </c>
      <c r="AH975" s="350">
        <v>55129.46164828162</v>
      </c>
      <c r="AI975" s="350">
        <v>52614.450295500486</v>
      </c>
      <c r="AJ975" s="350">
        <v>50033.665741320554</v>
      </c>
      <c r="AK975" s="348">
        <v>9536843.102756381</v>
      </c>
      <c r="AL975" s="369"/>
      <c r="AM975" s="350">
        <v>10974729.576663217</v>
      </c>
      <c r="AN975" s="350">
        <v>1731245.263680452</v>
      </c>
      <c r="AO975" s="350">
        <v>1747917.1139756867</v>
      </c>
      <c r="AP975" s="350">
        <v>1763173.2003578474</v>
      </c>
      <c r="AQ975" s="350">
        <v>1776967.0123943894</v>
      </c>
      <c r="AR975" s="348">
        <v>17994032.167071592</v>
      </c>
      <c r="AS975" s="369"/>
      <c r="AT975" s="350">
        <f t="shared" si="387"/>
        <v>1653242.6229283139</v>
      </c>
      <c r="AU975" s="350">
        <f t="shared" si="370"/>
        <v>1673666.692344076</v>
      </c>
      <c r="AV975" s="350">
        <f t="shared" si="371"/>
        <v>1692787.6523274051</v>
      </c>
      <c r="AW975" s="350">
        <f t="shared" si="372"/>
        <v>1710558.7500623469</v>
      </c>
      <c r="AX975" s="350">
        <f t="shared" si="373"/>
        <v>1726933.3466530689</v>
      </c>
      <c r="AY975" s="350">
        <f t="shared" si="374"/>
        <v>8457189.064315211</v>
      </c>
      <c r="AZ975" s="365"/>
      <c r="BA975" s="377">
        <f t="shared" si="375"/>
        <v>0</v>
      </c>
      <c r="BB975" s="377">
        <f t="shared" si="376"/>
        <v>0</v>
      </c>
      <c r="BC975" s="377">
        <f t="shared" si="377"/>
        <v>0</v>
      </c>
      <c r="BD975" s="377">
        <f t="shared" si="378"/>
        <v>0</v>
      </c>
      <c r="BE975" s="377">
        <f t="shared" si="379"/>
        <v>0</v>
      </c>
      <c r="BF975" s="377">
        <f t="shared" si="380"/>
        <v>0</v>
      </c>
      <c r="BG975" s="328"/>
    </row>
    <row r="976" spans="2:59">
      <c r="B976" s="332">
        <v>961</v>
      </c>
      <c r="C976" s="350">
        <v>6472862.0834757518</v>
      </c>
      <c r="D976" s="350">
        <v>39982.693005282286</v>
      </c>
      <c r="E976" s="350">
        <v>38282.025577755892</v>
      </c>
      <c r="F976" s="350">
        <v>36535.595881964167</v>
      </c>
      <c r="G976" s="350">
        <v>34743.493123116277</v>
      </c>
      <c r="H976" s="348">
        <v>6622405.8910638699</v>
      </c>
      <c r="I976" s="369"/>
      <c r="J976" s="350">
        <v>8209558.5186835658</v>
      </c>
      <c r="K976" s="350">
        <v>1798134.1814852951</v>
      </c>
      <c r="L976" s="350">
        <v>1816519.6784115387</v>
      </c>
      <c r="M976" s="350">
        <v>1833441.4113060241</v>
      </c>
      <c r="N976" s="350">
        <v>1848850.4761995727</v>
      </c>
      <c r="O976" s="348">
        <v>15506504.266085995</v>
      </c>
      <c r="P976" s="369"/>
      <c r="Q976" s="350">
        <f t="shared" si="381"/>
        <v>1736696.435207814</v>
      </c>
      <c r="R976" s="350">
        <f t="shared" si="382"/>
        <v>1758151.4884800129</v>
      </c>
      <c r="S976" s="350">
        <f t="shared" si="383"/>
        <v>1778237.6528337828</v>
      </c>
      <c r="T976" s="350">
        <f t="shared" si="384"/>
        <v>1796905.81542406</v>
      </c>
      <c r="U976" s="350">
        <f t="shared" si="385"/>
        <v>1814106.9830764565</v>
      </c>
      <c r="V976" s="350">
        <f t="shared" si="386"/>
        <v>8884098.3750221245</v>
      </c>
      <c r="W976" s="365"/>
      <c r="X976" s="377">
        <f t="shared" ref="X976:X1015" si="388">IF(Q976&lt;Q$8,1,0)</f>
        <v>0</v>
      </c>
      <c r="Y976" s="377">
        <f t="shared" ref="Y976:Y1015" si="389">IF(R976&lt;R$8,1,0)</f>
        <v>0</v>
      </c>
      <c r="Z976" s="377">
        <f t="shared" ref="Z976:Z1015" si="390">IF(S976&lt;S$8,1,0)</f>
        <v>0</v>
      </c>
      <c r="AA976" s="377">
        <f t="shared" ref="AA976:AA1015" si="391">IF(T976&lt;T$8,1,0)</f>
        <v>0</v>
      </c>
      <c r="AB976" s="377">
        <f t="shared" ref="AB976:AB1015" si="392">IF(U976&lt;U$8,1,0)</f>
        <v>0</v>
      </c>
      <c r="AC976" s="377">
        <f t="shared" ref="AC976:AC1015" si="393">IF(V976&lt;V$8,1,0)</f>
        <v>0</v>
      </c>
      <c r="AD976" s="376"/>
      <c r="AE976" s="332">
        <v>961</v>
      </c>
      <c r="AF976" s="350">
        <v>7290647.3918769741</v>
      </c>
      <c r="AG976" s="350">
        <v>45034.130608673739</v>
      </c>
      <c r="AH976" s="350">
        <v>43118.599830318191</v>
      </c>
      <c r="AI976" s="350">
        <v>41151.525151062822</v>
      </c>
      <c r="AJ976" s="350">
        <v>39133.007046354367</v>
      </c>
      <c r="AK976" s="348">
        <v>7459084.6545133833</v>
      </c>
      <c r="AL976" s="369"/>
      <c r="AM976" s="350">
        <v>9425372.5364872329</v>
      </c>
      <c r="AN976" s="350">
        <v>2206131.553511559</v>
      </c>
      <c r="AO976" s="350">
        <v>2228905.6801975137</v>
      </c>
      <c r="AP976" s="350">
        <v>2249885.2732704524</v>
      </c>
      <c r="AQ976" s="350">
        <v>2269010.2114197058</v>
      </c>
      <c r="AR976" s="348">
        <v>18379305.254886467</v>
      </c>
      <c r="AS976" s="369"/>
      <c r="AT976" s="350">
        <f t="shared" si="387"/>
        <v>2134725.1446102588</v>
      </c>
      <c r="AU976" s="350">
        <f t="shared" ref="AU976:AU1015" si="394">AN976-AG976</f>
        <v>2161097.4229028854</v>
      </c>
      <c r="AV976" s="350">
        <f t="shared" ref="AV976:AV1015" si="395">AO976-AH976</f>
        <v>2185787.0803671954</v>
      </c>
      <c r="AW976" s="350">
        <f t="shared" ref="AW976:AW1015" si="396">AP976-AI976</f>
        <v>2208733.7481193896</v>
      </c>
      <c r="AX976" s="350">
        <f t="shared" ref="AX976:AX1015" si="397">AQ976-AJ976</f>
        <v>2229877.2043733513</v>
      </c>
      <c r="AY976" s="350">
        <f t="shared" ref="AY976:AY1015" si="398">AR976-AK976</f>
        <v>10920220.600373084</v>
      </c>
      <c r="AZ976" s="365"/>
      <c r="BA976" s="377">
        <f t="shared" ref="BA976:BA1015" si="399">IF(AT976&lt;AT$8,1,0)</f>
        <v>0</v>
      </c>
      <c r="BB976" s="377">
        <f t="shared" ref="BB976:BB1015" si="400">IF(AU976&lt;AU$8,1,0)</f>
        <v>0</v>
      </c>
      <c r="BC976" s="377">
        <f t="shared" ref="BC976:BC1015" si="401">IF(AV976&lt;AV$8,1,0)</f>
        <v>0</v>
      </c>
      <c r="BD976" s="377">
        <f t="shared" ref="BD976:BD1015" si="402">IF(AW976&lt;AW$8,1,0)</f>
        <v>0</v>
      </c>
      <c r="BE976" s="377">
        <f t="shared" ref="BE976:BE1015" si="403">IF(AX976&lt;AX$8,1,0)</f>
        <v>0</v>
      </c>
      <c r="BF976" s="377">
        <f t="shared" ref="BF976:BF1015" si="404">IF(AY976&lt;AY$8,1,0)</f>
        <v>0</v>
      </c>
      <c r="BG976" s="328"/>
    </row>
    <row r="977" spans="2:59">
      <c r="B977" s="332">
        <v>962</v>
      </c>
      <c r="C977" s="350">
        <v>5108254.7576461285</v>
      </c>
      <c r="D977" s="350">
        <v>31553.550675695365</v>
      </c>
      <c r="E977" s="350">
        <v>30211.417572006671</v>
      </c>
      <c r="F977" s="350">
        <v>28833.16979113999</v>
      </c>
      <c r="G977" s="350">
        <v>27418.877732073455</v>
      </c>
      <c r="H977" s="348">
        <v>5226271.7734170444</v>
      </c>
      <c r="I977" s="369"/>
      <c r="J977" s="350">
        <v>6255443.5421144404</v>
      </c>
      <c r="K977" s="350">
        <v>1192914.6429722826</v>
      </c>
      <c r="L977" s="350">
        <v>1204840.587122909</v>
      </c>
      <c r="M977" s="350">
        <v>1215793.7441379752</v>
      </c>
      <c r="N977" s="350">
        <v>1225741.8215814547</v>
      </c>
      <c r="O977" s="348">
        <v>11094734.337929063</v>
      </c>
      <c r="P977" s="369"/>
      <c r="Q977" s="350">
        <f t="shared" ref="Q977:Q1015" si="405">J977-C977</f>
        <v>1147188.7844683118</v>
      </c>
      <c r="R977" s="350">
        <f t="shared" ref="R977:R1015" si="406">K977-D977</f>
        <v>1161361.0922965873</v>
      </c>
      <c r="S977" s="350">
        <f t="shared" ref="S977:S1015" si="407">L977-E977</f>
        <v>1174629.1695509024</v>
      </c>
      <c r="T977" s="350">
        <f t="shared" ref="T977:T1015" si="408">M977-F977</f>
        <v>1186960.5743468353</v>
      </c>
      <c r="U977" s="350">
        <f t="shared" ref="U977:U1015" si="409">N977-G977</f>
        <v>1198322.9438493813</v>
      </c>
      <c r="V977" s="350">
        <f t="shared" ref="V977:V1015" si="410">O977-H977</f>
        <v>5868462.5645120181</v>
      </c>
      <c r="W977" s="365"/>
      <c r="X977" s="377">
        <f t="shared" si="388"/>
        <v>0</v>
      </c>
      <c r="Y977" s="377">
        <f t="shared" si="389"/>
        <v>0</v>
      </c>
      <c r="Z977" s="377">
        <f t="shared" si="390"/>
        <v>0</v>
      </c>
      <c r="AA977" s="377">
        <f t="shared" si="391"/>
        <v>0</v>
      </c>
      <c r="AB977" s="377">
        <f t="shared" si="392"/>
        <v>0</v>
      </c>
      <c r="AC977" s="377">
        <f t="shared" si="393"/>
        <v>0</v>
      </c>
      <c r="AD977" s="376"/>
      <c r="AE977" s="332">
        <v>962</v>
      </c>
      <c r="AF977" s="350">
        <v>4427263.1296059303</v>
      </c>
      <c r="AG977" s="350">
        <v>27347.083914630679</v>
      </c>
      <c r="AH977" s="350">
        <v>26183.873251322715</v>
      </c>
      <c r="AI977" s="350">
        <v>24989.362430467634</v>
      </c>
      <c r="AJ977" s="350">
        <v>23763.612466015642</v>
      </c>
      <c r="AK977" s="348">
        <v>4529547.0616683671</v>
      </c>
      <c r="AL977" s="369"/>
      <c r="AM977" s="350">
        <v>5935106.860959636</v>
      </c>
      <c r="AN977" s="350">
        <v>1553818.6346882991</v>
      </c>
      <c r="AO977" s="350">
        <v>1570094.7394941603</v>
      </c>
      <c r="AP977" s="350">
        <v>1585108.3991785182</v>
      </c>
      <c r="AQ977" s="350">
        <v>1598817.1376432562</v>
      </c>
      <c r="AR977" s="348">
        <v>12242945.771963868</v>
      </c>
      <c r="AS977" s="369"/>
      <c r="AT977" s="350">
        <f t="shared" ref="AT977:AT1015" si="411">AM977-AF977</f>
        <v>1507843.7313537057</v>
      </c>
      <c r="AU977" s="350">
        <f t="shared" si="394"/>
        <v>1526471.5507736686</v>
      </c>
      <c r="AV977" s="350">
        <f t="shared" si="395"/>
        <v>1543910.8662428376</v>
      </c>
      <c r="AW977" s="350">
        <f t="shared" si="396"/>
        <v>1560119.0367480505</v>
      </c>
      <c r="AX977" s="350">
        <f t="shared" si="397"/>
        <v>1575053.5251772406</v>
      </c>
      <c r="AY977" s="350">
        <f t="shared" si="398"/>
        <v>7713398.7102955012</v>
      </c>
      <c r="AZ977" s="365"/>
      <c r="BA977" s="377">
        <f t="shared" si="399"/>
        <v>0</v>
      </c>
      <c r="BB977" s="377">
        <f t="shared" si="400"/>
        <v>0</v>
      </c>
      <c r="BC977" s="377">
        <f t="shared" si="401"/>
        <v>0</v>
      </c>
      <c r="BD977" s="377">
        <f t="shared" si="402"/>
        <v>0</v>
      </c>
      <c r="BE977" s="377">
        <f t="shared" si="403"/>
        <v>0</v>
      </c>
      <c r="BF977" s="377">
        <f t="shared" si="404"/>
        <v>0</v>
      </c>
      <c r="BG977" s="328"/>
    </row>
    <row r="978" spans="2:59">
      <c r="B978" s="332">
        <v>963</v>
      </c>
      <c r="C978" s="350">
        <v>6250187.8116096305</v>
      </c>
      <c r="D978" s="350">
        <v>38607.240085480356</v>
      </c>
      <c r="E978" s="350">
        <v>36965.077671071333</v>
      </c>
      <c r="F978" s="350">
        <v>35278.727265687034</v>
      </c>
      <c r="G978" s="350">
        <v>33548.275005766605</v>
      </c>
      <c r="H978" s="348">
        <v>6394587.1316376356</v>
      </c>
      <c r="I978" s="369"/>
      <c r="J978" s="350">
        <v>8350239.6249239882</v>
      </c>
      <c r="K978" s="350">
        <v>2164602.9792441046</v>
      </c>
      <c r="L978" s="350">
        <v>2187249.4518602719</v>
      </c>
      <c r="M978" s="350">
        <v>2208137.0573312175</v>
      </c>
      <c r="N978" s="350">
        <v>2227206.6381612569</v>
      </c>
      <c r="O978" s="348">
        <v>17137435.751520839</v>
      </c>
      <c r="P978" s="369"/>
      <c r="Q978" s="350">
        <f t="shared" si="405"/>
        <v>2100051.8133143578</v>
      </c>
      <c r="R978" s="350">
        <f t="shared" si="406"/>
        <v>2125995.7391586243</v>
      </c>
      <c r="S978" s="350">
        <f t="shared" si="407"/>
        <v>2150284.3741892003</v>
      </c>
      <c r="T978" s="350">
        <f t="shared" si="408"/>
        <v>2172858.3300655303</v>
      </c>
      <c r="U978" s="350">
        <f t="shared" si="409"/>
        <v>2193658.3631554903</v>
      </c>
      <c r="V978" s="350">
        <f t="shared" si="410"/>
        <v>10742848.619883202</v>
      </c>
      <c r="W978" s="365"/>
      <c r="X978" s="377">
        <f t="shared" si="388"/>
        <v>0</v>
      </c>
      <c r="Y978" s="377">
        <f t="shared" si="389"/>
        <v>0</v>
      </c>
      <c r="Z978" s="377">
        <f t="shared" si="390"/>
        <v>0</v>
      </c>
      <c r="AA978" s="377">
        <f t="shared" si="391"/>
        <v>0</v>
      </c>
      <c r="AB978" s="377">
        <f t="shared" si="392"/>
        <v>0</v>
      </c>
      <c r="AC978" s="377">
        <f t="shared" si="393"/>
        <v>0</v>
      </c>
      <c r="AD978" s="376"/>
      <c r="AE978" s="332">
        <v>963</v>
      </c>
      <c r="AF978" s="350">
        <v>6419216.6948738163</v>
      </c>
      <c r="AG978" s="350">
        <v>39651.326899230255</v>
      </c>
      <c r="AH978" s="350">
        <v>37964.754158697178</v>
      </c>
      <c r="AI978" s="350">
        <v>36232.798415617952</v>
      </c>
      <c r="AJ978" s="350">
        <v>34455.548135882775</v>
      </c>
      <c r="AK978" s="348">
        <v>6567521.1224832451</v>
      </c>
      <c r="AL978" s="369"/>
      <c r="AM978" s="350">
        <v>7997359.2597293109</v>
      </c>
      <c r="AN978" s="350">
        <v>1637290.1791390234</v>
      </c>
      <c r="AO978" s="350">
        <v>1653855.9792880409</v>
      </c>
      <c r="AP978" s="350">
        <v>1669087.8529132383</v>
      </c>
      <c r="AQ978" s="350">
        <v>1682941.368199168</v>
      </c>
      <c r="AR978" s="348">
        <v>14640534.639268782</v>
      </c>
      <c r="AS978" s="369"/>
      <c r="AT978" s="350">
        <f t="shared" si="411"/>
        <v>1578142.5648554945</v>
      </c>
      <c r="AU978" s="350">
        <f t="shared" si="394"/>
        <v>1597638.8522397932</v>
      </c>
      <c r="AV978" s="350">
        <f t="shared" si="395"/>
        <v>1615891.2251293438</v>
      </c>
      <c r="AW978" s="350">
        <f t="shared" si="396"/>
        <v>1632855.0544976203</v>
      </c>
      <c r="AX978" s="350">
        <f t="shared" si="397"/>
        <v>1648485.8200632853</v>
      </c>
      <c r="AY978" s="350">
        <f t="shared" si="398"/>
        <v>8073013.5167855369</v>
      </c>
      <c r="AZ978" s="365"/>
      <c r="BA978" s="377">
        <f t="shared" si="399"/>
        <v>0</v>
      </c>
      <c r="BB978" s="377">
        <f t="shared" si="400"/>
        <v>0</v>
      </c>
      <c r="BC978" s="377">
        <f t="shared" si="401"/>
        <v>0</v>
      </c>
      <c r="BD978" s="377">
        <f t="shared" si="402"/>
        <v>0</v>
      </c>
      <c r="BE978" s="377">
        <f t="shared" si="403"/>
        <v>0</v>
      </c>
      <c r="BF978" s="377">
        <f t="shared" si="404"/>
        <v>0</v>
      </c>
      <c r="BG978" s="328"/>
    </row>
    <row r="979" spans="2:59">
      <c r="B979" s="332">
        <v>964</v>
      </c>
      <c r="C979" s="350">
        <v>6169620.9289449751</v>
      </c>
      <c r="D979" s="350">
        <v>38109.580642960384</v>
      </c>
      <c r="E979" s="350">
        <v>36488.586217504722</v>
      </c>
      <c r="F979" s="350">
        <v>34823.973398147857</v>
      </c>
      <c r="G979" s="350">
        <v>33115.827211001437</v>
      </c>
      <c r="H979" s="348">
        <v>6312158.8964145901</v>
      </c>
      <c r="I979" s="369"/>
      <c r="J979" s="350">
        <v>8350010.1274703462</v>
      </c>
      <c r="K979" s="350">
        <v>2245435.1886985828</v>
      </c>
      <c r="L979" s="350">
        <v>2269031.989915994</v>
      </c>
      <c r="M979" s="350">
        <v>2290804.8986133351</v>
      </c>
      <c r="N979" s="350">
        <v>2310692.4898221809</v>
      </c>
      <c r="O979" s="348">
        <v>17465974.69452044</v>
      </c>
      <c r="P979" s="369"/>
      <c r="Q979" s="350">
        <f t="shared" si="405"/>
        <v>2180389.198525371</v>
      </c>
      <c r="R979" s="350">
        <f t="shared" si="406"/>
        <v>2207325.6080556223</v>
      </c>
      <c r="S979" s="350">
        <f t="shared" si="407"/>
        <v>2232543.4036984891</v>
      </c>
      <c r="T979" s="350">
        <f t="shared" si="408"/>
        <v>2255980.925215187</v>
      </c>
      <c r="U979" s="350">
        <f t="shared" si="409"/>
        <v>2277576.6626111795</v>
      </c>
      <c r="V979" s="350">
        <f t="shared" si="410"/>
        <v>11153815.798105851</v>
      </c>
      <c r="W979" s="365"/>
      <c r="X979" s="377">
        <f t="shared" si="388"/>
        <v>0</v>
      </c>
      <c r="Y979" s="377">
        <f t="shared" si="389"/>
        <v>0</v>
      </c>
      <c r="Z979" s="377">
        <f t="shared" si="390"/>
        <v>0</v>
      </c>
      <c r="AA979" s="377">
        <f t="shared" si="391"/>
        <v>0</v>
      </c>
      <c r="AB979" s="377">
        <f t="shared" si="392"/>
        <v>0</v>
      </c>
      <c r="AC979" s="377">
        <f t="shared" si="393"/>
        <v>0</v>
      </c>
      <c r="AD979" s="376"/>
      <c r="AE979" s="332">
        <v>964</v>
      </c>
      <c r="AF979" s="350">
        <v>5136587.2156826304</v>
      </c>
      <c r="AG979" s="350">
        <v>31728.559498246352</v>
      </c>
      <c r="AH979" s="350">
        <v>30378.982378616354</v>
      </c>
      <c r="AI979" s="350">
        <v>28993.090275125167</v>
      </c>
      <c r="AJ979" s="350">
        <v>27570.953977212794</v>
      </c>
      <c r="AK979" s="348">
        <v>5255258.801811832</v>
      </c>
      <c r="AL979" s="369"/>
      <c r="AM979" s="350">
        <v>7077024.3187982691</v>
      </c>
      <c r="AN979" s="350">
        <v>1996137.7170125078</v>
      </c>
      <c r="AO979" s="350">
        <v>2017230.7140705967</v>
      </c>
      <c r="AP979" s="350">
        <v>2036703.0414018896</v>
      </c>
      <c r="AQ979" s="350">
        <v>2054500.0289836363</v>
      </c>
      <c r="AR979" s="348">
        <v>15181595.820266897</v>
      </c>
      <c r="AS979" s="369"/>
      <c r="AT979" s="350">
        <f t="shared" si="411"/>
        <v>1940437.1031156387</v>
      </c>
      <c r="AU979" s="350">
        <f t="shared" si="394"/>
        <v>1964409.1575142615</v>
      </c>
      <c r="AV979" s="350">
        <f t="shared" si="395"/>
        <v>1986851.7316919803</v>
      </c>
      <c r="AW979" s="350">
        <f t="shared" si="396"/>
        <v>2007709.9511267645</v>
      </c>
      <c r="AX979" s="350">
        <f t="shared" si="397"/>
        <v>2026929.0750064235</v>
      </c>
      <c r="AY979" s="350">
        <f t="shared" si="398"/>
        <v>9926337.0184550658</v>
      </c>
      <c r="AZ979" s="365"/>
      <c r="BA979" s="377">
        <f t="shared" si="399"/>
        <v>0</v>
      </c>
      <c r="BB979" s="377">
        <f t="shared" si="400"/>
        <v>0</v>
      </c>
      <c r="BC979" s="377">
        <f t="shared" si="401"/>
        <v>0</v>
      </c>
      <c r="BD979" s="377">
        <f t="shared" si="402"/>
        <v>0</v>
      </c>
      <c r="BE979" s="377">
        <f t="shared" si="403"/>
        <v>0</v>
      </c>
      <c r="BF979" s="377">
        <f t="shared" si="404"/>
        <v>0</v>
      </c>
      <c r="BG979" s="328"/>
    </row>
    <row r="980" spans="2:59">
      <c r="B980" s="332">
        <v>965</v>
      </c>
      <c r="C980" s="350">
        <v>5526585.9567134464</v>
      </c>
      <c r="D980" s="350">
        <v>34137.571112271798</v>
      </c>
      <c r="E980" s="350">
        <v>32685.526467907152</v>
      </c>
      <c r="F980" s="350">
        <v>31194.409600800635</v>
      </c>
      <c r="G980" s="350">
        <v>29664.296675122045</v>
      </c>
      <c r="H980" s="348">
        <v>5654267.7605695482</v>
      </c>
      <c r="I980" s="369"/>
      <c r="J980" s="350">
        <v>7268647.2589389309</v>
      </c>
      <c r="K980" s="350">
        <v>1797720.2038852044</v>
      </c>
      <c r="L980" s="350">
        <v>1816416.3722051026</v>
      </c>
      <c r="M980" s="350">
        <v>1833651.086158447</v>
      </c>
      <c r="N980" s="350">
        <v>1849375.277389118</v>
      </c>
      <c r="O980" s="348">
        <v>14565810.198576804</v>
      </c>
      <c r="P980" s="369"/>
      <c r="Q980" s="350">
        <f t="shared" si="405"/>
        <v>1742061.3022254845</v>
      </c>
      <c r="R980" s="350">
        <f t="shared" si="406"/>
        <v>1763582.6327729325</v>
      </c>
      <c r="S980" s="350">
        <f t="shared" si="407"/>
        <v>1783730.8457371953</v>
      </c>
      <c r="T980" s="350">
        <f t="shared" si="408"/>
        <v>1802456.6765576464</v>
      </c>
      <c r="U980" s="350">
        <f t="shared" si="409"/>
        <v>1819710.9807139959</v>
      </c>
      <c r="V980" s="350">
        <f t="shared" si="410"/>
        <v>8911542.438007256</v>
      </c>
      <c r="W980" s="365"/>
      <c r="X980" s="377">
        <f t="shared" si="388"/>
        <v>0</v>
      </c>
      <c r="Y980" s="377">
        <f t="shared" si="389"/>
        <v>0</v>
      </c>
      <c r="Z980" s="377">
        <f t="shared" si="390"/>
        <v>0</v>
      </c>
      <c r="AA980" s="377">
        <f t="shared" si="391"/>
        <v>0</v>
      </c>
      <c r="AB980" s="377">
        <f t="shared" si="392"/>
        <v>0</v>
      </c>
      <c r="AC980" s="377">
        <f t="shared" si="393"/>
        <v>0</v>
      </c>
      <c r="AD980" s="376"/>
      <c r="AE980" s="332">
        <v>965</v>
      </c>
      <c r="AF980" s="350">
        <v>6556733.2487990744</v>
      </c>
      <c r="AG980" s="350">
        <v>40500.762911898237</v>
      </c>
      <c r="AH980" s="350">
        <v>38778.059334497069</v>
      </c>
      <c r="AI980" s="350">
        <v>37009.000530925507</v>
      </c>
      <c r="AJ980" s="350">
        <v>35193.676862249791</v>
      </c>
      <c r="AK980" s="348">
        <v>6708214.7484386452</v>
      </c>
      <c r="AL980" s="369"/>
      <c r="AM980" s="350">
        <v>8818888.4043272529</v>
      </c>
      <c r="AN980" s="350">
        <v>2330602.460154505</v>
      </c>
      <c r="AO980" s="350">
        <v>2355043.2353097741</v>
      </c>
      <c r="AP980" s="350">
        <v>2377590.6197208627</v>
      </c>
      <c r="AQ980" s="350">
        <v>2398180.8870910835</v>
      </c>
      <c r="AR980" s="348">
        <v>18280305.606603481</v>
      </c>
      <c r="AS980" s="369"/>
      <c r="AT980" s="350">
        <f t="shared" si="411"/>
        <v>2262155.1555281784</v>
      </c>
      <c r="AU980" s="350">
        <f t="shared" si="394"/>
        <v>2290101.6972426069</v>
      </c>
      <c r="AV980" s="350">
        <f t="shared" si="395"/>
        <v>2316265.1759752771</v>
      </c>
      <c r="AW980" s="350">
        <f t="shared" si="396"/>
        <v>2340581.6191899371</v>
      </c>
      <c r="AX980" s="350">
        <f t="shared" si="397"/>
        <v>2362987.2102288338</v>
      </c>
      <c r="AY980" s="350">
        <f t="shared" si="398"/>
        <v>11572090.858164836</v>
      </c>
      <c r="AZ980" s="365"/>
      <c r="BA980" s="377">
        <f t="shared" si="399"/>
        <v>0</v>
      </c>
      <c r="BB980" s="377">
        <f t="shared" si="400"/>
        <v>0</v>
      </c>
      <c r="BC980" s="377">
        <f t="shared" si="401"/>
        <v>0</v>
      </c>
      <c r="BD980" s="377">
        <f t="shared" si="402"/>
        <v>0</v>
      </c>
      <c r="BE980" s="377">
        <f t="shared" si="403"/>
        <v>0</v>
      </c>
      <c r="BF980" s="377">
        <f t="shared" si="404"/>
        <v>0</v>
      </c>
      <c r="BG980" s="328"/>
    </row>
    <row r="981" spans="2:59">
      <c r="B981" s="332">
        <v>966</v>
      </c>
      <c r="C981" s="350">
        <v>6105250.8084273022</v>
      </c>
      <c r="D981" s="350">
        <v>37711.96815961333</v>
      </c>
      <c r="E981" s="350">
        <v>36107.886216743966</v>
      </c>
      <c r="F981" s="350">
        <v>34460.640968107939</v>
      </c>
      <c r="G981" s="350">
        <v>32770.316552703021</v>
      </c>
      <c r="H981" s="348">
        <v>6246301.6203244701</v>
      </c>
      <c r="I981" s="369"/>
      <c r="J981" s="350">
        <v>8651533.369481137</v>
      </c>
      <c r="K981" s="350">
        <v>2615451.165437236</v>
      </c>
      <c r="L981" s="350">
        <v>2643296.7034599548</v>
      </c>
      <c r="M981" s="350">
        <v>2669020.0544115994</v>
      </c>
      <c r="N981" s="350">
        <v>2692549.4703809451</v>
      </c>
      <c r="O981" s="348">
        <v>19271850.763170872</v>
      </c>
      <c r="P981" s="369"/>
      <c r="Q981" s="350">
        <f t="shared" si="405"/>
        <v>2546282.5610538349</v>
      </c>
      <c r="R981" s="350">
        <f t="shared" si="406"/>
        <v>2577739.1972776228</v>
      </c>
      <c r="S981" s="350">
        <f t="shared" si="407"/>
        <v>2607188.817243211</v>
      </c>
      <c r="T981" s="350">
        <f t="shared" si="408"/>
        <v>2634559.4134434913</v>
      </c>
      <c r="U981" s="350">
        <f t="shared" si="409"/>
        <v>2659779.1538282423</v>
      </c>
      <c r="V981" s="350">
        <f t="shared" si="410"/>
        <v>13025549.142846402</v>
      </c>
      <c r="W981" s="365"/>
      <c r="X981" s="377">
        <f t="shared" si="388"/>
        <v>0</v>
      </c>
      <c r="Y981" s="377">
        <f t="shared" si="389"/>
        <v>0</v>
      </c>
      <c r="Z981" s="377">
        <f t="shared" si="390"/>
        <v>0</v>
      </c>
      <c r="AA981" s="377">
        <f t="shared" si="391"/>
        <v>0</v>
      </c>
      <c r="AB981" s="377">
        <f t="shared" si="392"/>
        <v>0</v>
      </c>
      <c r="AC981" s="377">
        <f t="shared" si="393"/>
        <v>0</v>
      </c>
      <c r="AD981" s="376"/>
      <c r="AE981" s="332">
        <v>966</v>
      </c>
      <c r="AF981" s="350">
        <v>5777205.6439802609</v>
      </c>
      <c r="AG981" s="350">
        <v>35685.642102792015</v>
      </c>
      <c r="AH981" s="350">
        <v>34167.750120212811</v>
      </c>
      <c r="AI981" s="350">
        <v>32609.014067256696</v>
      </c>
      <c r="AJ981" s="350">
        <v>31009.513561991836</v>
      </c>
      <c r="AK981" s="348">
        <v>5910677.5638325149</v>
      </c>
      <c r="AL981" s="369"/>
      <c r="AM981" s="350">
        <v>8217839.9247929351</v>
      </c>
      <c r="AN981" s="350">
        <v>2506471.3860331532</v>
      </c>
      <c r="AO981" s="350">
        <v>2533181.2143924893</v>
      </c>
      <c r="AP981" s="350">
        <v>2557857.4360753493</v>
      </c>
      <c r="AQ981" s="350">
        <v>2580431.2790464368</v>
      </c>
      <c r="AR981" s="348">
        <v>18395781.240340367</v>
      </c>
      <c r="AS981" s="369"/>
      <c r="AT981" s="350">
        <f t="shared" si="411"/>
        <v>2440634.2808126742</v>
      </c>
      <c r="AU981" s="350">
        <f t="shared" si="394"/>
        <v>2470785.7439303612</v>
      </c>
      <c r="AV981" s="350">
        <f t="shared" si="395"/>
        <v>2499013.4642722765</v>
      </c>
      <c r="AW981" s="350">
        <f t="shared" si="396"/>
        <v>2525248.4220080925</v>
      </c>
      <c r="AX981" s="350">
        <f t="shared" si="397"/>
        <v>2549421.7654844448</v>
      </c>
      <c r="AY981" s="350">
        <f t="shared" si="398"/>
        <v>12485103.676507853</v>
      </c>
      <c r="AZ981" s="365"/>
      <c r="BA981" s="377">
        <f t="shared" si="399"/>
        <v>0</v>
      </c>
      <c r="BB981" s="377">
        <f t="shared" si="400"/>
        <v>0</v>
      </c>
      <c r="BC981" s="377">
        <f t="shared" si="401"/>
        <v>0</v>
      </c>
      <c r="BD981" s="377">
        <f t="shared" si="402"/>
        <v>0</v>
      </c>
      <c r="BE981" s="377">
        <f t="shared" si="403"/>
        <v>0</v>
      </c>
      <c r="BF981" s="377">
        <f t="shared" si="404"/>
        <v>0</v>
      </c>
      <c r="BG981" s="328"/>
    </row>
    <row r="982" spans="2:59">
      <c r="B982" s="332">
        <v>967</v>
      </c>
      <c r="C982" s="350">
        <v>5179116.7473425651</v>
      </c>
      <c r="D982" s="350">
        <v>31991.2632583587</v>
      </c>
      <c r="E982" s="350">
        <v>30630.512010767074</v>
      </c>
      <c r="F982" s="350">
        <v>29233.145101219903</v>
      </c>
      <c r="G982" s="350">
        <v>27799.233905270321</v>
      </c>
      <c r="H982" s="348">
        <v>5298770.9016181817</v>
      </c>
      <c r="I982" s="369"/>
      <c r="J982" s="350">
        <v>7497690.6834031064</v>
      </c>
      <c r="K982" s="350">
        <v>2379208.7355784532</v>
      </c>
      <c r="L982" s="350">
        <v>2404663.9875205639</v>
      </c>
      <c r="M982" s="350">
        <v>2428189.5227017235</v>
      </c>
      <c r="N982" s="350">
        <v>2449720.0042344714</v>
      </c>
      <c r="O982" s="348">
        <v>17159472.93343832</v>
      </c>
      <c r="P982" s="369"/>
      <c r="Q982" s="350">
        <f t="shared" si="405"/>
        <v>2318573.9360605413</v>
      </c>
      <c r="R982" s="350">
        <f t="shared" si="406"/>
        <v>2347217.4723200942</v>
      </c>
      <c r="S982" s="350">
        <f t="shared" si="407"/>
        <v>2374033.4755097968</v>
      </c>
      <c r="T982" s="350">
        <f t="shared" si="408"/>
        <v>2398956.3776005036</v>
      </c>
      <c r="U982" s="350">
        <f t="shared" si="409"/>
        <v>2421920.7703292011</v>
      </c>
      <c r="V982" s="350">
        <f t="shared" si="410"/>
        <v>11860702.031820137</v>
      </c>
      <c r="W982" s="365"/>
      <c r="X982" s="377">
        <f t="shared" si="388"/>
        <v>0</v>
      </c>
      <c r="Y982" s="377">
        <f t="shared" si="389"/>
        <v>0</v>
      </c>
      <c r="Z982" s="377">
        <f t="shared" si="390"/>
        <v>0</v>
      </c>
      <c r="AA982" s="377">
        <f t="shared" si="391"/>
        <v>0</v>
      </c>
      <c r="AB982" s="377">
        <f t="shared" si="392"/>
        <v>0</v>
      </c>
      <c r="AC982" s="377">
        <f t="shared" si="393"/>
        <v>0</v>
      </c>
      <c r="AD982" s="376"/>
      <c r="AE982" s="332">
        <v>967</v>
      </c>
      <c r="AF982" s="350">
        <v>6489830.4092438417</v>
      </c>
      <c r="AG982" s="350">
        <v>40087.505891954643</v>
      </c>
      <c r="AH982" s="350">
        <v>38382.380238906611</v>
      </c>
      <c r="AI982" s="350">
        <v>36631.372353803752</v>
      </c>
      <c r="AJ982" s="350">
        <v>34834.571675697785</v>
      </c>
      <c r="AK982" s="348">
        <v>6639766.2394042034</v>
      </c>
      <c r="AL982" s="369"/>
      <c r="AM982" s="350">
        <v>8376444.1723902542</v>
      </c>
      <c r="AN982" s="350">
        <v>1950008.3928233716</v>
      </c>
      <c r="AO982" s="350">
        <v>1970123.3350592251</v>
      </c>
      <c r="AP982" s="350">
        <v>1988651.9867401037</v>
      </c>
      <c r="AQ982" s="350">
        <v>2005541.2148793007</v>
      </c>
      <c r="AR982" s="348">
        <v>16290769.101892255</v>
      </c>
      <c r="AS982" s="369"/>
      <c r="AT982" s="350">
        <f t="shared" si="411"/>
        <v>1886613.7631464126</v>
      </c>
      <c r="AU982" s="350">
        <f t="shared" si="394"/>
        <v>1909920.886931417</v>
      </c>
      <c r="AV982" s="350">
        <f t="shared" si="395"/>
        <v>1931740.9548203184</v>
      </c>
      <c r="AW982" s="350">
        <f t="shared" si="396"/>
        <v>1952020.6143862999</v>
      </c>
      <c r="AX982" s="350">
        <f t="shared" si="397"/>
        <v>1970706.6432036029</v>
      </c>
      <c r="AY982" s="350">
        <f t="shared" si="398"/>
        <v>9651002.8624880519</v>
      </c>
      <c r="AZ982" s="365"/>
      <c r="BA982" s="377">
        <f t="shared" si="399"/>
        <v>0</v>
      </c>
      <c r="BB982" s="377">
        <f t="shared" si="400"/>
        <v>0</v>
      </c>
      <c r="BC982" s="377">
        <f t="shared" si="401"/>
        <v>0</v>
      </c>
      <c r="BD982" s="377">
        <f t="shared" si="402"/>
        <v>0</v>
      </c>
      <c r="BE982" s="377">
        <f t="shared" si="403"/>
        <v>0</v>
      </c>
      <c r="BF982" s="377">
        <f t="shared" si="404"/>
        <v>0</v>
      </c>
      <c r="BG982" s="328"/>
    </row>
    <row r="983" spans="2:59">
      <c r="B983" s="332">
        <v>968</v>
      </c>
      <c r="C983" s="350">
        <v>4422046.2559086513</v>
      </c>
      <c r="D983" s="350">
        <v>27314.85942771882</v>
      </c>
      <c r="E983" s="350">
        <v>26153.019435848935</v>
      </c>
      <c r="F983" s="350">
        <v>24959.916169027852</v>
      </c>
      <c r="G983" s="350">
        <v>23735.610569313405</v>
      </c>
      <c r="H983" s="348">
        <v>4524209.6615105597</v>
      </c>
      <c r="I983" s="369"/>
      <c r="J983" s="350">
        <v>6846015.9548840672</v>
      </c>
      <c r="K983" s="350">
        <v>2481230.1481834748</v>
      </c>
      <c r="L983" s="350">
        <v>2508103.2904574336</v>
      </c>
      <c r="M983" s="350">
        <v>2532966.013377049</v>
      </c>
      <c r="N983" s="350">
        <v>2555749.9963481626</v>
      </c>
      <c r="O983" s="348">
        <v>16924065.403250184</v>
      </c>
      <c r="P983" s="369"/>
      <c r="Q983" s="350">
        <f t="shared" si="405"/>
        <v>2423969.6989754159</v>
      </c>
      <c r="R983" s="350">
        <f t="shared" si="406"/>
        <v>2453915.2887557559</v>
      </c>
      <c r="S983" s="350">
        <f t="shared" si="407"/>
        <v>2481950.2710215845</v>
      </c>
      <c r="T983" s="350">
        <f t="shared" si="408"/>
        <v>2508006.0972080212</v>
      </c>
      <c r="U983" s="350">
        <f t="shared" si="409"/>
        <v>2532014.385778849</v>
      </c>
      <c r="V983" s="350">
        <f t="shared" si="410"/>
        <v>12399855.741739623</v>
      </c>
      <c r="W983" s="365"/>
      <c r="X983" s="377">
        <f t="shared" si="388"/>
        <v>0</v>
      </c>
      <c r="Y983" s="377">
        <f t="shared" si="389"/>
        <v>0</v>
      </c>
      <c r="Z983" s="377">
        <f t="shared" si="390"/>
        <v>0</v>
      </c>
      <c r="AA983" s="377">
        <f t="shared" si="391"/>
        <v>0</v>
      </c>
      <c r="AB983" s="377">
        <f t="shared" si="392"/>
        <v>0</v>
      </c>
      <c r="AC983" s="377">
        <f t="shared" si="393"/>
        <v>0</v>
      </c>
      <c r="AD983" s="376"/>
      <c r="AE983" s="332">
        <v>968</v>
      </c>
      <c r="AF983" s="350">
        <v>5619464.2193530947</v>
      </c>
      <c r="AG983" s="350">
        <v>34711.27761398533</v>
      </c>
      <c r="AH983" s="350">
        <v>33234.830312194877</v>
      </c>
      <c r="AI983" s="350">
        <v>31718.654150776583</v>
      </c>
      <c r="AJ983" s="350">
        <v>30162.826573904684</v>
      </c>
      <c r="AK983" s="348">
        <v>5749291.8080039565</v>
      </c>
      <c r="AL983" s="369"/>
      <c r="AM983" s="350">
        <v>7898377.6062923651</v>
      </c>
      <c r="AN983" s="350">
        <v>2341778.2365467716</v>
      </c>
      <c r="AO983" s="350">
        <v>2366659.0891795522</v>
      </c>
      <c r="AP983" s="350">
        <v>2389639.4944436881</v>
      </c>
      <c r="AQ983" s="350">
        <v>2410655.2403665548</v>
      </c>
      <c r="AR983" s="348">
        <v>17407109.666828934</v>
      </c>
      <c r="AS983" s="369"/>
      <c r="AT983" s="350">
        <f t="shared" si="411"/>
        <v>2278913.3869392704</v>
      </c>
      <c r="AU983" s="350">
        <f t="shared" si="394"/>
        <v>2307066.9589327862</v>
      </c>
      <c r="AV983" s="350">
        <f t="shared" si="395"/>
        <v>2333424.2588673574</v>
      </c>
      <c r="AW983" s="350">
        <f t="shared" si="396"/>
        <v>2357920.8402929115</v>
      </c>
      <c r="AX983" s="350">
        <f t="shared" si="397"/>
        <v>2380492.4137926502</v>
      </c>
      <c r="AY983" s="350">
        <f t="shared" si="398"/>
        <v>11657817.858824978</v>
      </c>
      <c r="AZ983" s="365"/>
      <c r="BA983" s="377">
        <f t="shared" si="399"/>
        <v>0</v>
      </c>
      <c r="BB983" s="377">
        <f t="shared" si="400"/>
        <v>0</v>
      </c>
      <c r="BC983" s="377">
        <f t="shared" si="401"/>
        <v>0</v>
      </c>
      <c r="BD983" s="377">
        <f t="shared" si="402"/>
        <v>0</v>
      </c>
      <c r="BE983" s="377">
        <f t="shared" si="403"/>
        <v>0</v>
      </c>
      <c r="BF983" s="377">
        <f t="shared" si="404"/>
        <v>0</v>
      </c>
      <c r="BG983" s="328"/>
    </row>
    <row r="984" spans="2:59">
      <c r="B984" s="332">
        <v>969</v>
      </c>
      <c r="C984" s="350">
        <v>6584497.0622964026</v>
      </c>
      <c r="D984" s="350">
        <v>40672.259232597709</v>
      </c>
      <c r="E984" s="350">
        <v>38942.261043840779</v>
      </c>
      <c r="F984" s="350">
        <v>37165.711342464805</v>
      </c>
      <c r="G984" s="350">
        <v>35342.700872165173</v>
      </c>
      <c r="H984" s="348">
        <v>6736619.9947874714</v>
      </c>
      <c r="I984" s="369"/>
      <c r="J984" s="350">
        <v>8055563.4975842182</v>
      </c>
      <c r="K984" s="350">
        <v>1529912.1692257179</v>
      </c>
      <c r="L984" s="350">
        <v>1545196.1301811633</v>
      </c>
      <c r="M984" s="350">
        <v>1559232.4230919541</v>
      </c>
      <c r="N984" s="350">
        <v>1571979.6390977444</v>
      </c>
      <c r="O984" s="348">
        <v>14261883.859180797</v>
      </c>
      <c r="P984" s="369"/>
      <c r="Q984" s="350">
        <f t="shared" si="405"/>
        <v>1471066.4352878155</v>
      </c>
      <c r="R984" s="350">
        <f t="shared" si="406"/>
        <v>1489239.9099931202</v>
      </c>
      <c r="S984" s="350">
        <f t="shared" si="407"/>
        <v>1506253.8691373225</v>
      </c>
      <c r="T984" s="350">
        <f t="shared" si="408"/>
        <v>1522066.7117494892</v>
      </c>
      <c r="U984" s="350">
        <f t="shared" si="409"/>
        <v>1536636.9382255792</v>
      </c>
      <c r="V984" s="350">
        <f t="shared" si="410"/>
        <v>7525263.8643933255</v>
      </c>
      <c r="W984" s="365"/>
      <c r="X984" s="377">
        <f t="shared" si="388"/>
        <v>0</v>
      </c>
      <c r="Y984" s="377">
        <f t="shared" si="389"/>
        <v>0</v>
      </c>
      <c r="Z984" s="377">
        <f t="shared" si="390"/>
        <v>0</v>
      </c>
      <c r="AA984" s="377">
        <f t="shared" si="391"/>
        <v>0</v>
      </c>
      <c r="AB984" s="377">
        <f t="shared" si="392"/>
        <v>0</v>
      </c>
      <c r="AC984" s="377">
        <f t="shared" si="393"/>
        <v>0</v>
      </c>
      <c r="AD984" s="376"/>
      <c r="AE984" s="332">
        <v>969</v>
      </c>
      <c r="AF984" s="350">
        <v>8514354.2308841962</v>
      </c>
      <c r="AG984" s="350">
        <v>52592.934464143902</v>
      </c>
      <c r="AH984" s="350">
        <v>50355.889286882302</v>
      </c>
      <c r="AI984" s="350">
        <v>48058.648765222657</v>
      </c>
      <c r="AJ984" s="350">
        <v>45701.330239008865</v>
      </c>
      <c r="AK984" s="348">
        <v>8711063.0336394552</v>
      </c>
      <c r="AL984" s="369"/>
      <c r="AM984" s="350">
        <v>10804321.920464786</v>
      </c>
      <c r="AN984" s="350">
        <v>2370850.7602916509</v>
      </c>
      <c r="AO984" s="350">
        <v>2395098.8661432341</v>
      </c>
      <c r="AP984" s="350">
        <v>2417417.0323725305</v>
      </c>
      <c r="AQ984" s="350">
        <v>2437740.775054534</v>
      </c>
      <c r="AR984" s="348">
        <v>20425429.354326736</v>
      </c>
      <c r="AS984" s="369"/>
      <c r="AT984" s="350">
        <f t="shared" si="411"/>
        <v>2289967.6895805895</v>
      </c>
      <c r="AU984" s="350">
        <f t="shared" si="394"/>
        <v>2318257.8258275068</v>
      </c>
      <c r="AV984" s="350">
        <f t="shared" si="395"/>
        <v>2344742.9768563518</v>
      </c>
      <c r="AW984" s="350">
        <f t="shared" si="396"/>
        <v>2369358.3836073079</v>
      </c>
      <c r="AX984" s="350">
        <f t="shared" si="397"/>
        <v>2392039.4448155253</v>
      </c>
      <c r="AY984" s="350">
        <f t="shared" si="398"/>
        <v>11714366.320687281</v>
      </c>
      <c r="AZ984" s="365"/>
      <c r="BA984" s="377">
        <f t="shared" si="399"/>
        <v>0</v>
      </c>
      <c r="BB984" s="377">
        <f t="shared" si="400"/>
        <v>0</v>
      </c>
      <c r="BC984" s="377">
        <f t="shared" si="401"/>
        <v>0</v>
      </c>
      <c r="BD984" s="377">
        <f t="shared" si="402"/>
        <v>0</v>
      </c>
      <c r="BE984" s="377">
        <f t="shared" si="403"/>
        <v>0</v>
      </c>
      <c r="BF984" s="377">
        <f t="shared" si="404"/>
        <v>0</v>
      </c>
      <c r="BG984" s="328"/>
    </row>
    <row r="985" spans="2:59">
      <c r="B985" s="332">
        <v>970</v>
      </c>
      <c r="C985" s="350">
        <v>5599713.7034340389</v>
      </c>
      <c r="D985" s="350">
        <v>34589.279214435526</v>
      </c>
      <c r="E985" s="350">
        <v>33118.021125495601</v>
      </c>
      <c r="F985" s="350">
        <v>31607.17381043081</v>
      </c>
      <c r="G985" s="350">
        <v>30056.814441225801</v>
      </c>
      <c r="H985" s="348">
        <v>5729084.9920256259</v>
      </c>
      <c r="I985" s="369"/>
      <c r="J985" s="350">
        <v>7480724.7959280107</v>
      </c>
      <c r="K985" s="350">
        <v>1938838.2804049987</v>
      </c>
      <c r="L985" s="350">
        <v>1959122.2912215176</v>
      </c>
      <c r="M985" s="350">
        <v>1977830.8790344985</v>
      </c>
      <c r="N985" s="350">
        <v>1994911.0566446208</v>
      </c>
      <c r="O985" s="348">
        <v>15351427.303233646</v>
      </c>
      <c r="P985" s="369"/>
      <c r="Q985" s="350">
        <f t="shared" si="405"/>
        <v>1881011.0924939718</v>
      </c>
      <c r="R985" s="350">
        <f t="shared" si="406"/>
        <v>1904249.0011905632</v>
      </c>
      <c r="S985" s="350">
        <f t="shared" si="407"/>
        <v>1926004.2700960219</v>
      </c>
      <c r="T985" s="350">
        <f t="shared" si="408"/>
        <v>1946223.7052240677</v>
      </c>
      <c r="U985" s="350">
        <f t="shared" si="409"/>
        <v>1964854.2422033951</v>
      </c>
      <c r="V985" s="350">
        <f t="shared" si="410"/>
        <v>9622342.3112080209</v>
      </c>
      <c r="W985" s="365"/>
      <c r="X985" s="377">
        <f t="shared" si="388"/>
        <v>0</v>
      </c>
      <c r="Y985" s="377">
        <f t="shared" si="389"/>
        <v>0</v>
      </c>
      <c r="Z985" s="377">
        <f t="shared" si="390"/>
        <v>0</v>
      </c>
      <c r="AA985" s="377">
        <f t="shared" si="391"/>
        <v>0</v>
      </c>
      <c r="AB985" s="377">
        <f t="shared" si="392"/>
        <v>0</v>
      </c>
      <c r="AC985" s="377">
        <f t="shared" si="393"/>
        <v>0</v>
      </c>
      <c r="AD985" s="376"/>
      <c r="AE985" s="332">
        <v>970</v>
      </c>
      <c r="AF985" s="350">
        <v>5655268.004695381</v>
      </c>
      <c r="AG985" s="350">
        <v>34932.436622056128</v>
      </c>
      <c r="AH985" s="350">
        <v>33446.582302052928</v>
      </c>
      <c r="AI985" s="350">
        <v>31920.745994452856</v>
      </c>
      <c r="AJ985" s="350">
        <v>30355.005636857943</v>
      </c>
      <c r="AK985" s="348">
        <v>5785922.7752508009</v>
      </c>
      <c r="AL985" s="369"/>
      <c r="AM985" s="350">
        <v>7657843.5763167571</v>
      </c>
      <c r="AN985" s="350">
        <v>2062247.7179012084</v>
      </c>
      <c r="AO985" s="350">
        <v>2083923.1145902919</v>
      </c>
      <c r="AP985" s="350">
        <v>2103923.4388784375</v>
      </c>
      <c r="AQ985" s="350">
        <v>2122192.2749302369</v>
      </c>
      <c r="AR985" s="348">
        <v>16030130.122616932</v>
      </c>
      <c r="AS985" s="369"/>
      <c r="AT985" s="350">
        <f t="shared" si="411"/>
        <v>2002575.5716213761</v>
      </c>
      <c r="AU985" s="350">
        <f t="shared" si="394"/>
        <v>2027315.2812791523</v>
      </c>
      <c r="AV985" s="350">
        <f t="shared" si="395"/>
        <v>2050476.5322882389</v>
      </c>
      <c r="AW985" s="350">
        <f t="shared" si="396"/>
        <v>2072002.6928839847</v>
      </c>
      <c r="AX985" s="350">
        <f t="shared" si="397"/>
        <v>2091837.2692933788</v>
      </c>
      <c r="AY985" s="350">
        <f t="shared" si="398"/>
        <v>10244207.347366132</v>
      </c>
      <c r="AZ985" s="365"/>
      <c r="BA985" s="377">
        <f t="shared" si="399"/>
        <v>0</v>
      </c>
      <c r="BB985" s="377">
        <f t="shared" si="400"/>
        <v>0</v>
      </c>
      <c r="BC985" s="377">
        <f t="shared" si="401"/>
        <v>0</v>
      </c>
      <c r="BD985" s="377">
        <f t="shared" si="402"/>
        <v>0</v>
      </c>
      <c r="BE985" s="377">
        <f t="shared" si="403"/>
        <v>0</v>
      </c>
      <c r="BF985" s="377">
        <f t="shared" si="404"/>
        <v>0</v>
      </c>
      <c r="BG985" s="328"/>
    </row>
    <row r="986" spans="2:59">
      <c r="B986" s="332">
        <v>971</v>
      </c>
      <c r="C986" s="350">
        <v>6076130.5542334318</v>
      </c>
      <c r="D986" s="350">
        <v>37532.093141627796</v>
      </c>
      <c r="E986" s="350">
        <v>35935.66219876027</v>
      </c>
      <c r="F986" s="350">
        <v>34296.273826419689</v>
      </c>
      <c r="G986" s="350">
        <v>32614.011762290491</v>
      </c>
      <c r="H986" s="348">
        <v>6216508.5951625295</v>
      </c>
      <c r="I986" s="369"/>
      <c r="J986" s="350">
        <v>8082576.5057347864</v>
      </c>
      <c r="K986" s="350">
        <v>2068765.5687632211</v>
      </c>
      <c r="L986" s="350">
        <v>2090375.1526032374</v>
      </c>
      <c r="M986" s="350">
        <v>2110303.528459508</v>
      </c>
      <c r="N986" s="350">
        <v>2128494.1771111288</v>
      </c>
      <c r="O986" s="348">
        <v>16480514.93267188</v>
      </c>
      <c r="P986" s="369"/>
      <c r="Q986" s="350">
        <f t="shared" si="405"/>
        <v>2006445.9515013546</v>
      </c>
      <c r="R986" s="350">
        <f t="shared" si="406"/>
        <v>2031233.4756215934</v>
      </c>
      <c r="S986" s="350">
        <f t="shared" si="407"/>
        <v>2054439.4904044771</v>
      </c>
      <c r="T986" s="350">
        <f t="shared" si="408"/>
        <v>2076007.2546330884</v>
      </c>
      <c r="U986" s="350">
        <f t="shared" si="409"/>
        <v>2095880.1653488383</v>
      </c>
      <c r="V986" s="350">
        <f t="shared" si="410"/>
        <v>10264006.337509351</v>
      </c>
      <c r="W986" s="365"/>
      <c r="X986" s="377">
        <f t="shared" si="388"/>
        <v>0</v>
      </c>
      <c r="Y986" s="377">
        <f t="shared" si="389"/>
        <v>0</v>
      </c>
      <c r="Z986" s="377">
        <f t="shared" si="390"/>
        <v>0</v>
      </c>
      <c r="AA986" s="377">
        <f t="shared" si="391"/>
        <v>0</v>
      </c>
      <c r="AB986" s="377">
        <f t="shared" si="392"/>
        <v>0</v>
      </c>
      <c r="AC986" s="377">
        <f t="shared" si="393"/>
        <v>0</v>
      </c>
      <c r="AD986" s="376"/>
      <c r="AE986" s="332">
        <v>971</v>
      </c>
      <c r="AF986" s="350">
        <v>5539756.9330886006</v>
      </c>
      <c r="AG986" s="350">
        <v>34218.92787504469</v>
      </c>
      <c r="AH986" s="350">
        <v>32763.422713489963</v>
      </c>
      <c r="AI986" s="350">
        <v>31268.752212153217</v>
      </c>
      <c r="AJ986" s="350">
        <v>29734.992716721383</v>
      </c>
      <c r="AK986" s="348">
        <v>5667743.0286060097</v>
      </c>
      <c r="AL986" s="369"/>
      <c r="AM986" s="350">
        <v>7999267.2781241694</v>
      </c>
      <c r="AN986" s="350">
        <v>2524113.9298987221</v>
      </c>
      <c r="AO986" s="350">
        <v>2551104.4605662609</v>
      </c>
      <c r="AP986" s="350">
        <v>2576047.6510996902</v>
      </c>
      <c r="AQ986" s="350">
        <v>2598874.1936870408</v>
      </c>
      <c r="AR986" s="348">
        <v>18249407.513375882</v>
      </c>
      <c r="AS986" s="369"/>
      <c r="AT986" s="350">
        <f t="shared" si="411"/>
        <v>2459510.3450355688</v>
      </c>
      <c r="AU986" s="350">
        <f t="shared" si="394"/>
        <v>2489895.0020236773</v>
      </c>
      <c r="AV986" s="350">
        <f t="shared" si="395"/>
        <v>2518341.0378527711</v>
      </c>
      <c r="AW986" s="350">
        <f t="shared" si="396"/>
        <v>2544778.898887537</v>
      </c>
      <c r="AX986" s="350">
        <f t="shared" si="397"/>
        <v>2569139.2009703196</v>
      </c>
      <c r="AY986" s="350">
        <f t="shared" si="398"/>
        <v>12581664.484769873</v>
      </c>
      <c r="AZ986" s="365"/>
      <c r="BA986" s="377">
        <f t="shared" si="399"/>
        <v>0</v>
      </c>
      <c r="BB986" s="377">
        <f t="shared" si="400"/>
        <v>0</v>
      </c>
      <c r="BC986" s="377">
        <f t="shared" si="401"/>
        <v>0</v>
      </c>
      <c r="BD986" s="377">
        <f t="shared" si="402"/>
        <v>0</v>
      </c>
      <c r="BE986" s="377">
        <f t="shared" si="403"/>
        <v>0</v>
      </c>
      <c r="BF986" s="377">
        <f t="shared" si="404"/>
        <v>0</v>
      </c>
      <c r="BG986" s="328"/>
    </row>
    <row r="987" spans="2:59">
      <c r="B987" s="332">
        <v>972</v>
      </c>
      <c r="C987" s="350">
        <v>6941705.6792311175</v>
      </c>
      <c r="D987" s="350">
        <v>42878.727142087548</v>
      </c>
      <c r="E987" s="350">
        <v>41054.876643204741</v>
      </c>
      <c r="F987" s="350">
        <v>39181.949214610861</v>
      </c>
      <c r="G987" s="350">
        <v>37260.040522838004</v>
      </c>
      <c r="H987" s="348">
        <v>7102081.2727538589</v>
      </c>
      <c r="I987" s="369"/>
      <c r="J987" s="350">
        <v>8604300.5261314418</v>
      </c>
      <c r="K987" s="350">
        <v>1726013.1803242993</v>
      </c>
      <c r="L987" s="350">
        <v>1743418.4551184478</v>
      </c>
      <c r="M987" s="350">
        <v>1759417.1547021919</v>
      </c>
      <c r="N987" s="350">
        <v>1773962.4720147839</v>
      </c>
      <c r="O987" s="348">
        <v>15607111.788291164</v>
      </c>
      <c r="P987" s="369"/>
      <c r="Q987" s="350">
        <f t="shared" si="405"/>
        <v>1662594.8469003243</v>
      </c>
      <c r="R987" s="350">
        <f t="shared" si="406"/>
        <v>1683134.4531822116</v>
      </c>
      <c r="S987" s="350">
        <f t="shared" si="407"/>
        <v>1702363.5784752429</v>
      </c>
      <c r="T987" s="350">
        <f t="shared" si="408"/>
        <v>1720235.205487581</v>
      </c>
      <c r="U987" s="350">
        <f t="shared" si="409"/>
        <v>1736702.4314919459</v>
      </c>
      <c r="V987" s="350">
        <f t="shared" si="410"/>
        <v>8505030.5155373048</v>
      </c>
      <c r="W987" s="365"/>
      <c r="X987" s="377">
        <f t="shared" si="388"/>
        <v>0</v>
      </c>
      <c r="Y987" s="377">
        <f t="shared" si="389"/>
        <v>0</v>
      </c>
      <c r="Z987" s="377">
        <f t="shared" si="390"/>
        <v>0</v>
      </c>
      <c r="AA987" s="377">
        <f t="shared" si="391"/>
        <v>0</v>
      </c>
      <c r="AB987" s="377">
        <f t="shared" si="392"/>
        <v>0</v>
      </c>
      <c r="AC987" s="377">
        <f t="shared" si="393"/>
        <v>0</v>
      </c>
      <c r="AD987" s="376"/>
      <c r="AE987" s="332">
        <v>972</v>
      </c>
      <c r="AF987" s="350">
        <v>6065025.8564378591</v>
      </c>
      <c r="AG987" s="350">
        <v>37463.499725432062</v>
      </c>
      <c r="AH987" s="350">
        <v>35869.986409662095</v>
      </c>
      <c r="AI987" s="350">
        <v>34233.594173152065</v>
      </c>
      <c r="AJ987" s="350">
        <v>32554.40660053572</v>
      </c>
      <c r="AK987" s="348">
        <v>6205147.3433466414</v>
      </c>
      <c r="AL987" s="369"/>
      <c r="AM987" s="350">
        <v>7904148.0599360727</v>
      </c>
      <c r="AN987" s="350">
        <v>1899306.1188646303</v>
      </c>
      <c r="AO987" s="350">
        <v>1918983.3988189055</v>
      </c>
      <c r="AP987" s="350">
        <v>1937116.1680905721</v>
      </c>
      <c r="AQ987" s="350">
        <v>1953652.627601854</v>
      </c>
      <c r="AR987" s="348">
        <v>15613206.373312036</v>
      </c>
      <c r="AS987" s="369"/>
      <c r="AT987" s="350">
        <f t="shared" si="411"/>
        <v>1839122.2034982136</v>
      </c>
      <c r="AU987" s="350">
        <f t="shared" si="394"/>
        <v>1861842.6191391982</v>
      </c>
      <c r="AV987" s="350">
        <f t="shared" si="395"/>
        <v>1883113.4124092434</v>
      </c>
      <c r="AW987" s="350">
        <f t="shared" si="396"/>
        <v>1902882.5739174201</v>
      </c>
      <c r="AX987" s="350">
        <f t="shared" si="397"/>
        <v>1921098.2210013184</v>
      </c>
      <c r="AY987" s="350">
        <f t="shared" si="398"/>
        <v>9408059.0299653932</v>
      </c>
      <c r="AZ987" s="365"/>
      <c r="BA987" s="377">
        <f t="shared" si="399"/>
        <v>0</v>
      </c>
      <c r="BB987" s="377">
        <f t="shared" si="400"/>
        <v>0</v>
      </c>
      <c r="BC987" s="377">
        <f t="shared" si="401"/>
        <v>0</v>
      </c>
      <c r="BD987" s="377">
        <f t="shared" si="402"/>
        <v>0</v>
      </c>
      <c r="BE987" s="377">
        <f t="shared" si="403"/>
        <v>0</v>
      </c>
      <c r="BF987" s="377">
        <f t="shared" si="404"/>
        <v>0</v>
      </c>
      <c r="BG987" s="328"/>
    </row>
    <row r="988" spans="2:59">
      <c r="B988" s="332">
        <v>973</v>
      </c>
      <c r="C988" s="350">
        <v>5414039.8349672314</v>
      </c>
      <c r="D988" s="350">
        <v>33442.376779890852</v>
      </c>
      <c r="E988" s="350">
        <v>32019.902288711368</v>
      </c>
      <c r="F988" s="350">
        <v>30559.151260798844</v>
      </c>
      <c r="G988" s="350">
        <v>29060.198309285122</v>
      </c>
      <c r="H988" s="348">
        <v>5539121.463605918</v>
      </c>
      <c r="I988" s="369"/>
      <c r="J988" s="350">
        <v>8129475.1627011467</v>
      </c>
      <c r="K988" s="350">
        <v>2782424.0448140735</v>
      </c>
      <c r="L988" s="350">
        <v>2812407.5657399157</v>
      </c>
      <c r="M988" s="350">
        <v>2840135.6741890237</v>
      </c>
      <c r="N988" s="350">
        <v>2865531.8408304714</v>
      </c>
      <c r="O988" s="348">
        <v>19429974.288274631</v>
      </c>
      <c r="P988" s="369"/>
      <c r="Q988" s="350">
        <f t="shared" si="405"/>
        <v>2715435.3277339153</v>
      </c>
      <c r="R988" s="350">
        <f t="shared" si="406"/>
        <v>2748981.6680341829</v>
      </c>
      <c r="S988" s="350">
        <f t="shared" si="407"/>
        <v>2780387.6634512045</v>
      </c>
      <c r="T988" s="350">
        <f t="shared" si="408"/>
        <v>2809576.5229282249</v>
      </c>
      <c r="U988" s="350">
        <f t="shared" si="409"/>
        <v>2836471.6425211863</v>
      </c>
      <c r="V988" s="350">
        <f t="shared" si="410"/>
        <v>13890852.824668713</v>
      </c>
      <c r="W988" s="365"/>
      <c r="X988" s="377">
        <f t="shared" si="388"/>
        <v>0</v>
      </c>
      <c r="Y988" s="377">
        <f t="shared" si="389"/>
        <v>0</v>
      </c>
      <c r="Z988" s="377">
        <f t="shared" si="390"/>
        <v>0</v>
      </c>
      <c r="AA988" s="377">
        <f t="shared" si="391"/>
        <v>0</v>
      </c>
      <c r="AB988" s="377">
        <f t="shared" si="392"/>
        <v>0</v>
      </c>
      <c r="AC988" s="377">
        <f t="shared" si="393"/>
        <v>0</v>
      </c>
      <c r="AD988" s="376"/>
      <c r="AE988" s="332">
        <v>973</v>
      </c>
      <c r="AF988" s="350">
        <v>5422607.6459839698</v>
      </c>
      <c r="AG988" s="350">
        <v>33495.299915466043</v>
      </c>
      <c r="AH988" s="350">
        <v>32070.574333976609</v>
      </c>
      <c r="AI988" s="350">
        <v>30607.511642476125</v>
      </c>
      <c r="AJ988" s="350">
        <v>29106.186572174054</v>
      </c>
      <c r="AK988" s="348">
        <v>5547887.2184480634</v>
      </c>
      <c r="AL988" s="369"/>
      <c r="AM988" s="350">
        <v>6654512.8762021307</v>
      </c>
      <c r="AN988" s="350">
        <v>1280619.4203235311</v>
      </c>
      <c r="AO988" s="350">
        <v>1293442.5796462749</v>
      </c>
      <c r="AP988" s="350">
        <v>1305221.558953193</v>
      </c>
      <c r="AQ988" s="350">
        <v>1315921.6802423457</v>
      </c>
      <c r="AR988" s="348">
        <v>11849718.115367476</v>
      </c>
      <c r="AS988" s="369"/>
      <c r="AT988" s="350">
        <f t="shared" si="411"/>
        <v>1231905.2302181609</v>
      </c>
      <c r="AU988" s="350">
        <f t="shared" si="394"/>
        <v>1247124.1204080652</v>
      </c>
      <c r="AV988" s="350">
        <f t="shared" si="395"/>
        <v>1261372.0053122982</v>
      </c>
      <c r="AW988" s="350">
        <f t="shared" si="396"/>
        <v>1274614.0473107169</v>
      </c>
      <c r="AX988" s="350">
        <f t="shared" si="397"/>
        <v>1286815.4936701716</v>
      </c>
      <c r="AY988" s="350">
        <f t="shared" si="398"/>
        <v>6301830.8969194125</v>
      </c>
      <c r="AZ988" s="365"/>
      <c r="BA988" s="377">
        <f t="shared" si="399"/>
        <v>0</v>
      </c>
      <c r="BB988" s="377">
        <f t="shared" si="400"/>
        <v>0</v>
      </c>
      <c r="BC988" s="377">
        <f t="shared" si="401"/>
        <v>0</v>
      </c>
      <c r="BD988" s="377">
        <f t="shared" si="402"/>
        <v>0</v>
      </c>
      <c r="BE988" s="377">
        <f t="shared" si="403"/>
        <v>0</v>
      </c>
      <c r="BF988" s="377">
        <f t="shared" si="404"/>
        <v>0</v>
      </c>
      <c r="BG988" s="328"/>
    </row>
    <row r="989" spans="2:59">
      <c r="B989" s="332">
        <v>974</v>
      </c>
      <c r="C989" s="350">
        <v>6240877.1074467776</v>
      </c>
      <c r="D989" s="350">
        <v>38549.728119149033</v>
      </c>
      <c r="E989" s="350">
        <v>36910.011981379088</v>
      </c>
      <c r="F989" s="350">
        <v>35226.173678065221</v>
      </c>
      <c r="G989" s="350">
        <v>33498.299217329484</v>
      </c>
      <c r="H989" s="348">
        <v>6385061.3204427008</v>
      </c>
      <c r="I989" s="369"/>
      <c r="J989" s="350">
        <v>8038432.4787706025</v>
      </c>
      <c r="K989" s="350">
        <v>1858312.000700799</v>
      </c>
      <c r="L989" s="350">
        <v>1877462.3270203311</v>
      </c>
      <c r="M989" s="350">
        <v>1895100.8384706068</v>
      </c>
      <c r="N989" s="350">
        <v>1911176.9110208533</v>
      </c>
      <c r="O989" s="348">
        <v>15580484.555983191</v>
      </c>
      <c r="P989" s="369"/>
      <c r="Q989" s="350">
        <f t="shared" si="405"/>
        <v>1797555.3713238249</v>
      </c>
      <c r="R989" s="350">
        <f t="shared" si="406"/>
        <v>1819762.2725816499</v>
      </c>
      <c r="S989" s="350">
        <f t="shared" si="407"/>
        <v>1840552.315038952</v>
      </c>
      <c r="T989" s="350">
        <f t="shared" si="408"/>
        <v>1859874.6647925416</v>
      </c>
      <c r="U989" s="350">
        <f t="shared" si="409"/>
        <v>1877678.6118035237</v>
      </c>
      <c r="V989" s="350">
        <f t="shared" si="410"/>
        <v>9195423.2355404906</v>
      </c>
      <c r="W989" s="365"/>
      <c r="X989" s="377">
        <f t="shared" si="388"/>
        <v>0</v>
      </c>
      <c r="Y989" s="377">
        <f t="shared" si="389"/>
        <v>0</v>
      </c>
      <c r="Z989" s="377">
        <f t="shared" si="390"/>
        <v>0</v>
      </c>
      <c r="AA989" s="377">
        <f t="shared" si="391"/>
        <v>0</v>
      </c>
      <c r="AB989" s="377">
        <f t="shared" si="392"/>
        <v>0</v>
      </c>
      <c r="AC989" s="377">
        <f t="shared" si="393"/>
        <v>0</v>
      </c>
      <c r="AD989" s="376"/>
      <c r="AE989" s="332">
        <v>974</v>
      </c>
      <c r="AF989" s="350">
        <v>7177049.2157574203</v>
      </c>
      <c r="AG989" s="350">
        <v>44332.437765049159</v>
      </c>
      <c r="AH989" s="350">
        <v>42446.753554633346</v>
      </c>
      <c r="AI989" s="350">
        <v>40510.32856721749</v>
      </c>
      <c r="AJ989" s="350">
        <v>38523.261712695828</v>
      </c>
      <c r="AK989" s="348">
        <v>7342861.9973570146</v>
      </c>
      <c r="AL989" s="369"/>
      <c r="AM989" s="350">
        <v>9378763.5073269084</v>
      </c>
      <c r="AN989" s="350">
        <v>2273246.5879040235</v>
      </c>
      <c r="AO989" s="350">
        <v>2296825.3396329926</v>
      </c>
      <c r="AP989" s="350">
        <v>2318555.6646538703</v>
      </c>
      <c r="AQ989" s="350">
        <v>2338375.5502892523</v>
      </c>
      <c r="AR989" s="348">
        <v>18605766.649807047</v>
      </c>
      <c r="AS989" s="369"/>
      <c r="AT989" s="350">
        <f t="shared" si="411"/>
        <v>2201714.2915694881</v>
      </c>
      <c r="AU989" s="350">
        <f t="shared" si="394"/>
        <v>2228914.1501389742</v>
      </c>
      <c r="AV989" s="350">
        <f t="shared" si="395"/>
        <v>2254378.5860783593</v>
      </c>
      <c r="AW989" s="350">
        <f t="shared" si="396"/>
        <v>2278045.3360866527</v>
      </c>
      <c r="AX989" s="350">
        <f t="shared" si="397"/>
        <v>2299852.2885765564</v>
      </c>
      <c r="AY989" s="350">
        <f t="shared" si="398"/>
        <v>11262904.652450033</v>
      </c>
      <c r="AZ989" s="365"/>
      <c r="BA989" s="377">
        <f t="shared" si="399"/>
        <v>0</v>
      </c>
      <c r="BB989" s="377">
        <f t="shared" si="400"/>
        <v>0</v>
      </c>
      <c r="BC989" s="377">
        <f t="shared" si="401"/>
        <v>0</v>
      </c>
      <c r="BD989" s="377">
        <f t="shared" si="402"/>
        <v>0</v>
      </c>
      <c r="BE989" s="377">
        <f t="shared" si="403"/>
        <v>0</v>
      </c>
      <c r="BF989" s="377">
        <f t="shared" si="404"/>
        <v>0</v>
      </c>
      <c r="BG989" s="328"/>
    </row>
    <row r="990" spans="2:59">
      <c r="B990" s="332">
        <v>975</v>
      </c>
      <c r="C990" s="350">
        <v>8147610.0853890609</v>
      </c>
      <c r="D990" s="350">
        <v>50327.56585413318</v>
      </c>
      <c r="E990" s="350">
        <v>48186.878333572822</v>
      </c>
      <c r="F990" s="350">
        <v>45988.588300611045</v>
      </c>
      <c r="G990" s="350">
        <v>43732.808040848773</v>
      </c>
      <c r="H990" s="348">
        <v>8335845.9259182271</v>
      </c>
      <c r="I990" s="369"/>
      <c r="J990" s="350">
        <v>10089081.74713831</v>
      </c>
      <c r="K990" s="350">
        <v>2015784.0628830765</v>
      </c>
      <c r="L990" s="350">
        <v>2036097.9149674291</v>
      </c>
      <c r="M990" s="350">
        <v>2054768.9650857965</v>
      </c>
      <c r="N990" s="350">
        <v>2071742.5555261152</v>
      </c>
      <c r="O990" s="348">
        <v>18267475.24560073</v>
      </c>
      <c r="P990" s="369"/>
      <c r="Q990" s="350">
        <f t="shared" si="405"/>
        <v>1941471.6617492493</v>
      </c>
      <c r="R990" s="350">
        <f t="shared" si="406"/>
        <v>1965456.4970289434</v>
      </c>
      <c r="S990" s="350">
        <f t="shared" si="407"/>
        <v>1987911.0366338564</v>
      </c>
      <c r="T990" s="350">
        <f t="shared" si="408"/>
        <v>2008780.3767851854</v>
      </c>
      <c r="U990" s="350">
        <f t="shared" si="409"/>
        <v>2028009.7474852665</v>
      </c>
      <c r="V990" s="350">
        <f t="shared" si="410"/>
        <v>9931629.3196825031</v>
      </c>
      <c r="W990" s="365"/>
      <c r="X990" s="377">
        <f t="shared" si="388"/>
        <v>0</v>
      </c>
      <c r="Y990" s="377">
        <f t="shared" si="389"/>
        <v>0</v>
      </c>
      <c r="Z990" s="377">
        <f t="shared" si="390"/>
        <v>0</v>
      </c>
      <c r="AA990" s="377">
        <f t="shared" si="391"/>
        <v>0</v>
      </c>
      <c r="AB990" s="377">
        <f t="shared" si="392"/>
        <v>0</v>
      </c>
      <c r="AC990" s="377">
        <f t="shared" si="393"/>
        <v>0</v>
      </c>
      <c r="AD990" s="376"/>
      <c r="AE990" s="332">
        <v>975</v>
      </c>
      <c r="AF990" s="350">
        <v>4790155.9221003354</v>
      </c>
      <c r="AG990" s="350">
        <v>29588.662821922047</v>
      </c>
      <c r="AH990" s="350">
        <v>28330.106399055523</v>
      </c>
      <c r="AI990" s="350">
        <v>27037.684215184141</v>
      </c>
      <c r="AJ990" s="350">
        <v>25711.46228544004</v>
      </c>
      <c r="AK990" s="348">
        <v>4900823.8378219381</v>
      </c>
      <c r="AL990" s="369"/>
      <c r="AM990" s="350">
        <v>6356300.0389985247</v>
      </c>
      <c r="AN990" s="350">
        <v>1615080.8389311433</v>
      </c>
      <c r="AO990" s="350">
        <v>1631935.884572499</v>
      </c>
      <c r="AP990" s="350">
        <v>1647478.317589195</v>
      </c>
      <c r="AQ990" s="350">
        <v>1661664.0221979241</v>
      </c>
      <c r="AR990" s="348">
        <v>12912459.102289287</v>
      </c>
      <c r="AS990" s="369"/>
      <c r="AT990" s="350">
        <f t="shared" si="411"/>
        <v>1566144.1168981893</v>
      </c>
      <c r="AU990" s="350">
        <f t="shared" si="394"/>
        <v>1585492.1761092213</v>
      </c>
      <c r="AV990" s="350">
        <f t="shared" si="395"/>
        <v>1603605.7781734434</v>
      </c>
      <c r="AW990" s="350">
        <f t="shared" si="396"/>
        <v>1620440.6333740109</v>
      </c>
      <c r="AX990" s="350">
        <f t="shared" si="397"/>
        <v>1635952.5599124841</v>
      </c>
      <c r="AY990" s="350">
        <f t="shared" si="398"/>
        <v>8011635.2644673493</v>
      </c>
      <c r="AZ990" s="365"/>
      <c r="BA990" s="377">
        <f t="shared" si="399"/>
        <v>0</v>
      </c>
      <c r="BB990" s="377">
        <f t="shared" si="400"/>
        <v>0</v>
      </c>
      <c r="BC990" s="377">
        <f t="shared" si="401"/>
        <v>0</v>
      </c>
      <c r="BD990" s="377">
        <f t="shared" si="402"/>
        <v>0</v>
      </c>
      <c r="BE990" s="377">
        <f t="shared" si="403"/>
        <v>0</v>
      </c>
      <c r="BF990" s="377">
        <f t="shared" si="404"/>
        <v>0</v>
      </c>
      <c r="BG990" s="328"/>
    </row>
    <row r="991" spans="2:59">
      <c r="B991" s="332">
        <v>976</v>
      </c>
      <c r="C991" s="350">
        <v>5254338.0239540441</v>
      </c>
      <c r="D991" s="350">
        <v>32455.903037707012</v>
      </c>
      <c r="E991" s="350">
        <v>31075.388295492099</v>
      </c>
      <c r="F991" s="350">
        <v>29657.726086965369</v>
      </c>
      <c r="G991" s="350">
        <v>28202.988824341661</v>
      </c>
      <c r="H991" s="348">
        <v>5375730.0301985508</v>
      </c>
      <c r="I991" s="369"/>
      <c r="J991" s="350">
        <v>7072900.4183365088</v>
      </c>
      <c r="K991" s="350">
        <v>1873484.718297937</v>
      </c>
      <c r="L991" s="350">
        <v>1893137.2075975472</v>
      </c>
      <c r="M991" s="350">
        <v>1911267.7046243646</v>
      </c>
      <c r="N991" s="350">
        <v>1927824.9791318763</v>
      </c>
      <c r="O991" s="348">
        <v>14678615.027988233</v>
      </c>
      <c r="P991" s="369"/>
      <c r="Q991" s="350">
        <f t="shared" si="405"/>
        <v>1818562.3943824647</v>
      </c>
      <c r="R991" s="350">
        <f t="shared" si="406"/>
        <v>1841028.8152602299</v>
      </c>
      <c r="S991" s="350">
        <f t="shared" si="407"/>
        <v>1862061.8193020551</v>
      </c>
      <c r="T991" s="350">
        <f t="shared" si="408"/>
        <v>1881609.9785373993</v>
      </c>
      <c r="U991" s="350">
        <f t="shared" si="409"/>
        <v>1899621.9903075346</v>
      </c>
      <c r="V991" s="350">
        <f t="shared" si="410"/>
        <v>9302884.997789681</v>
      </c>
      <c r="W991" s="365"/>
      <c r="X991" s="377">
        <f t="shared" si="388"/>
        <v>0</v>
      </c>
      <c r="Y991" s="377">
        <f t="shared" si="389"/>
        <v>0</v>
      </c>
      <c r="Z991" s="377">
        <f t="shared" si="390"/>
        <v>0</v>
      </c>
      <c r="AA991" s="377">
        <f t="shared" si="391"/>
        <v>0</v>
      </c>
      <c r="AB991" s="377">
        <f t="shared" si="392"/>
        <v>0</v>
      </c>
      <c r="AC991" s="377">
        <f t="shared" si="393"/>
        <v>0</v>
      </c>
      <c r="AD991" s="376"/>
      <c r="AE991" s="332">
        <v>976</v>
      </c>
      <c r="AF991" s="350">
        <v>7277245.2468245961</v>
      </c>
      <c r="AG991" s="350">
        <v>44951.345923269168</v>
      </c>
      <c r="AH991" s="350">
        <v>43039.336398921485</v>
      </c>
      <c r="AI991" s="350">
        <v>41075.877725045953</v>
      </c>
      <c r="AJ991" s="350">
        <v>39061.070192384766</v>
      </c>
      <c r="AK991" s="348">
        <v>7445372.8770642178</v>
      </c>
      <c r="AL991" s="369"/>
      <c r="AM991" s="350">
        <v>9391545.6912781484</v>
      </c>
      <c r="AN991" s="350">
        <v>2185371.7430349598</v>
      </c>
      <c r="AO991" s="350">
        <v>2207913.1643806193</v>
      </c>
      <c r="AP991" s="350">
        <v>2228676.8235044107</v>
      </c>
      <c r="AQ991" s="350">
        <v>2247603.1751031205</v>
      </c>
      <c r="AR991" s="348">
        <v>18261110.59730126</v>
      </c>
      <c r="AS991" s="369"/>
      <c r="AT991" s="350">
        <f t="shared" si="411"/>
        <v>2114300.4444535524</v>
      </c>
      <c r="AU991" s="350">
        <f t="shared" si="394"/>
        <v>2140420.3971116906</v>
      </c>
      <c r="AV991" s="350">
        <f t="shared" si="395"/>
        <v>2164873.8279816979</v>
      </c>
      <c r="AW991" s="350">
        <f t="shared" si="396"/>
        <v>2187600.9457793646</v>
      </c>
      <c r="AX991" s="350">
        <f t="shared" si="397"/>
        <v>2208542.104910736</v>
      </c>
      <c r="AY991" s="350">
        <f t="shared" si="398"/>
        <v>10815737.720237043</v>
      </c>
      <c r="AZ991" s="365"/>
      <c r="BA991" s="377">
        <f t="shared" si="399"/>
        <v>0</v>
      </c>
      <c r="BB991" s="377">
        <f t="shared" si="400"/>
        <v>0</v>
      </c>
      <c r="BC991" s="377">
        <f t="shared" si="401"/>
        <v>0</v>
      </c>
      <c r="BD991" s="377">
        <f t="shared" si="402"/>
        <v>0</v>
      </c>
      <c r="BE991" s="377">
        <f t="shared" si="403"/>
        <v>0</v>
      </c>
      <c r="BF991" s="377">
        <f t="shared" si="404"/>
        <v>0</v>
      </c>
      <c r="BG991" s="328"/>
    </row>
    <row r="992" spans="2:59">
      <c r="B992" s="332">
        <v>977</v>
      </c>
      <c r="C992" s="350">
        <v>5821761.9100265196</v>
      </c>
      <c r="D992" s="350">
        <v>35960.864946073882</v>
      </c>
      <c r="E992" s="350">
        <v>34431.266335210188</v>
      </c>
      <c r="F992" s="350">
        <v>32860.508647130118</v>
      </c>
      <c r="G992" s="350">
        <v>31248.672113960263</v>
      </c>
      <c r="H992" s="348">
        <v>5956263.2220688937</v>
      </c>
      <c r="I992" s="369"/>
      <c r="J992" s="350">
        <v>7007427.1472653365</v>
      </c>
      <c r="K992" s="350">
        <v>1236273.7460173066</v>
      </c>
      <c r="L992" s="350">
        <v>1248457.232975645</v>
      </c>
      <c r="M992" s="350">
        <v>1259631.4726156443</v>
      </c>
      <c r="N992" s="350">
        <v>1269763.0968922647</v>
      </c>
      <c r="O992" s="348">
        <v>12021552.695766196</v>
      </c>
      <c r="P992" s="369"/>
      <c r="Q992" s="350">
        <f t="shared" si="405"/>
        <v>1185665.2372388169</v>
      </c>
      <c r="R992" s="350">
        <f t="shared" si="406"/>
        <v>1200312.8810712327</v>
      </c>
      <c r="S992" s="350">
        <f t="shared" si="407"/>
        <v>1214025.9666404347</v>
      </c>
      <c r="T992" s="350">
        <f t="shared" si="408"/>
        <v>1226770.9639685142</v>
      </c>
      <c r="U992" s="350">
        <f t="shared" si="409"/>
        <v>1238514.4247783043</v>
      </c>
      <c r="V992" s="350">
        <f t="shared" si="410"/>
        <v>6065289.4736973019</v>
      </c>
      <c r="W992" s="365"/>
      <c r="X992" s="377">
        <f t="shared" si="388"/>
        <v>0</v>
      </c>
      <c r="Y992" s="377">
        <f t="shared" si="389"/>
        <v>0</v>
      </c>
      <c r="Z992" s="377">
        <f t="shared" si="390"/>
        <v>0</v>
      </c>
      <c r="AA992" s="377">
        <f t="shared" si="391"/>
        <v>0</v>
      </c>
      <c r="AB992" s="377">
        <f t="shared" si="392"/>
        <v>0</v>
      </c>
      <c r="AC992" s="377">
        <f t="shared" si="393"/>
        <v>0</v>
      </c>
      <c r="AD992" s="376"/>
      <c r="AE992" s="332">
        <v>977</v>
      </c>
      <c r="AF992" s="350">
        <v>4855034.4995067334</v>
      </c>
      <c r="AG992" s="350">
        <v>29989.416029639171</v>
      </c>
      <c r="AH992" s="350">
        <v>28713.813533193366</v>
      </c>
      <c r="AI992" s="350">
        <v>27403.886592888368</v>
      </c>
      <c r="AJ992" s="350">
        <v>26059.702117972935</v>
      </c>
      <c r="AK992" s="348">
        <v>4967201.3177804276</v>
      </c>
      <c r="AL992" s="369"/>
      <c r="AM992" s="350">
        <v>6827007.1718613543</v>
      </c>
      <c r="AN992" s="350">
        <v>2026323.7314895061</v>
      </c>
      <c r="AO992" s="350">
        <v>2047855.4350916175</v>
      </c>
      <c r="AP992" s="350">
        <v>2067742.7109121368</v>
      </c>
      <c r="AQ992" s="350">
        <v>2085929.9954121392</v>
      </c>
      <c r="AR992" s="348">
        <v>15054859.044766754</v>
      </c>
      <c r="AS992" s="369"/>
      <c r="AT992" s="350">
        <f t="shared" si="411"/>
        <v>1971972.6723546209</v>
      </c>
      <c r="AU992" s="350">
        <f t="shared" si="394"/>
        <v>1996334.315459867</v>
      </c>
      <c r="AV992" s="350">
        <f t="shared" si="395"/>
        <v>2019141.6215584241</v>
      </c>
      <c r="AW992" s="350">
        <f t="shared" si="396"/>
        <v>2040338.8243192486</v>
      </c>
      <c r="AX992" s="350">
        <f t="shared" si="397"/>
        <v>2059870.2932941662</v>
      </c>
      <c r="AY992" s="350">
        <f t="shared" si="398"/>
        <v>10087657.726986326</v>
      </c>
      <c r="AZ992" s="365"/>
      <c r="BA992" s="377">
        <f t="shared" si="399"/>
        <v>0</v>
      </c>
      <c r="BB992" s="377">
        <f t="shared" si="400"/>
        <v>0</v>
      </c>
      <c r="BC992" s="377">
        <f t="shared" si="401"/>
        <v>0</v>
      </c>
      <c r="BD992" s="377">
        <f t="shared" si="402"/>
        <v>0</v>
      </c>
      <c r="BE992" s="377">
        <f t="shared" si="403"/>
        <v>0</v>
      </c>
      <c r="BF992" s="377">
        <f t="shared" si="404"/>
        <v>0</v>
      </c>
      <c r="BG992" s="328"/>
    </row>
    <row r="993" spans="2:59">
      <c r="B993" s="332">
        <v>978</v>
      </c>
      <c r="C993" s="350">
        <v>4446036.8882684465</v>
      </c>
      <c r="D993" s="350">
        <v>27463.048911177866</v>
      </c>
      <c r="E993" s="350">
        <v>26294.905666357183</v>
      </c>
      <c r="F993" s="350">
        <v>25095.32953602769</v>
      </c>
      <c r="G993" s="350">
        <v>23864.381792872187</v>
      </c>
      <c r="H993" s="348">
        <v>4548754.5541748805</v>
      </c>
      <c r="I993" s="369"/>
      <c r="J993" s="350">
        <v>6555093.5765515706</v>
      </c>
      <c r="K993" s="350">
        <v>2162574.9087740062</v>
      </c>
      <c r="L993" s="350">
        <v>2185799.5485242195</v>
      </c>
      <c r="M993" s="350">
        <v>2207270.7238106569</v>
      </c>
      <c r="N993" s="350">
        <v>2226928.9982413366</v>
      </c>
      <c r="O993" s="348">
        <v>15337667.755901789</v>
      </c>
      <c r="P993" s="369"/>
      <c r="Q993" s="350">
        <f t="shared" si="405"/>
        <v>2109056.688283124</v>
      </c>
      <c r="R993" s="350">
        <f t="shared" si="406"/>
        <v>2135111.8598628282</v>
      </c>
      <c r="S993" s="350">
        <f t="shared" si="407"/>
        <v>2159504.6428578622</v>
      </c>
      <c r="T993" s="350">
        <f t="shared" si="408"/>
        <v>2182175.3942746292</v>
      </c>
      <c r="U993" s="350">
        <f t="shared" si="409"/>
        <v>2203064.6164484643</v>
      </c>
      <c r="V993" s="350">
        <f t="shared" si="410"/>
        <v>10788913.20172691</v>
      </c>
      <c r="W993" s="365"/>
      <c r="X993" s="377">
        <f t="shared" si="388"/>
        <v>0</v>
      </c>
      <c r="Y993" s="377">
        <f t="shared" si="389"/>
        <v>0</v>
      </c>
      <c r="Z993" s="377">
        <f t="shared" si="390"/>
        <v>0</v>
      </c>
      <c r="AA993" s="377">
        <f t="shared" si="391"/>
        <v>0</v>
      </c>
      <c r="AB993" s="377">
        <f t="shared" si="392"/>
        <v>0</v>
      </c>
      <c r="AC993" s="377">
        <f t="shared" si="393"/>
        <v>0</v>
      </c>
      <c r="AD993" s="376"/>
      <c r="AE993" s="332">
        <v>978</v>
      </c>
      <c r="AF993" s="350">
        <v>6258431.0858857473</v>
      </c>
      <c r="AG993" s="350">
        <v>38658.158566437538</v>
      </c>
      <c r="AH993" s="350">
        <v>37013.830329881392</v>
      </c>
      <c r="AI993" s="350">
        <v>35325.255823506268</v>
      </c>
      <c r="AJ993" s="350">
        <v>33592.521297348074</v>
      </c>
      <c r="AK993" s="348">
        <v>6403020.8519029198</v>
      </c>
      <c r="AL993" s="369"/>
      <c r="AM993" s="350">
        <v>7993557.0768372789</v>
      </c>
      <c r="AN993" s="350">
        <v>1795219.8016072679</v>
      </c>
      <c r="AO993" s="350">
        <v>1813643.4743881607</v>
      </c>
      <c r="AP993" s="350">
        <v>1830606.1813936424</v>
      </c>
      <c r="AQ993" s="350">
        <v>1846059.0600024662</v>
      </c>
      <c r="AR993" s="348">
        <v>15279085.594228817</v>
      </c>
      <c r="AS993" s="369"/>
      <c r="AT993" s="350">
        <f t="shared" si="411"/>
        <v>1735125.9909515316</v>
      </c>
      <c r="AU993" s="350">
        <f t="shared" si="394"/>
        <v>1756561.6430408305</v>
      </c>
      <c r="AV993" s="350">
        <f t="shared" si="395"/>
        <v>1776629.6440582795</v>
      </c>
      <c r="AW993" s="350">
        <f t="shared" si="396"/>
        <v>1795280.9255701362</v>
      </c>
      <c r="AX993" s="350">
        <f t="shared" si="397"/>
        <v>1812466.5387051182</v>
      </c>
      <c r="AY993" s="350">
        <f t="shared" si="398"/>
        <v>8876064.7423258983</v>
      </c>
      <c r="AZ993" s="365"/>
      <c r="BA993" s="377">
        <f t="shared" si="399"/>
        <v>0</v>
      </c>
      <c r="BB993" s="377">
        <f t="shared" si="400"/>
        <v>0</v>
      </c>
      <c r="BC993" s="377">
        <f t="shared" si="401"/>
        <v>0</v>
      </c>
      <c r="BD993" s="377">
        <f t="shared" si="402"/>
        <v>0</v>
      </c>
      <c r="BE993" s="377">
        <f t="shared" si="403"/>
        <v>0</v>
      </c>
      <c r="BF993" s="377">
        <f t="shared" si="404"/>
        <v>0</v>
      </c>
      <c r="BG993" s="328"/>
    </row>
    <row r="994" spans="2:59">
      <c r="B994" s="332">
        <v>979</v>
      </c>
      <c r="C994" s="350">
        <v>6400990.6446188539</v>
      </c>
      <c r="D994" s="350">
        <v>39538.745082616952</v>
      </c>
      <c r="E994" s="350">
        <v>37856.961019735878</v>
      </c>
      <c r="F994" s="350">
        <v>36129.922810042197</v>
      </c>
      <c r="G994" s="350">
        <v>34357.718668250171</v>
      </c>
      <c r="H994" s="348">
        <v>6548873.9921994992</v>
      </c>
      <c r="I994" s="369"/>
      <c r="J994" s="350">
        <v>9892487.7177375238</v>
      </c>
      <c r="K994" s="350">
        <v>3574169.5830808841</v>
      </c>
      <c r="L994" s="350">
        <v>3612869.5160697647</v>
      </c>
      <c r="M994" s="350">
        <v>3648673.4094167184</v>
      </c>
      <c r="N994" s="350">
        <v>3681482.8542580293</v>
      </c>
      <c r="O994" s="348">
        <v>24409683.080562919</v>
      </c>
      <c r="P994" s="369"/>
      <c r="Q994" s="350">
        <f t="shared" si="405"/>
        <v>3491497.0731186699</v>
      </c>
      <c r="R994" s="350">
        <f t="shared" si="406"/>
        <v>3534630.8379982673</v>
      </c>
      <c r="S994" s="350">
        <f t="shared" si="407"/>
        <v>3575012.555050029</v>
      </c>
      <c r="T994" s="350">
        <f t="shared" si="408"/>
        <v>3612543.4866066761</v>
      </c>
      <c r="U994" s="350">
        <f t="shared" si="409"/>
        <v>3647125.1355897789</v>
      </c>
      <c r="V994" s="350">
        <f t="shared" si="410"/>
        <v>17860809.08836342</v>
      </c>
      <c r="W994" s="365"/>
      <c r="X994" s="377">
        <f t="shared" si="388"/>
        <v>0</v>
      </c>
      <c r="Y994" s="377">
        <f t="shared" si="389"/>
        <v>0</v>
      </c>
      <c r="Z994" s="377">
        <f t="shared" si="390"/>
        <v>0</v>
      </c>
      <c r="AA994" s="377">
        <f t="shared" si="391"/>
        <v>0</v>
      </c>
      <c r="AB994" s="377">
        <f t="shared" si="392"/>
        <v>0</v>
      </c>
      <c r="AC994" s="377">
        <f t="shared" si="393"/>
        <v>0</v>
      </c>
      <c r="AD994" s="376"/>
      <c r="AE994" s="332">
        <v>979</v>
      </c>
      <c r="AF994" s="350">
        <v>7365564.6795953577</v>
      </c>
      <c r="AG994" s="350">
        <v>45496.892656900192</v>
      </c>
      <c r="AH994" s="350">
        <v>43561.678253379905</v>
      </c>
      <c r="AI994" s="350">
        <v>41574.39029377103</v>
      </c>
      <c r="AJ994" s="350">
        <v>39535.130285977139</v>
      </c>
      <c r="AK994" s="348">
        <v>7535732.7710853862</v>
      </c>
      <c r="AL994" s="369"/>
      <c r="AM994" s="350">
        <v>9803931.7457786594</v>
      </c>
      <c r="AN994" s="350">
        <v>2513987.4129117103</v>
      </c>
      <c r="AO994" s="350">
        <v>2540253.6968548568</v>
      </c>
      <c r="AP994" s="350">
        <v>2564476.9958023638</v>
      </c>
      <c r="AQ994" s="350">
        <v>2586588.6235681581</v>
      </c>
      <c r="AR994" s="348">
        <v>20009238.47491575</v>
      </c>
      <c r="AS994" s="369"/>
      <c r="AT994" s="350">
        <f t="shared" si="411"/>
        <v>2438367.0661833016</v>
      </c>
      <c r="AU994" s="350">
        <f t="shared" si="394"/>
        <v>2468490.5202548103</v>
      </c>
      <c r="AV994" s="350">
        <f t="shared" si="395"/>
        <v>2496692.0186014767</v>
      </c>
      <c r="AW994" s="350">
        <f t="shared" si="396"/>
        <v>2522902.6055085929</v>
      </c>
      <c r="AX994" s="350">
        <f t="shared" si="397"/>
        <v>2547053.4932821812</v>
      </c>
      <c r="AY994" s="350">
        <f t="shared" si="398"/>
        <v>12473505.703830365</v>
      </c>
      <c r="AZ994" s="365"/>
      <c r="BA994" s="377">
        <f t="shared" si="399"/>
        <v>0</v>
      </c>
      <c r="BB994" s="377">
        <f t="shared" si="400"/>
        <v>0</v>
      </c>
      <c r="BC994" s="377">
        <f t="shared" si="401"/>
        <v>0</v>
      </c>
      <c r="BD994" s="377">
        <f t="shared" si="402"/>
        <v>0</v>
      </c>
      <c r="BE994" s="377">
        <f t="shared" si="403"/>
        <v>0</v>
      </c>
      <c r="BF994" s="377">
        <f t="shared" si="404"/>
        <v>0</v>
      </c>
      <c r="BG994" s="328"/>
    </row>
    <row r="995" spans="2:59">
      <c r="B995" s="332">
        <v>980</v>
      </c>
      <c r="C995" s="350">
        <v>7754306.8774785046</v>
      </c>
      <c r="D995" s="350">
        <v>47898.142638084741</v>
      </c>
      <c r="E995" s="350">
        <v>45860.790851577673</v>
      </c>
      <c r="F995" s="350">
        <v>43768.617153692132</v>
      </c>
      <c r="G995" s="350">
        <v>41621.728409749245</v>
      </c>
      <c r="H995" s="348">
        <v>7933456.1565316087</v>
      </c>
      <c r="I995" s="369"/>
      <c r="J995" s="350">
        <v>9588380.7822435144</v>
      </c>
      <c r="K995" s="350">
        <v>1904630.0966361919</v>
      </c>
      <c r="L995" s="350">
        <v>1923805.1508529601</v>
      </c>
      <c r="M995" s="350">
        <v>1941427.8733007812</v>
      </c>
      <c r="N995" s="350">
        <v>1957446.6305978887</v>
      </c>
      <c r="O995" s="348">
        <v>17315690.533631336</v>
      </c>
      <c r="P995" s="369"/>
      <c r="Q995" s="350">
        <f t="shared" si="405"/>
        <v>1834073.9047650099</v>
      </c>
      <c r="R995" s="350">
        <f t="shared" si="406"/>
        <v>1856731.9539981072</v>
      </c>
      <c r="S995" s="350">
        <f t="shared" si="407"/>
        <v>1877944.3600013824</v>
      </c>
      <c r="T995" s="350">
        <f t="shared" si="408"/>
        <v>1897659.2561470892</v>
      </c>
      <c r="U995" s="350">
        <f t="shared" si="409"/>
        <v>1915824.9021881395</v>
      </c>
      <c r="V995" s="350">
        <f t="shared" si="410"/>
        <v>9382234.3770997263</v>
      </c>
      <c r="W995" s="365"/>
      <c r="X995" s="377">
        <f t="shared" si="388"/>
        <v>0</v>
      </c>
      <c r="Y995" s="377">
        <f t="shared" si="389"/>
        <v>0</v>
      </c>
      <c r="Z995" s="377">
        <f t="shared" si="390"/>
        <v>0</v>
      </c>
      <c r="AA995" s="377">
        <f t="shared" si="391"/>
        <v>0</v>
      </c>
      <c r="AB995" s="377">
        <f t="shared" si="392"/>
        <v>0</v>
      </c>
      <c r="AC995" s="377">
        <f t="shared" si="393"/>
        <v>0</v>
      </c>
      <c r="AD995" s="376"/>
      <c r="AE995" s="332">
        <v>980</v>
      </c>
      <c r="AF995" s="350">
        <v>7199438.7950042766</v>
      </c>
      <c r="AG995" s="350">
        <v>44470.73758698209</v>
      </c>
      <c r="AH995" s="350">
        <v>42579.170781256085</v>
      </c>
      <c r="AI995" s="350">
        <v>40636.704907202118</v>
      </c>
      <c r="AJ995" s="350">
        <v>38643.439183273884</v>
      </c>
      <c r="AK995" s="348">
        <v>7365768.8474629913</v>
      </c>
      <c r="AL995" s="369"/>
      <c r="AM995" s="350">
        <v>9023653.3244028185</v>
      </c>
      <c r="AN995" s="350">
        <v>1891221.5140317613</v>
      </c>
      <c r="AO995" s="350">
        <v>1910428.3223428407</v>
      </c>
      <c r="AP995" s="350">
        <v>1928094.7718462669</v>
      </c>
      <c r="AQ995" s="350">
        <v>1944169.4996518814</v>
      </c>
      <c r="AR995" s="348">
        <v>16697567.432275569</v>
      </c>
      <c r="AS995" s="369"/>
      <c r="AT995" s="350">
        <f t="shared" si="411"/>
        <v>1824214.5293985419</v>
      </c>
      <c r="AU995" s="350">
        <f t="shared" si="394"/>
        <v>1846750.7764447792</v>
      </c>
      <c r="AV995" s="350">
        <f t="shared" si="395"/>
        <v>1867849.1515615846</v>
      </c>
      <c r="AW995" s="350">
        <f t="shared" si="396"/>
        <v>1887458.0669390648</v>
      </c>
      <c r="AX995" s="350">
        <f t="shared" si="397"/>
        <v>1905526.0604686076</v>
      </c>
      <c r="AY995" s="350">
        <f t="shared" si="398"/>
        <v>9331798.5848125778</v>
      </c>
      <c r="AZ995" s="365"/>
      <c r="BA995" s="377">
        <f t="shared" si="399"/>
        <v>0</v>
      </c>
      <c r="BB995" s="377">
        <f t="shared" si="400"/>
        <v>0</v>
      </c>
      <c r="BC995" s="377">
        <f t="shared" si="401"/>
        <v>0</v>
      </c>
      <c r="BD995" s="377">
        <f t="shared" si="402"/>
        <v>0</v>
      </c>
      <c r="BE995" s="377">
        <f t="shared" si="403"/>
        <v>0</v>
      </c>
      <c r="BF995" s="377">
        <f t="shared" si="404"/>
        <v>0</v>
      </c>
      <c r="BG995" s="328"/>
    </row>
    <row r="996" spans="2:59">
      <c r="B996" s="332">
        <v>981</v>
      </c>
      <c r="C996" s="350">
        <v>6153288.0758726699</v>
      </c>
      <c r="D996" s="350">
        <v>38008.693053842457</v>
      </c>
      <c r="E996" s="350">
        <v>36391.989891025958</v>
      </c>
      <c r="F996" s="350">
        <v>34731.783805391759</v>
      </c>
      <c r="G996" s="350">
        <v>33028.15959796057</v>
      </c>
      <c r="H996" s="348">
        <v>6295448.7022208907</v>
      </c>
      <c r="I996" s="369"/>
      <c r="J996" s="350">
        <v>7501146.0682608476</v>
      </c>
      <c r="K996" s="350">
        <v>1402518.0497471387</v>
      </c>
      <c r="L996" s="350">
        <v>1416490.3099816088</v>
      </c>
      <c r="M996" s="350">
        <v>1429318.5496832749</v>
      </c>
      <c r="N996" s="350">
        <v>1440964.829827962</v>
      </c>
      <c r="O996" s="348">
        <v>13190437.807500832</v>
      </c>
      <c r="P996" s="369"/>
      <c r="Q996" s="350">
        <f t="shared" si="405"/>
        <v>1347857.9923881777</v>
      </c>
      <c r="R996" s="350">
        <f t="shared" si="406"/>
        <v>1364509.3566932962</v>
      </c>
      <c r="S996" s="350">
        <f t="shared" si="407"/>
        <v>1380098.3200905828</v>
      </c>
      <c r="T996" s="350">
        <f t="shared" si="408"/>
        <v>1394586.7658778832</v>
      </c>
      <c r="U996" s="350">
        <f t="shared" si="409"/>
        <v>1407936.6702300014</v>
      </c>
      <c r="V996" s="350">
        <f t="shared" si="410"/>
        <v>6894989.1052799411</v>
      </c>
      <c r="W996" s="365"/>
      <c r="X996" s="377">
        <f t="shared" si="388"/>
        <v>0</v>
      </c>
      <c r="Y996" s="377">
        <f t="shared" si="389"/>
        <v>0</v>
      </c>
      <c r="Z996" s="377">
        <f t="shared" si="390"/>
        <v>0</v>
      </c>
      <c r="AA996" s="377">
        <f t="shared" si="391"/>
        <v>0</v>
      </c>
      <c r="AB996" s="377">
        <f t="shared" si="392"/>
        <v>0</v>
      </c>
      <c r="AC996" s="377">
        <f t="shared" si="393"/>
        <v>0</v>
      </c>
      <c r="AD996" s="376"/>
      <c r="AE996" s="332">
        <v>981</v>
      </c>
      <c r="AF996" s="350">
        <v>4949963.062489789</v>
      </c>
      <c r="AG996" s="350">
        <v>30575.787180798452</v>
      </c>
      <c r="AH996" s="350">
        <v>29275.243334927323</v>
      </c>
      <c r="AI996" s="350">
        <v>27939.703912966786</v>
      </c>
      <c r="AJ996" s="350">
        <v>26569.237132414786</v>
      </c>
      <c r="AK996" s="348">
        <v>5064323.0340508968</v>
      </c>
      <c r="AL996" s="369"/>
      <c r="AM996" s="350">
        <v>6717324.4891926721</v>
      </c>
      <c r="AN996" s="350">
        <v>1819771.1007924213</v>
      </c>
      <c r="AO996" s="350">
        <v>1838911.3843528787</v>
      </c>
      <c r="AP996" s="350">
        <v>1856573.632800234</v>
      </c>
      <c r="AQ996" s="350">
        <v>1872708.0561010905</v>
      </c>
      <c r="AR996" s="348">
        <v>14105288.663239298</v>
      </c>
      <c r="AS996" s="369"/>
      <c r="AT996" s="350">
        <f t="shared" si="411"/>
        <v>1767361.4267028831</v>
      </c>
      <c r="AU996" s="350">
        <f t="shared" si="394"/>
        <v>1789195.3136116229</v>
      </c>
      <c r="AV996" s="350">
        <f t="shared" si="395"/>
        <v>1809636.1410179513</v>
      </c>
      <c r="AW996" s="350">
        <f t="shared" si="396"/>
        <v>1828633.9288872671</v>
      </c>
      <c r="AX996" s="350">
        <f t="shared" si="397"/>
        <v>1846138.8189686758</v>
      </c>
      <c r="AY996" s="350">
        <f t="shared" si="398"/>
        <v>9040965.6291884016</v>
      </c>
      <c r="AZ996" s="365"/>
      <c r="BA996" s="377">
        <f t="shared" si="399"/>
        <v>0</v>
      </c>
      <c r="BB996" s="377">
        <f t="shared" si="400"/>
        <v>0</v>
      </c>
      <c r="BC996" s="377">
        <f t="shared" si="401"/>
        <v>0</v>
      </c>
      <c r="BD996" s="377">
        <f t="shared" si="402"/>
        <v>0</v>
      </c>
      <c r="BE996" s="377">
        <f t="shared" si="403"/>
        <v>0</v>
      </c>
      <c r="BF996" s="377">
        <f t="shared" si="404"/>
        <v>0</v>
      </c>
      <c r="BG996" s="328"/>
    </row>
    <row r="997" spans="2:59">
      <c r="B997" s="332">
        <v>982</v>
      </c>
      <c r="C997" s="350">
        <v>5868485.9525526753</v>
      </c>
      <c r="D997" s="350">
        <v>36249.478085701456</v>
      </c>
      <c r="E997" s="350">
        <v>34707.603289097962</v>
      </c>
      <c r="F997" s="350">
        <v>33124.239082554581</v>
      </c>
      <c r="G997" s="350">
        <v>31499.466342117095</v>
      </c>
      <c r="H997" s="348">
        <v>6004066.7393521452</v>
      </c>
      <c r="I997" s="369"/>
      <c r="J997" s="350">
        <v>8741617.2407847662</v>
      </c>
      <c r="K997" s="350">
        <v>2944875.2739342949</v>
      </c>
      <c r="L997" s="350">
        <v>2976563.2636640649</v>
      </c>
      <c r="M997" s="350">
        <v>3005863.8702796949</v>
      </c>
      <c r="N997" s="350">
        <v>3032696.12202224</v>
      </c>
      <c r="O997" s="348">
        <v>20701615.770685062</v>
      </c>
      <c r="P997" s="369"/>
      <c r="Q997" s="350">
        <f t="shared" si="405"/>
        <v>2873131.2882320909</v>
      </c>
      <c r="R997" s="350">
        <f t="shared" si="406"/>
        <v>2908625.7958485936</v>
      </c>
      <c r="S997" s="350">
        <f t="shared" si="407"/>
        <v>2941855.6603749669</v>
      </c>
      <c r="T997" s="350">
        <f t="shared" si="408"/>
        <v>2972739.6311971406</v>
      </c>
      <c r="U997" s="350">
        <f t="shared" si="409"/>
        <v>3001196.6556801228</v>
      </c>
      <c r="V997" s="350">
        <f t="shared" si="410"/>
        <v>14697549.031332918</v>
      </c>
      <c r="W997" s="365"/>
      <c r="X997" s="377">
        <f t="shared" si="388"/>
        <v>0</v>
      </c>
      <c r="Y997" s="377">
        <f t="shared" si="389"/>
        <v>0</v>
      </c>
      <c r="Z997" s="377">
        <f t="shared" si="390"/>
        <v>0</v>
      </c>
      <c r="AA997" s="377">
        <f t="shared" si="391"/>
        <v>0</v>
      </c>
      <c r="AB997" s="377">
        <f t="shared" si="392"/>
        <v>0</v>
      </c>
      <c r="AC997" s="377">
        <f t="shared" si="393"/>
        <v>0</v>
      </c>
      <c r="AD997" s="376"/>
      <c r="AE997" s="332">
        <v>982</v>
      </c>
      <c r="AF997" s="350">
        <v>4081135.1339963758</v>
      </c>
      <c r="AG997" s="350">
        <v>25209.060701634513</v>
      </c>
      <c r="AH997" s="350">
        <v>24136.791047158302</v>
      </c>
      <c r="AI997" s="350">
        <v>23035.668313715945</v>
      </c>
      <c r="AJ997" s="350">
        <v>21905.748745131466</v>
      </c>
      <c r="AK997" s="348">
        <v>4175422.4028040161</v>
      </c>
      <c r="AL997" s="369"/>
      <c r="AM997" s="350">
        <v>6589830.74927973</v>
      </c>
      <c r="AN997" s="350">
        <v>2564896.9651257163</v>
      </c>
      <c r="AO997" s="350">
        <v>2592839.5949209165</v>
      </c>
      <c r="AP997" s="350">
        <v>2618705.0373776769</v>
      </c>
      <c r="AQ997" s="350">
        <v>2642422.5770382895</v>
      </c>
      <c r="AR997" s="348">
        <v>17008694.923742328</v>
      </c>
      <c r="AS997" s="369"/>
      <c r="AT997" s="350">
        <f t="shared" si="411"/>
        <v>2508695.6152833542</v>
      </c>
      <c r="AU997" s="350">
        <f t="shared" si="394"/>
        <v>2539687.9044240816</v>
      </c>
      <c r="AV997" s="350">
        <f t="shared" si="395"/>
        <v>2568702.8038737583</v>
      </c>
      <c r="AW997" s="350">
        <f t="shared" si="396"/>
        <v>2595669.3690639609</v>
      </c>
      <c r="AX997" s="350">
        <f t="shared" si="397"/>
        <v>2620516.8282931582</v>
      </c>
      <c r="AY997" s="350">
        <f t="shared" si="398"/>
        <v>12833272.520938311</v>
      </c>
      <c r="AZ997" s="365"/>
      <c r="BA997" s="377">
        <f t="shared" si="399"/>
        <v>0</v>
      </c>
      <c r="BB997" s="377">
        <f t="shared" si="400"/>
        <v>0</v>
      </c>
      <c r="BC997" s="377">
        <f t="shared" si="401"/>
        <v>0</v>
      </c>
      <c r="BD997" s="377">
        <f t="shared" si="402"/>
        <v>0</v>
      </c>
      <c r="BE997" s="377">
        <f t="shared" si="403"/>
        <v>0</v>
      </c>
      <c r="BF997" s="377">
        <f t="shared" si="404"/>
        <v>0</v>
      </c>
      <c r="BG997" s="328"/>
    </row>
    <row r="998" spans="2:59">
      <c r="B998" s="332">
        <v>983</v>
      </c>
      <c r="C998" s="350">
        <v>5783292.1770190513</v>
      </c>
      <c r="D998" s="350">
        <v>35723.238451798381</v>
      </c>
      <c r="E998" s="350">
        <v>34203.747305146913</v>
      </c>
      <c r="F998" s="350">
        <v>32643.369057145075</v>
      </c>
      <c r="G998" s="350">
        <v>31042.183409742658</v>
      </c>
      <c r="H998" s="348">
        <v>5916904.7152428851</v>
      </c>
      <c r="I998" s="369"/>
      <c r="J998" s="350">
        <v>7553464.4618047941</v>
      </c>
      <c r="K998" s="350">
        <v>1827764.1353341066</v>
      </c>
      <c r="L998" s="350">
        <v>1846717.9812231474</v>
      </c>
      <c r="M998" s="350">
        <v>1864185.6054258042</v>
      </c>
      <c r="N998" s="350">
        <v>1880117.1500972593</v>
      </c>
      <c r="O998" s="348">
        <v>14972249.333885111</v>
      </c>
      <c r="P998" s="369"/>
      <c r="Q998" s="350">
        <f t="shared" si="405"/>
        <v>1770172.2847857429</v>
      </c>
      <c r="R998" s="350">
        <f t="shared" si="406"/>
        <v>1792040.8968823082</v>
      </c>
      <c r="S998" s="350">
        <f t="shared" si="407"/>
        <v>1812514.2339180005</v>
      </c>
      <c r="T998" s="350">
        <f t="shared" si="408"/>
        <v>1831542.2363686592</v>
      </c>
      <c r="U998" s="350">
        <f t="shared" si="409"/>
        <v>1849074.9666875168</v>
      </c>
      <c r="V998" s="350">
        <f t="shared" si="410"/>
        <v>9055344.6186422259</v>
      </c>
      <c r="W998" s="365"/>
      <c r="X998" s="377">
        <f t="shared" si="388"/>
        <v>0</v>
      </c>
      <c r="Y998" s="377">
        <f t="shared" si="389"/>
        <v>0</v>
      </c>
      <c r="Z998" s="377">
        <f t="shared" si="390"/>
        <v>0</v>
      </c>
      <c r="AA998" s="377">
        <f t="shared" si="391"/>
        <v>0</v>
      </c>
      <c r="AB998" s="377">
        <f t="shared" si="392"/>
        <v>0</v>
      </c>
      <c r="AC998" s="377">
        <f t="shared" si="393"/>
        <v>0</v>
      </c>
      <c r="AD998" s="376"/>
      <c r="AE998" s="332">
        <v>983</v>
      </c>
      <c r="AF998" s="350">
        <v>4305674.5796964783</v>
      </c>
      <c r="AG998" s="350">
        <v>26596.034749471091</v>
      </c>
      <c r="AH998" s="350">
        <v>25464.770029661639</v>
      </c>
      <c r="AI998" s="350">
        <v>24303.064767073072</v>
      </c>
      <c r="AJ998" s="350">
        <v>23110.978299992628</v>
      </c>
      <c r="AK998" s="348">
        <v>4405149.4275426762</v>
      </c>
      <c r="AL998" s="369"/>
      <c r="AM998" s="350">
        <v>6428474.946486556</v>
      </c>
      <c r="AN998" s="350">
        <v>2175621.3617757768</v>
      </c>
      <c r="AO998" s="350">
        <v>2199041.8357439572</v>
      </c>
      <c r="AP998" s="350">
        <v>2220698.615963663</v>
      </c>
      <c r="AQ998" s="350">
        <v>2240531.8763916767</v>
      </c>
      <c r="AR998" s="348">
        <v>15264368.636361631</v>
      </c>
      <c r="AS998" s="369"/>
      <c r="AT998" s="350">
        <f t="shared" si="411"/>
        <v>2122800.3667900776</v>
      </c>
      <c r="AU998" s="350">
        <f t="shared" si="394"/>
        <v>2149025.3270263057</v>
      </c>
      <c r="AV998" s="350">
        <f t="shared" si="395"/>
        <v>2173577.0657142955</v>
      </c>
      <c r="AW998" s="350">
        <f t="shared" si="396"/>
        <v>2196395.5511965901</v>
      </c>
      <c r="AX998" s="350">
        <f t="shared" si="397"/>
        <v>2217420.8980916841</v>
      </c>
      <c r="AY998" s="350">
        <f t="shared" si="398"/>
        <v>10859219.208818953</v>
      </c>
      <c r="AZ998" s="365"/>
      <c r="BA998" s="377">
        <f t="shared" si="399"/>
        <v>0</v>
      </c>
      <c r="BB998" s="377">
        <f t="shared" si="400"/>
        <v>0</v>
      </c>
      <c r="BC998" s="377">
        <f t="shared" si="401"/>
        <v>0</v>
      </c>
      <c r="BD998" s="377">
        <f t="shared" si="402"/>
        <v>0</v>
      </c>
      <c r="BE998" s="377">
        <f t="shared" si="403"/>
        <v>0</v>
      </c>
      <c r="BF998" s="377">
        <f t="shared" si="404"/>
        <v>0</v>
      </c>
      <c r="BG998" s="328"/>
    </row>
    <row r="999" spans="2:59">
      <c r="B999" s="332">
        <v>984</v>
      </c>
      <c r="C999" s="350">
        <v>6144253.3625968341</v>
      </c>
      <c r="D999" s="350">
        <v>37952.885875711516</v>
      </c>
      <c r="E999" s="350">
        <v>36338.556476215832</v>
      </c>
      <c r="F999" s="350">
        <v>34680.788028115443</v>
      </c>
      <c r="G999" s="350">
        <v>32979.665207917773</v>
      </c>
      <c r="H999" s="348">
        <v>6286205.2581847943</v>
      </c>
      <c r="I999" s="369"/>
      <c r="J999" s="350">
        <v>7751217.8697916623</v>
      </c>
      <c r="K999" s="350">
        <v>1664769.7451623832</v>
      </c>
      <c r="L999" s="350">
        <v>1681741.1354936522</v>
      </c>
      <c r="M999" s="350">
        <v>1697357.0103196176</v>
      </c>
      <c r="N999" s="350">
        <v>1711572.1209523857</v>
      </c>
      <c r="O999" s="348">
        <v>14506657.881719701</v>
      </c>
      <c r="P999" s="369"/>
      <c r="Q999" s="350">
        <f t="shared" si="405"/>
        <v>1606964.5071948282</v>
      </c>
      <c r="R999" s="350">
        <f t="shared" si="406"/>
        <v>1626816.8592866717</v>
      </c>
      <c r="S999" s="350">
        <f t="shared" si="407"/>
        <v>1645402.5790174364</v>
      </c>
      <c r="T999" s="350">
        <f t="shared" si="408"/>
        <v>1662676.2222915022</v>
      </c>
      <c r="U999" s="350">
        <f t="shared" si="409"/>
        <v>1678592.4557444679</v>
      </c>
      <c r="V999" s="350">
        <f t="shared" si="410"/>
        <v>8220452.6235349067</v>
      </c>
      <c r="W999" s="365"/>
      <c r="X999" s="377">
        <f t="shared" si="388"/>
        <v>0</v>
      </c>
      <c r="Y999" s="377">
        <f t="shared" si="389"/>
        <v>0</v>
      </c>
      <c r="Z999" s="377">
        <f t="shared" si="390"/>
        <v>0</v>
      </c>
      <c r="AA999" s="377">
        <f t="shared" si="391"/>
        <v>0</v>
      </c>
      <c r="AB999" s="377">
        <f t="shared" si="392"/>
        <v>0</v>
      </c>
      <c r="AC999" s="377">
        <f t="shared" si="393"/>
        <v>0</v>
      </c>
      <c r="AD999" s="376"/>
      <c r="AE999" s="332">
        <v>984</v>
      </c>
      <c r="AF999" s="350">
        <v>6666354.3140015211</v>
      </c>
      <c r="AG999" s="350">
        <v>41177.889249579144</v>
      </c>
      <c r="AH999" s="350">
        <v>39426.384042767611</v>
      </c>
      <c r="AI999" s="350">
        <v>37627.748603530796</v>
      </c>
      <c r="AJ999" s="350">
        <v>35782.074803669959</v>
      </c>
      <c r="AK999" s="348">
        <v>6820368.410701069</v>
      </c>
      <c r="AL999" s="369"/>
      <c r="AM999" s="350">
        <v>8997917.8681357913</v>
      </c>
      <c r="AN999" s="350">
        <v>2401545.4526783573</v>
      </c>
      <c r="AO999" s="350">
        <v>2426760.1850938387</v>
      </c>
      <c r="AP999" s="350">
        <v>2450024.080236081</v>
      </c>
      <c r="AQ999" s="350">
        <v>2471271.4552695248</v>
      </c>
      <c r="AR999" s="348">
        <v>18747519.04141359</v>
      </c>
      <c r="AS999" s="369"/>
      <c r="AT999" s="350">
        <f t="shared" si="411"/>
        <v>2331563.5541342702</v>
      </c>
      <c r="AU999" s="350">
        <f t="shared" si="394"/>
        <v>2360367.5634287782</v>
      </c>
      <c r="AV999" s="350">
        <f t="shared" si="395"/>
        <v>2387333.8010510709</v>
      </c>
      <c r="AW999" s="350">
        <f t="shared" si="396"/>
        <v>2412396.3316325503</v>
      </c>
      <c r="AX999" s="350">
        <f t="shared" si="397"/>
        <v>2435489.3804658549</v>
      </c>
      <c r="AY999" s="350">
        <f t="shared" si="398"/>
        <v>11927150.63071252</v>
      </c>
      <c r="AZ999" s="365"/>
      <c r="BA999" s="377">
        <f t="shared" si="399"/>
        <v>0</v>
      </c>
      <c r="BB999" s="377">
        <f t="shared" si="400"/>
        <v>0</v>
      </c>
      <c r="BC999" s="377">
        <f t="shared" si="401"/>
        <v>0</v>
      </c>
      <c r="BD999" s="377">
        <f t="shared" si="402"/>
        <v>0</v>
      </c>
      <c r="BE999" s="377">
        <f t="shared" si="403"/>
        <v>0</v>
      </c>
      <c r="BF999" s="377">
        <f t="shared" si="404"/>
        <v>0</v>
      </c>
      <c r="BG999" s="328"/>
    </row>
    <row r="1000" spans="2:59">
      <c r="B1000" s="332">
        <v>985</v>
      </c>
      <c r="C1000" s="350">
        <v>8898319.1627166308</v>
      </c>
      <c r="D1000" s="350">
        <v>54964.675402891604</v>
      </c>
      <c r="E1000" s="350">
        <v>52626.748012407712</v>
      </c>
      <c r="F1000" s="350">
        <v>50225.910696861298</v>
      </c>
      <c r="G1000" s="350">
        <v>47762.286087690343</v>
      </c>
      <c r="H1000" s="348">
        <v>9103898.7829164807</v>
      </c>
      <c r="I1000" s="369"/>
      <c r="J1000" s="350">
        <v>11628054.369159808</v>
      </c>
      <c r="K1000" s="350">
        <v>2818422.8820698964</v>
      </c>
      <c r="L1000" s="350">
        <v>2847656.3386514927</v>
      </c>
      <c r="M1000" s="350">
        <v>2874598.0736066084</v>
      </c>
      <c r="N1000" s="350">
        <v>2899171.2022150811</v>
      </c>
      <c r="O1000" s="348">
        <v>23067902.86570289</v>
      </c>
      <c r="P1000" s="369"/>
      <c r="Q1000" s="350">
        <f t="shared" si="405"/>
        <v>2729735.2064431775</v>
      </c>
      <c r="R1000" s="350">
        <f t="shared" si="406"/>
        <v>2763458.2066670046</v>
      </c>
      <c r="S1000" s="350">
        <f t="shared" si="407"/>
        <v>2795029.590639085</v>
      </c>
      <c r="T1000" s="350">
        <f t="shared" si="408"/>
        <v>2824372.1629097471</v>
      </c>
      <c r="U1000" s="350">
        <f t="shared" si="409"/>
        <v>2851408.9161273907</v>
      </c>
      <c r="V1000" s="350">
        <f t="shared" si="410"/>
        <v>13964004.082786409</v>
      </c>
      <c r="W1000" s="365"/>
      <c r="X1000" s="377">
        <f t="shared" si="388"/>
        <v>0</v>
      </c>
      <c r="Y1000" s="377">
        <f t="shared" si="389"/>
        <v>0</v>
      </c>
      <c r="Z1000" s="377">
        <f t="shared" si="390"/>
        <v>0</v>
      </c>
      <c r="AA1000" s="377">
        <f t="shared" si="391"/>
        <v>0</v>
      </c>
      <c r="AB1000" s="377">
        <f t="shared" si="392"/>
        <v>0</v>
      </c>
      <c r="AC1000" s="377">
        <f t="shared" si="393"/>
        <v>0</v>
      </c>
      <c r="AD1000" s="376"/>
      <c r="AE1000" s="332">
        <v>985</v>
      </c>
      <c r="AF1000" s="350">
        <v>5233928.5718997363</v>
      </c>
      <c r="AG1000" s="350">
        <v>32329.834407575621</v>
      </c>
      <c r="AH1000" s="350">
        <v>30954.682005833511</v>
      </c>
      <c r="AI1000" s="350">
        <v>29542.526429871938</v>
      </c>
      <c r="AJ1000" s="350">
        <v>28093.43981063606</v>
      </c>
      <c r="AK1000" s="348">
        <v>5354849.054553654</v>
      </c>
      <c r="AL1000" s="369"/>
      <c r="AM1000" s="350">
        <v>7225571.0131189115</v>
      </c>
      <c r="AN1000" s="350">
        <v>2048576.9179863771</v>
      </c>
      <c r="AO1000" s="350">
        <v>2070236.5669450038</v>
      </c>
      <c r="AP1000" s="350">
        <v>2090233.0491485787</v>
      </c>
      <c r="AQ1000" s="350">
        <v>2108510.2513847332</v>
      </c>
      <c r="AR1000" s="348">
        <v>15543127.798583604</v>
      </c>
      <c r="AS1000" s="369"/>
      <c r="AT1000" s="350">
        <f t="shared" si="411"/>
        <v>1991642.4412191752</v>
      </c>
      <c r="AU1000" s="350">
        <f t="shared" si="394"/>
        <v>2016247.0835788015</v>
      </c>
      <c r="AV1000" s="350">
        <f t="shared" si="395"/>
        <v>2039281.8849391702</v>
      </c>
      <c r="AW1000" s="350">
        <f t="shared" si="396"/>
        <v>2060690.5227187066</v>
      </c>
      <c r="AX1000" s="350">
        <f t="shared" si="397"/>
        <v>2080416.8115740973</v>
      </c>
      <c r="AY1000" s="350">
        <f t="shared" si="398"/>
        <v>10188278.74402995</v>
      </c>
      <c r="AZ1000" s="365"/>
      <c r="BA1000" s="377">
        <f t="shared" si="399"/>
        <v>0</v>
      </c>
      <c r="BB1000" s="377">
        <f t="shared" si="400"/>
        <v>0</v>
      </c>
      <c r="BC1000" s="377">
        <f t="shared" si="401"/>
        <v>0</v>
      </c>
      <c r="BD1000" s="377">
        <f t="shared" si="402"/>
        <v>0</v>
      </c>
      <c r="BE1000" s="377">
        <f t="shared" si="403"/>
        <v>0</v>
      </c>
      <c r="BF1000" s="377">
        <f t="shared" si="404"/>
        <v>0</v>
      </c>
      <c r="BG1000" s="328"/>
    </row>
    <row r="1001" spans="2:59">
      <c r="B1001" s="332">
        <v>986</v>
      </c>
      <c r="C1001" s="350">
        <v>6425019.1406479115</v>
      </c>
      <c r="D1001" s="350">
        <v>39687.168448928591</v>
      </c>
      <c r="E1001" s="350">
        <v>37999.071184871849</v>
      </c>
      <c r="F1001" s="350">
        <v>36265.549895750359</v>
      </c>
      <c r="G1001" s="350">
        <v>34486.693127426413</v>
      </c>
      <c r="H1001" s="348">
        <v>6573457.6233048886</v>
      </c>
      <c r="I1001" s="369"/>
      <c r="J1001" s="350">
        <v>8498224.8723994624</v>
      </c>
      <c r="K1001" s="350">
        <v>2138505.1710137334</v>
      </c>
      <c r="L1001" s="350">
        <v>2160795.2142139077</v>
      </c>
      <c r="M1001" s="350">
        <v>2181347.0738922423</v>
      </c>
      <c r="N1001" s="350">
        <v>2200102.3523054072</v>
      </c>
      <c r="O1001" s="348">
        <v>17178974.683824755</v>
      </c>
      <c r="P1001" s="369"/>
      <c r="Q1001" s="350">
        <f t="shared" si="405"/>
        <v>2073205.7317515509</v>
      </c>
      <c r="R1001" s="350">
        <f t="shared" si="406"/>
        <v>2098818.0025648046</v>
      </c>
      <c r="S1001" s="350">
        <f t="shared" si="407"/>
        <v>2122796.143029036</v>
      </c>
      <c r="T1001" s="350">
        <f t="shared" si="408"/>
        <v>2145081.5239964919</v>
      </c>
      <c r="U1001" s="350">
        <f t="shared" si="409"/>
        <v>2165615.6591779809</v>
      </c>
      <c r="V1001" s="350">
        <f t="shared" si="410"/>
        <v>10605517.060519867</v>
      </c>
      <c r="W1001" s="365"/>
      <c r="X1001" s="377">
        <f t="shared" si="388"/>
        <v>0</v>
      </c>
      <c r="Y1001" s="377">
        <f t="shared" si="389"/>
        <v>0</v>
      </c>
      <c r="Z1001" s="377">
        <f t="shared" si="390"/>
        <v>0</v>
      </c>
      <c r="AA1001" s="377">
        <f t="shared" si="391"/>
        <v>0</v>
      </c>
      <c r="AB1001" s="377">
        <f t="shared" si="392"/>
        <v>0</v>
      </c>
      <c r="AC1001" s="377">
        <f t="shared" si="393"/>
        <v>0</v>
      </c>
      <c r="AD1001" s="376"/>
      <c r="AE1001" s="332">
        <v>986</v>
      </c>
      <c r="AF1001" s="350">
        <v>6428422.3929613885</v>
      </c>
      <c r="AG1001" s="350">
        <v>39708.190245890299</v>
      </c>
      <c r="AH1001" s="350">
        <v>38019.19881781438</v>
      </c>
      <c r="AI1001" s="350">
        <v>36284.759304140964</v>
      </c>
      <c r="AJ1001" s="350">
        <v>34504.960297623991</v>
      </c>
      <c r="AK1001" s="348">
        <v>6576939.5016268576</v>
      </c>
      <c r="AL1001" s="369"/>
      <c r="AM1001" s="350">
        <v>8581469.6636574809</v>
      </c>
      <c r="AN1001" s="350">
        <v>2219354.0897834236</v>
      </c>
      <c r="AO1001" s="350">
        <v>2242566.6646071719</v>
      </c>
      <c r="AP1001" s="350">
        <v>2263975.8417320065</v>
      </c>
      <c r="AQ1001" s="350">
        <v>2283520.9710871568</v>
      </c>
      <c r="AR1001" s="348">
        <v>17590887.230867241</v>
      </c>
      <c r="AS1001" s="369"/>
      <c r="AT1001" s="350">
        <f t="shared" si="411"/>
        <v>2153047.2706960924</v>
      </c>
      <c r="AU1001" s="350">
        <f t="shared" si="394"/>
        <v>2179645.8995375331</v>
      </c>
      <c r="AV1001" s="350">
        <f t="shared" si="395"/>
        <v>2204547.4657893577</v>
      </c>
      <c r="AW1001" s="350">
        <f t="shared" si="396"/>
        <v>2227691.0824278654</v>
      </c>
      <c r="AX1001" s="350">
        <f t="shared" si="397"/>
        <v>2249016.0107895327</v>
      </c>
      <c r="AY1001" s="350">
        <f t="shared" si="398"/>
        <v>11013947.729240384</v>
      </c>
      <c r="AZ1001" s="365"/>
      <c r="BA1001" s="377">
        <f t="shared" si="399"/>
        <v>0</v>
      </c>
      <c r="BB1001" s="377">
        <f t="shared" si="400"/>
        <v>0</v>
      </c>
      <c r="BC1001" s="377">
        <f t="shared" si="401"/>
        <v>0</v>
      </c>
      <c r="BD1001" s="377">
        <f t="shared" si="402"/>
        <v>0</v>
      </c>
      <c r="BE1001" s="377">
        <f t="shared" si="403"/>
        <v>0</v>
      </c>
      <c r="BF1001" s="377">
        <f t="shared" si="404"/>
        <v>0</v>
      </c>
      <c r="BG1001" s="328"/>
    </row>
    <row r="1002" spans="2:59">
      <c r="B1002" s="332">
        <v>987</v>
      </c>
      <c r="C1002" s="350">
        <v>7312585.6318626516</v>
      </c>
      <c r="D1002" s="350">
        <v>45169.642520269568</v>
      </c>
      <c r="E1002" s="350">
        <v>43248.347730617243</v>
      </c>
      <c r="F1002" s="350">
        <v>41275.353939649845</v>
      </c>
      <c r="G1002" s="350">
        <v>39250.761925145671</v>
      </c>
      <c r="H1002" s="348">
        <v>7481529.7379783336</v>
      </c>
      <c r="I1002" s="369"/>
      <c r="J1002" s="350">
        <v>9363224.6247214451</v>
      </c>
      <c r="K1002" s="350">
        <v>2121142.117927826</v>
      </c>
      <c r="L1002" s="350">
        <v>2142937.9627636038</v>
      </c>
      <c r="M1002" s="350">
        <v>2163007.7747022817</v>
      </c>
      <c r="N1002" s="350">
        <v>2181293.8048527138</v>
      </c>
      <c r="O1002" s="348">
        <v>17971606.28496787</v>
      </c>
      <c r="P1002" s="369"/>
      <c r="Q1002" s="350">
        <f t="shared" si="405"/>
        <v>2050638.9928587936</v>
      </c>
      <c r="R1002" s="350">
        <f t="shared" si="406"/>
        <v>2075972.4754075564</v>
      </c>
      <c r="S1002" s="350">
        <f t="shared" si="407"/>
        <v>2099689.6150329867</v>
      </c>
      <c r="T1002" s="350">
        <f t="shared" si="408"/>
        <v>2121732.420762632</v>
      </c>
      <c r="U1002" s="350">
        <f t="shared" si="409"/>
        <v>2142043.0429275683</v>
      </c>
      <c r="V1002" s="350">
        <f t="shared" si="410"/>
        <v>10490076.546989536</v>
      </c>
      <c r="W1002" s="365"/>
      <c r="X1002" s="377">
        <f t="shared" si="388"/>
        <v>0</v>
      </c>
      <c r="Y1002" s="377">
        <f t="shared" si="389"/>
        <v>0</v>
      </c>
      <c r="Z1002" s="377">
        <f t="shared" si="390"/>
        <v>0</v>
      </c>
      <c r="AA1002" s="377">
        <f t="shared" si="391"/>
        <v>0</v>
      </c>
      <c r="AB1002" s="377">
        <f t="shared" si="392"/>
        <v>0</v>
      </c>
      <c r="AC1002" s="377">
        <f t="shared" si="393"/>
        <v>0</v>
      </c>
      <c r="AD1002" s="376"/>
      <c r="AE1002" s="332">
        <v>987</v>
      </c>
      <c r="AF1002" s="350">
        <v>3933470.9080186673</v>
      </c>
      <c r="AG1002" s="350">
        <v>24296.942794750186</v>
      </c>
      <c r="AH1002" s="350">
        <v>23263.470157125284</v>
      </c>
      <c r="AI1002" s="350">
        <v>22202.188406842382</v>
      </c>
      <c r="AJ1002" s="350">
        <v>21113.151752699509</v>
      </c>
      <c r="AK1002" s="348">
        <v>4024346.6611300847</v>
      </c>
      <c r="AL1002" s="369"/>
      <c r="AM1002" s="350">
        <v>5775993.7237677975</v>
      </c>
      <c r="AN1002" s="350">
        <v>1889582.1851635943</v>
      </c>
      <c r="AO1002" s="350">
        <v>1909858.8363636322</v>
      </c>
      <c r="AP1002" s="350">
        <v>1928603.270110535</v>
      </c>
      <c r="AQ1002" s="350">
        <v>1945763.5620175283</v>
      </c>
      <c r="AR1002" s="348">
        <v>13449801.577423086</v>
      </c>
      <c r="AS1002" s="369"/>
      <c r="AT1002" s="350">
        <f t="shared" si="411"/>
        <v>1842522.8157491302</v>
      </c>
      <c r="AU1002" s="350">
        <f t="shared" si="394"/>
        <v>1865285.2423688441</v>
      </c>
      <c r="AV1002" s="350">
        <f t="shared" si="395"/>
        <v>1886595.366206507</v>
      </c>
      <c r="AW1002" s="350">
        <f t="shared" si="396"/>
        <v>1906401.0817036927</v>
      </c>
      <c r="AX1002" s="350">
        <f t="shared" si="397"/>
        <v>1924650.4102648289</v>
      </c>
      <c r="AY1002" s="350">
        <f t="shared" si="398"/>
        <v>9425454.9162930027</v>
      </c>
      <c r="AZ1002" s="365"/>
      <c r="BA1002" s="377">
        <f t="shared" si="399"/>
        <v>0</v>
      </c>
      <c r="BB1002" s="377">
        <f t="shared" si="400"/>
        <v>0</v>
      </c>
      <c r="BC1002" s="377">
        <f t="shared" si="401"/>
        <v>0</v>
      </c>
      <c r="BD1002" s="377">
        <f t="shared" si="402"/>
        <v>0</v>
      </c>
      <c r="BE1002" s="377">
        <f t="shared" si="403"/>
        <v>0</v>
      </c>
      <c r="BF1002" s="377">
        <f t="shared" si="404"/>
        <v>0</v>
      </c>
      <c r="BG1002" s="328"/>
    </row>
    <row r="1003" spans="2:59">
      <c r="B1003" s="332">
        <v>988</v>
      </c>
      <c r="C1003" s="350">
        <v>6637638.646280787</v>
      </c>
      <c r="D1003" s="350">
        <v>41000.51335123476</v>
      </c>
      <c r="E1003" s="350">
        <v>39256.552844141966</v>
      </c>
      <c r="F1003" s="350">
        <v>37465.665120552294</v>
      </c>
      <c r="G1003" s="350">
        <v>35627.941656521543</v>
      </c>
      <c r="H1003" s="348">
        <v>6790989.319253237</v>
      </c>
      <c r="I1003" s="369"/>
      <c r="J1003" s="350">
        <v>8494666.551223781</v>
      </c>
      <c r="K1003" s="350">
        <v>1920970.0399966661</v>
      </c>
      <c r="L1003" s="350">
        <v>1940703.9652916228</v>
      </c>
      <c r="M1003" s="350">
        <v>1958874.7117151145</v>
      </c>
      <c r="N1003" s="350">
        <v>1975429.982950978</v>
      </c>
      <c r="O1003" s="348">
        <v>16290645.251178164</v>
      </c>
      <c r="P1003" s="369"/>
      <c r="Q1003" s="350">
        <f t="shared" si="405"/>
        <v>1857027.904942994</v>
      </c>
      <c r="R1003" s="350">
        <f t="shared" si="406"/>
        <v>1879969.5266454313</v>
      </c>
      <c r="S1003" s="350">
        <f t="shared" si="407"/>
        <v>1901447.4124474807</v>
      </c>
      <c r="T1003" s="350">
        <f t="shared" si="408"/>
        <v>1921409.0465945622</v>
      </c>
      <c r="U1003" s="350">
        <f t="shared" si="409"/>
        <v>1939802.0412944565</v>
      </c>
      <c r="V1003" s="350">
        <f t="shared" si="410"/>
        <v>9499655.931924928</v>
      </c>
      <c r="W1003" s="365"/>
      <c r="X1003" s="377">
        <f t="shared" si="388"/>
        <v>0</v>
      </c>
      <c r="Y1003" s="377">
        <f t="shared" si="389"/>
        <v>0</v>
      </c>
      <c r="Z1003" s="377">
        <f t="shared" si="390"/>
        <v>0</v>
      </c>
      <c r="AA1003" s="377">
        <f t="shared" si="391"/>
        <v>0</v>
      </c>
      <c r="AB1003" s="377">
        <f t="shared" si="392"/>
        <v>0</v>
      </c>
      <c r="AC1003" s="377">
        <f t="shared" si="393"/>
        <v>0</v>
      </c>
      <c r="AD1003" s="376"/>
      <c r="AE1003" s="332">
        <v>988</v>
      </c>
      <c r="AF1003" s="350">
        <v>7584945.6829005806</v>
      </c>
      <c r="AG1003" s="350">
        <v>46852.003146390496</v>
      </c>
      <c r="AH1003" s="350">
        <v>44859.148996846707</v>
      </c>
      <c r="AI1003" s="350">
        <v>42812.670296892291</v>
      </c>
      <c r="AJ1003" s="350">
        <v>40712.671577819441</v>
      </c>
      <c r="AK1003" s="348">
        <v>7760182.1769185299</v>
      </c>
      <c r="AL1003" s="369"/>
      <c r="AM1003" s="350">
        <v>9585616.4412185382</v>
      </c>
      <c r="AN1003" s="350">
        <v>2072238.9391622089</v>
      </c>
      <c r="AO1003" s="350">
        <v>2093385.3054628684</v>
      </c>
      <c r="AP1003" s="350">
        <v>2112844.5120679131</v>
      </c>
      <c r="AQ1003" s="350">
        <v>2130560.2234714674</v>
      </c>
      <c r="AR1003" s="348">
        <v>17994645.421382997</v>
      </c>
      <c r="AS1003" s="369"/>
      <c r="AT1003" s="350">
        <f t="shared" si="411"/>
        <v>2000670.7583179576</v>
      </c>
      <c r="AU1003" s="350">
        <f t="shared" si="394"/>
        <v>2025386.9360158185</v>
      </c>
      <c r="AV1003" s="350">
        <f t="shared" si="395"/>
        <v>2048526.1564660217</v>
      </c>
      <c r="AW1003" s="350">
        <f t="shared" si="396"/>
        <v>2070031.8417710208</v>
      </c>
      <c r="AX1003" s="350">
        <f t="shared" si="397"/>
        <v>2089847.551893648</v>
      </c>
      <c r="AY1003" s="350">
        <f t="shared" si="398"/>
        <v>10234463.244464468</v>
      </c>
      <c r="AZ1003" s="365"/>
      <c r="BA1003" s="377">
        <f t="shared" si="399"/>
        <v>0</v>
      </c>
      <c r="BB1003" s="377">
        <f t="shared" si="400"/>
        <v>0</v>
      </c>
      <c r="BC1003" s="377">
        <f t="shared" si="401"/>
        <v>0</v>
      </c>
      <c r="BD1003" s="377">
        <f t="shared" si="402"/>
        <v>0</v>
      </c>
      <c r="BE1003" s="377">
        <f t="shared" si="403"/>
        <v>0</v>
      </c>
      <c r="BF1003" s="377">
        <f t="shared" si="404"/>
        <v>0</v>
      </c>
      <c r="BG1003" s="328"/>
    </row>
    <row r="1004" spans="2:59">
      <c r="B1004" s="332">
        <v>989</v>
      </c>
      <c r="C1004" s="350">
        <v>7803682.8363551218</v>
      </c>
      <c r="D1004" s="350">
        <v>48203.136592866511</v>
      </c>
      <c r="E1004" s="350">
        <v>46152.811861181624</v>
      </c>
      <c r="F1004" s="350">
        <v>44047.316136697729</v>
      </c>
      <c r="G1004" s="350">
        <v>41886.756965210559</v>
      </c>
      <c r="H1004" s="348">
        <v>7983972.8579110783</v>
      </c>
      <c r="I1004" s="369"/>
      <c r="J1004" s="350">
        <v>9631774.8675865699</v>
      </c>
      <c r="K1004" s="350">
        <v>1898879.3173172311</v>
      </c>
      <c r="L1004" s="350">
        <v>1917972.2138467438</v>
      </c>
      <c r="M1004" s="350">
        <v>1935517.3136881662</v>
      </c>
      <c r="N1004" s="350">
        <v>1951463.1528922017</v>
      </c>
      <c r="O1004" s="348">
        <v>17335606.865330912</v>
      </c>
      <c r="P1004" s="369"/>
      <c r="Q1004" s="350">
        <f t="shared" si="405"/>
        <v>1828092.0312314481</v>
      </c>
      <c r="R1004" s="350">
        <f t="shared" si="406"/>
        <v>1850676.1807243645</v>
      </c>
      <c r="S1004" s="350">
        <f t="shared" si="407"/>
        <v>1871819.4019855622</v>
      </c>
      <c r="T1004" s="350">
        <f t="shared" si="408"/>
        <v>1891469.9975514684</v>
      </c>
      <c r="U1004" s="350">
        <f t="shared" si="409"/>
        <v>1909576.395926991</v>
      </c>
      <c r="V1004" s="350">
        <f t="shared" si="410"/>
        <v>9351634.0074198339</v>
      </c>
      <c r="W1004" s="365"/>
      <c r="X1004" s="377">
        <f t="shared" si="388"/>
        <v>0</v>
      </c>
      <c r="Y1004" s="377">
        <f t="shared" si="389"/>
        <v>0</v>
      </c>
      <c r="Z1004" s="377">
        <f t="shared" si="390"/>
        <v>0</v>
      </c>
      <c r="AA1004" s="377">
        <f t="shared" si="391"/>
        <v>0</v>
      </c>
      <c r="AB1004" s="377">
        <f t="shared" si="392"/>
        <v>0</v>
      </c>
      <c r="AC1004" s="377">
        <f t="shared" si="393"/>
        <v>0</v>
      </c>
      <c r="AD1004" s="376"/>
      <c r="AE1004" s="332">
        <v>989</v>
      </c>
      <c r="AF1004" s="350">
        <v>5541173.5400260556</v>
      </c>
      <c r="AG1004" s="350">
        <v>34227.678217559529</v>
      </c>
      <c r="AH1004" s="350">
        <v>32771.800859405004</v>
      </c>
      <c r="AI1004" s="350">
        <v>31276.748146241942</v>
      </c>
      <c r="AJ1004" s="350">
        <v>29742.596443287377</v>
      </c>
      <c r="AK1004" s="348">
        <v>5669192.3636925481</v>
      </c>
      <c r="AL1004" s="369"/>
      <c r="AM1004" s="350">
        <v>7834838.0002744868</v>
      </c>
      <c r="AN1004" s="350">
        <v>2356227.9444166059</v>
      </c>
      <c r="AO1004" s="350">
        <v>2381299.9739435962</v>
      </c>
      <c r="AP1004" s="350">
        <v>2404460.0654475796</v>
      </c>
      <c r="AQ1004" s="350">
        <v>2425643.5897409776</v>
      </c>
      <c r="AR1004" s="348">
        <v>17402469.573823247</v>
      </c>
      <c r="AS1004" s="369"/>
      <c r="AT1004" s="350">
        <f t="shared" si="411"/>
        <v>2293664.4602484312</v>
      </c>
      <c r="AU1004" s="350">
        <f t="shared" si="394"/>
        <v>2322000.2661990463</v>
      </c>
      <c r="AV1004" s="350">
        <f t="shared" si="395"/>
        <v>2348528.173084191</v>
      </c>
      <c r="AW1004" s="350">
        <f t="shared" si="396"/>
        <v>2373183.3173013376</v>
      </c>
      <c r="AX1004" s="350">
        <f t="shared" si="397"/>
        <v>2395900.9932976901</v>
      </c>
      <c r="AY1004" s="350">
        <f t="shared" si="398"/>
        <v>11733277.210130699</v>
      </c>
      <c r="AZ1004" s="365"/>
      <c r="BA1004" s="377">
        <f t="shared" si="399"/>
        <v>0</v>
      </c>
      <c r="BB1004" s="377">
        <f t="shared" si="400"/>
        <v>0</v>
      </c>
      <c r="BC1004" s="377">
        <f t="shared" si="401"/>
        <v>0</v>
      </c>
      <c r="BD1004" s="377">
        <f t="shared" si="402"/>
        <v>0</v>
      </c>
      <c r="BE1004" s="377">
        <f t="shared" si="403"/>
        <v>0</v>
      </c>
      <c r="BF1004" s="377">
        <f t="shared" si="404"/>
        <v>0</v>
      </c>
      <c r="BG1004" s="328"/>
    </row>
    <row r="1005" spans="2:59">
      <c r="B1005" s="332">
        <v>990</v>
      </c>
      <c r="C1005" s="350">
        <v>6731722.8514445834</v>
      </c>
      <c r="D1005" s="350">
        <v>41581.668927113147</v>
      </c>
      <c r="E1005" s="350">
        <v>39812.988915557085</v>
      </c>
      <c r="F1005" s="350">
        <v>37996.716524772324</v>
      </c>
      <c r="G1005" s="350">
        <v>36132.94452742242</v>
      </c>
      <c r="H1005" s="348">
        <v>6887247.1703394484</v>
      </c>
      <c r="I1005" s="369"/>
      <c r="J1005" s="350">
        <v>8452385.5505176634</v>
      </c>
      <c r="K1005" s="350">
        <v>1783501.3413685281</v>
      </c>
      <c r="L1005" s="350">
        <v>1801633.3838265541</v>
      </c>
      <c r="M1005" s="350">
        <v>1818312.9235870061</v>
      </c>
      <c r="N1005" s="350">
        <v>1833491.5125687846</v>
      </c>
      <c r="O1005" s="348">
        <v>15689324.711868536</v>
      </c>
      <c r="P1005" s="369"/>
      <c r="Q1005" s="350">
        <f t="shared" si="405"/>
        <v>1720662.69907308</v>
      </c>
      <c r="R1005" s="350">
        <f t="shared" si="406"/>
        <v>1741919.672441415</v>
      </c>
      <c r="S1005" s="350">
        <f t="shared" si="407"/>
        <v>1761820.394910997</v>
      </c>
      <c r="T1005" s="350">
        <f t="shared" si="408"/>
        <v>1780316.2070622337</v>
      </c>
      <c r="U1005" s="350">
        <f t="shared" si="409"/>
        <v>1797358.5680413623</v>
      </c>
      <c r="V1005" s="350">
        <f t="shared" si="410"/>
        <v>8802077.5415290873</v>
      </c>
      <c r="W1005" s="365"/>
      <c r="X1005" s="377">
        <f t="shared" si="388"/>
        <v>0</v>
      </c>
      <c r="Y1005" s="377">
        <f t="shared" si="389"/>
        <v>0</v>
      </c>
      <c r="Z1005" s="377">
        <f t="shared" si="390"/>
        <v>0</v>
      </c>
      <c r="AA1005" s="377">
        <f t="shared" si="391"/>
        <v>0</v>
      </c>
      <c r="AB1005" s="377">
        <f t="shared" si="392"/>
        <v>0</v>
      </c>
      <c r="AC1005" s="377">
        <f t="shared" si="393"/>
        <v>0</v>
      </c>
      <c r="AD1005" s="376"/>
      <c r="AE1005" s="332">
        <v>990</v>
      </c>
      <c r="AF1005" s="350">
        <v>5051212.021510981</v>
      </c>
      <c r="AG1005" s="350">
        <v>31201.19924634862</v>
      </c>
      <c r="AH1005" s="350">
        <v>29874.05344226208</v>
      </c>
      <c r="AI1005" s="350">
        <v>28511.196245502553</v>
      </c>
      <c r="AJ1005" s="350">
        <v>27112.6972689221</v>
      </c>
      <c r="AK1005" s="348">
        <v>5167911.1677140165</v>
      </c>
      <c r="AL1005" s="369"/>
      <c r="AM1005" s="350">
        <v>7015681.8451908454</v>
      </c>
      <c r="AN1005" s="350">
        <v>2019939.9762471369</v>
      </c>
      <c r="AO1005" s="350">
        <v>2041333.3606097037</v>
      </c>
      <c r="AP1005" s="350">
        <v>2061087.0562708185</v>
      </c>
      <c r="AQ1005" s="350">
        <v>2079145.7140547074</v>
      </c>
      <c r="AR1005" s="348">
        <v>15217187.952373214</v>
      </c>
      <c r="AS1005" s="369"/>
      <c r="AT1005" s="350">
        <f t="shared" si="411"/>
        <v>1964469.8236798644</v>
      </c>
      <c r="AU1005" s="350">
        <f t="shared" si="394"/>
        <v>1988738.7770007884</v>
      </c>
      <c r="AV1005" s="350">
        <f t="shared" si="395"/>
        <v>2011459.3071674416</v>
      </c>
      <c r="AW1005" s="350">
        <f t="shared" si="396"/>
        <v>2032575.860025316</v>
      </c>
      <c r="AX1005" s="350">
        <f t="shared" si="397"/>
        <v>2052033.0167857853</v>
      </c>
      <c r="AY1005" s="350">
        <f t="shared" si="398"/>
        <v>10049276.784659198</v>
      </c>
      <c r="AZ1005" s="365"/>
      <c r="BA1005" s="377">
        <f t="shared" si="399"/>
        <v>0</v>
      </c>
      <c r="BB1005" s="377">
        <f t="shared" si="400"/>
        <v>0</v>
      </c>
      <c r="BC1005" s="377">
        <f t="shared" si="401"/>
        <v>0</v>
      </c>
      <c r="BD1005" s="377">
        <f t="shared" si="402"/>
        <v>0</v>
      </c>
      <c r="BE1005" s="377">
        <f t="shared" si="403"/>
        <v>0</v>
      </c>
      <c r="BF1005" s="377">
        <f t="shared" si="404"/>
        <v>0</v>
      </c>
      <c r="BG1005" s="328"/>
    </row>
    <row r="1006" spans="2:59">
      <c r="B1006" s="332">
        <v>991</v>
      </c>
      <c r="C1006" s="350">
        <v>5223442.0632897625</v>
      </c>
      <c r="D1006" s="350">
        <v>32265.059529160466</v>
      </c>
      <c r="E1006" s="350">
        <v>30892.662332673328</v>
      </c>
      <c r="F1006" s="350">
        <v>29483.33610017753</v>
      </c>
      <c r="G1006" s="350">
        <v>28037.152818100916</v>
      </c>
      <c r="H1006" s="348">
        <v>5344120.2740698745</v>
      </c>
      <c r="I1006" s="369"/>
      <c r="J1006" s="350">
        <v>7395247.5702557061</v>
      </c>
      <c r="K1006" s="350">
        <v>2230900.9335668441</v>
      </c>
      <c r="L1006" s="350">
        <v>2254647.0553429145</v>
      </c>
      <c r="M1006" s="350">
        <v>2276582.9824872124</v>
      </c>
      <c r="N1006" s="350">
        <v>2296647.519142352</v>
      </c>
      <c r="O1006" s="348">
        <v>16454026.06079503</v>
      </c>
      <c r="P1006" s="369"/>
      <c r="Q1006" s="350">
        <f t="shared" si="405"/>
        <v>2171805.5069659436</v>
      </c>
      <c r="R1006" s="350">
        <f t="shared" si="406"/>
        <v>2198635.8740376835</v>
      </c>
      <c r="S1006" s="350">
        <f t="shared" si="407"/>
        <v>2223754.393010241</v>
      </c>
      <c r="T1006" s="350">
        <f t="shared" si="408"/>
        <v>2247099.646387035</v>
      </c>
      <c r="U1006" s="350">
        <f t="shared" si="409"/>
        <v>2268610.3663242511</v>
      </c>
      <c r="V1006" s="350">
        <f t="shared" si="410"/>
        <v>11109905.786725156</v>
      </c>
      <c r="W1006" s="365"/>
      <c r="X1006" s="377">
        <f t="shared" si="388"/>
        <v>0</v>
      </c>
      <c r="Y1006" s="377">
        <f t="shared" si="389"/>
        <v>0</v>
      </c>
      <c r="Z1006" s="377">
        <f t="shared" si="390"/>
        <v>0</v>
      </c>
      <c r="AA1006" s="377">
        <f t="shared" si="391"/>
        <v>0</v>
      </c>
      <c r="AB1006" s="377">
        <f t="shared" si="392"/>
        <v>0</v>
      </c>
      <c r="AC1006" s="377">
        <f t="shared" si="393"/>
        <v>0</v>
      </c>
      <c r="AD1006" s="376"/>
      <c r="AE1006" s="332">
        <v>991</v>
      </c>
      <c r="AF1006" s="350">
        <v>4956371.5249623721</v>
      </c>
      <c r="AG1006" s="350">
        <v>30615.372079159464</v>
      </c>
      <c r="AH1006" s="350">
        <v>29313.14448609075</v>
      </c>
      <c r="AI1006" s="350">
        <v>27975.87600996242</v>
      </c>
      <c r="AJ1006" s="350">
        <v>26603.634956589336</v>
      </c>
      <c r="AK1006" s="348">
        <v>5070879.5524941739</v>
      </c>
      <c r="AL1006" s="369"/>
      <c r="AM1006" s="350">
        <v>6097370.3032001238</v>
      </c>
      <c r="AN1006" s="350">
        <v>1185709.9871449941</v>
      </c>
      <c r="AO1006" s="350">
        <v>1197604.2448573101</v>
      </c>
      <c r="AP1006" s="350">
        <v>1208531.8433295051</v>
      </c>
      <c r="AQ1006" s="350">
        <v>1218460.6626559207</v>
      </c>
      <c r="AR1006" s="348">
        <v>10907677.041187853</v>
      </c>
      <c r="AS1006" s="369"/>
      <c r="AT1006" s="350">
        <f t="shared" si="411"/>
        <v>1140998.7782377517</v>
      </c>
      <c r="AU1006" s="350">
        <f t="shared" si="394"/>
        <v>1155094.6150658347</v>
      </c>
      <c r="AV1006" s="350">
        <f t="shared" si="395"/>
        <v>1168291.1003712192</v>
      </c>
      <c r="AW1006" s="350">
        <f t="shared" si="396"/>
        <v>1180555.9673195425</v>
      </c>
      <c r="AX1006" s="350">
        <f t="shared" si="397"/>
        <v>1191857.0276993313</v>
      </c>
      <c r="AY1006" s="350">
        <f t="shared" si="398"/>
        <v>5836797.4886936788</v>
      </c>
      <c r="AZ1006" s="365"/>
      <c r="BA1006" s="377">
        <f t="shared" si="399"/>
        <v>0</v>
      </c>
      <c r="BB1006" s="377">
        <f t="shared" si="400"/>
        <v>0</v>
      </c>
      <c r="BC1006" s="377">
        <f t="shared" si="401"/>
        <v>0</v>
      </c>
      <c r="BD1006" s="377">
        <f t="shared" si="402"/>
        <v>0</v>
      </c>
      <c r="BE1006" s="377">
        <f t="shared" si="403"/>
        <v>0</v>
      </c>
      <c r="BF1006" s="377">
        <f t="shared" si="404"/>
        <v>0</v>
      </c>
      <c r="BG1006" s="328"/>
    </row>
    <row r="1007" spans="2:59">
      <c r="B1007" s="332">
        <v>992</v>
      </c>
      <c r="C1007" s="350">
        <v>4717328.5754294507</v>
      </c>
      <c r="D1007" s="350">
        <v>29138.810282694205</v>
      </c>
      <c r="E1007" s="350">
        <v>27899.388377867777</v>
      </c>
      <c r="F1007" s="350">
        <v>26626.615591628488</v>
      </c>
      <c r="G1007" s="350">
        <v>25320.556935441124</v>
      </c>
      <c r="H1007" s="348">
        <v>4826313.9466170818</v>
      </c>
      <c r="I1007" s="369"/>
      <c r="J1007" s="350">
        <v>6115680.3961157454</v>
      </c>
      <c r="K1007" s="350">
        <v>1444765.793281687</v>
      </c>
      <c r="L1007" s="350">
        <v>1459699.3328255538</v>
      </c>
      <c r="M1007" s="350">
        <v>1473457.7759834297</v>
      </c>
      <c r="N1007" s="350">
        <v>1486001.739482539</v>
      </c>
      <c r="O1007" s="348">
        <v>11979605.037688956</v>
      </c>
      <c r="P1007" s="369"/>
      <c r="Q1007" s="350">
        <f t="shared" si="405"/>
        <v>1398351.8206862947</v>
      </c>
      <c r="R1007" s="350">
        <f t="shared" si="406"/>
        <v>1415626.9829989928</v>
      </c>
      <c r="S1007" s="350">
        <f t="shared" si="407"/>
        <v>1431799.944447686</v>
      </c>
      <c r="T1007" s="350">
        <f t="shared" si="408"/>
        <v>1446831.1603918013</v>
      </c>
      <c r="U1007" s="350">
        <f t="shared" si="409"/>
        <v>1460681.1825470978</v>
      </c>
      <c r="V1007" s="350">
        <f t="shared" si="410"/>
        <v>7153291.0910718739</v>
      </c>
      <c r="W1007" s="365"/>
      <c r="X1007" s="377">
        <f t="shared" si="388"/>
        <v>0</v>
      </c>
      <c r="Y1007" s="377">
        <f t="shared" si="389"/>
        <v>0</v>
      </c>
      <c r="Z1007" s="377">
        <f t="shared" si="390"/>
        <v>0</v>
      </c>
      <c r="AA1007" s="377">
        <f t="shared" si="391"/>
        <v>0</v>
      </c>
      <c r="AB1007" s="377">
        <f t="shared" si="392"/>
        <v>0</v>
      </c>
      <c r="AC1007" s="377">
        <f t="shared" si="393"/>
        <v>0</v>
      </c>
      <c r="AD1007" s="376"/>
      <c r="AE1007" s="332">
        <v>992</v>
      </c>
      <c r="AF1007" s="350">
        <v>5705941.1509837992</v>
      </c>
      <c r="AG1007" s="350">
        <v>35245.443268193747</v>
      </c>
      <c r="AH1007" s="350">
        <v>33746.275182466488</v>
      </c>
      <c r="AI1007" s="350">
        <v>32206.766856783437</v>
      </c>
      <c r="AJ1007" s="350">
        <v>30626.996927092281</v>
      </c>
      <c r="AK1007" s="348">
        <v>5837766.6332183341</v>
      </c>
      <c r="AL1007" s="369"/>
      <c r="AM1007" s="350">
        <v>7118252.3629639866</v>
      </c>
      <c r="AN1007" s="350">
        <v>1465004.2711216349</v>
      </c>
      <c r="AO1007" s="350">
        <v>1479839.5150536937</v>
      </c>
      <c r="AP1007" s="350">
        <v>1493481.2754856483</v>
      </c>
      <c r="AQ1007" s="350">
        <v>1505889.7889669957</v>
      </c>
      <c r="AR1007" s="348">
        <v>13062467.213591959</v>
      </c>
      <c r="AS1007" s="369"/>
      <c r="AT1007" s="350">
        <f t="shared" si="411"/>
        <v>1412311.2119801873</v>
      </c>
      <c r="AU1007" s="350">
        <f t="shared" si="394"/>
        <v>1429758.8278534412</v>
      </c>
      <c r="AV1007" s="350">
        <f t="shared" si="395"/>
        <v>1446093.2398712272</v>
      </c>
      <c r="AW1007" s="350">
        <f t="shared" si="396"/>
        <v>1461274.5086288648</v>
      </c>
      <c r="AX1007" s="350">
        <f t="shared" si="397"/>
        <v>1475262.7920399033</v>
      </c>
      <c r="AY1007" s="350">
        <f t="shared" si="398"/>
        <v>7224700.5803736253</v>
      </c>
      <c r="AZ1007" s="365"/>
      <c r="BA1007" s="377">
        <f t="shared" si="399"/>
        <v>0</v>
      </c>
      <c r="BB1007" s="377">
        <f t="shared" si="400"/>
        <v>0</v>
      </c>
      <c r="BC1007" s="377">
        <f t="shared" si="401"/>
        <v>0</v>
      </c>
      <c r="BD1007" s="377">
        <f t="shared" si="402"/>
        <v>0</v>
      </c>
      <c r="BE1007" s="377">
        <f t="shared" si="403"/>
        <v>0</v>
      </c>
      <c r="BF1007" s="377">
        <f t="shared" si="404"/>
        <v>0</v>
      </c>
      <c r="BG1007" s="328"/>
    </row>
    <row r="1008" spans="2:59">
      <c r="B1008" s="332">
        <v>993</v>
      </c>
      <c r="C1008" s="350">
        <v>7677336.5704415804</v>
      </c>
      <c r="D1008" s="350">
        <v>47422.699145379323</v>
      </c>
      <c r="E1008" s="350">
        <v>45405.570390409834</v>
      </c>
      <c r="F1008" s="350">
        <v>43334.163893828569</v>
      </c>
      <c r="G1008" s="350">
        <v>41208.585460196045</v>
      </c>
      <c r="H1008" s="348">
        <v>7854707.5893313941</v>
      </c>
      <c r="I1008" s="369"/>
      <c r="J1008" s="350">
        <v>9159225.5479753818</v>
      </c>
      <c r="K1008" s="350">
        <v>1547618.852482572</v>
      </c>
      <c r="L1008" s="350">
        <v>1562740.8534876169</v>
      </c>
      <c r="M1008" s="350">
        <v>1576598.6236810496</v>
      </c>
      <c r="N1008" s="350">
        <v>1589150.4639534343</v>
      </c>
      <c r="O1008" s="348">
        <v>15435334.341580054</v>
      </c>
      <c r="P1008" s="369"/>
      <c r="Q1008" s="350">
        <f t="shared" si="405"/>
        <v>1481888.9775338015</v>
      </c>
      <c r="R1008" s="350">
        <f t="shared" si="406"/>
        <v>1500196.1533371927</v>
      </c>
      <c r="S1008" s="350">
        <f t="shared" si="407"/>
        <v>1517335.2830972071</v>
      </c>
      <c r="T1008" s="350">
        <f t="shared" si="408"/>
        <v>1533264.4597872209</v>
      </c>
      <c r="U1008" s="350">
        <f t="shared" si="409"/>
        <v>1547941.8784932382</v>
      </c>
      <c r="V1008" s="350">
        <f t="shared" si="410"/>
        <v>7580626.7522486597</v>
      </c>
      <c r="W1008" s="365"/>
      <c r="X1008" s="377">
        <f t="shared" si="388"/>
        <v>0</v>
      </c>
      <c r="Y1008" s="377">
        <f t="shared" si="389"/>
        <v>0</v>
      </c>
      <c r="Z1008" s="377">
        <f t="shared" si="390"/>
        <v>0</v>
      </c>
      <c r="AA1008" s="377">
        <f t="shared" si="391"/>
        <v>0</v>
      </c>
      <c r="AB1008" s="377">
        <f t="shared" si="392"/>
        <v>0</v>
      </c>
      <c r="AC1008" s="377">
        <f t="shared" si="393"/>
        <v>0</v>
      </c>
      <c r="AD1008" s="376"/>
      <c r="AE1008" s="332">
        <v>993</v>
      </c>
      <c r="AF1008" s="350">
        <v>6145494.0863172663</v>
      </c>
      <c r="AG1008" s="350">
        <v>37960.549792382131</v>
      </c>
      <c r="AH1008" s="350">
        <v>36345.894407502339</v>
      </c>
      <c r="AI1008" s="350">
        <v>34687.791202268723</v>
      </c>
      <c r="AJ1008" s="350">
        <v>32986.324870289143</v>
      </c>
      <c r="AK1008" s="348">
        <v>6287474.6465897085</v>
      </c>
      <c r="AL1008" s="369"/>
      <c r="AM1008" s="350">
        <v>7521181.8456671964</v>
      </c>
      <c r="AN1008" s="350">
        <v>1430643.4808743428</v>
      </c>
      <c r="AO1008" s="350">
        <v>1444939.6604941222</v>
      </c>
      <c r="AP1008" s="350">
        <v>1458069.1518531207</v>
      </c>
      <c r="AQ1008" s="350">
        <v>1469993.2307265089</v>
      </c>
      <c r="AR1008" s="348">
        <v>13324827.36961529</v>
      </c>
      <c r="AS1008" s="369"/>
      <c r="AT1008" s="350">
        <f t="shared" si="411"/>
        <v>1375687.7593499301</v>
      </c>
      <c r="AU1008" s="350">
        <f t="shared" si="394"/>
        <v>1392682.9310819607</v>
      </c>
      <c r="AV1008" s="350">
        <f t="shared" si="395"/>
        <v>1408593.7660866198</v>
      </c>
      <c r="AW1008" s="350">
        <f t="shared" si="396"/>
        <v>1423381.3606508519</v>
      </c>
      <c r="AX1008" s="350">
        <f t="shared" si="397"/>
        <v>1437006.9058562198</v>
      </c>
      <c r="AY1008" s="350">
        <f t="shared" si="398"/>
        <v>7037352.7230255818</v>
      </c>
      <c r="AZ1008" s="365"/>
      <c r="BA1008" s="377">
        <f t="shared" si="399"/>
        <v>0</v>
      </c>
      <c r="BB1008" s="377">
        <f t="shared" si="400"/>
        <v>0</v>
      </c>
      <c r="BC1008" s="377">
        <f t="shared" si="401"/>
        <v>0</v>
      </c>
      <c r="BD1008" s="377">
        <f t="shared" si="402"/>
        <v>0</v>
      </c>
      <c r="BE1008" s="377">
        <f t="shared" si="403"/>
        <v>0</v>
      </c>
      <c r="BF1008" s="377">
        <f t="shared" si="404"/>
        <v>0</v>
      </c>
      <c r="BG1008" s="328"/>
    </row>
    <row r="1009" spans="1:59">
      <c r="B1009" s="332">
        <v>994</v>
      </c>
      <c r="C1009" s="350">
        <v>7207613.3438149001</v>
      </c>
      <c r="D1009" s="350">
        <v>44521.231552609454</v>
      </c>
      <c r="E1009" s="350">
        <v>42627.516981534056</v>
      </c>
      <c r="F1009" s="350">
        <v>40682.845549163772</v>
      </c>
      <c r="G1009" s="350">
        <v>38687.316586612294</v>
      </c>
      <c r="H1009" s="348">
        <v>7374132.2544848192</v>
      </c>
      <c r="I1009" s="369"/>
      <c r="J1009" s="350">
        <v>10281649.279621877</v>
      </c>
      <c r="K1009" s="350">
        <v>3156533.6400616216</v>
      </c>
      <c r="L1009" s="350">
        <v>3190193.3991916785</v>
      </c>
      <c r="M1009" s="350">
        <v>3221292.2703696424</v>
      </c>
      <c r="N1009" s="350">
        <v>3249743.6326595461</v>
      </c>
      <c r="O1009" s="348">
        <v>23099412.221904363</v>
      </c>
      <c r="P1009" s="369"/>
      <c r="Q1009" s="350">
        <f t="shared" si="405"/>
        <v>3074035.9358069766</v>
      </c>
      <c r="R1009" s="350">
        <f t="shared" si="406"/>
        <v>3112012.4085090123</v>
      </c>
      <c r="S1009" s="350">
        <f t="shared" si="407"/>
        <v>3147565.8822101443</v>
      </c>
      <c r="T1009" s="350">
        <f t="shared" si="408"/>
        <v>3180609.4248204785</v>
      </c>
      <c r="U1009" s="350">
        <f t="shared" si="409"/>
        <v>3211056.3160729338</v>
      </c>
      <c r="V1009" s="350">
        <f t="shared" si="410"/>
        <v>15725279.967419544</v>
      </c>
      <c r="W1009" s="365"/>
      <c r="X1009" s="377">
        <f t="shared" si="388"/>
        <v>0</v>
      </c>
      <c r="Y1009" s="377">
        <f t="shared" si="389"/>
        <v>0</v>
      </c>
      <c r="Z1009" s="377">
        <f t="shared" si="390"/>
        <v>0</v>
      </c>
      <c r="AA1009" s="377">
        <f t="shared" si="391"/>
        <v>0</v>
      </c>
      <c r="AB1009" s="377">
        <f t="shared" si="392"/>
        <v>0</v>
      </c>
      <c r="AC1009" s="377">
        <f t="shared" si="393"/>
        <v>0</v>
      </c>
      <c r="AD1009" s="376"/>
      <c r="AE1009" s="332">
        <v>994</v>
      </c>
      <c r="AF1009" s="350">
        <v>6593012.278305159</v>
      </c>
      <c r="AG1009" s="350">
        <v>40724.857490241498</v>
      </c>
      <c r="AH1009" s="350">
        <v>38992.622029881961</v>
      </c>
      <c r="AI1009" s="350">
        <v>37213.774855473144</v>
      </c>
      <c r="AJ1009" s="350">
        <v>35388.406828051506</v>
      </c>
      <c r="AK1009" s="348">
        <v>6745331.9395088069</v>
      </c>
      <c r="AL1009" s="369"/>
      <c r="AM1009" s="350">
        <v>9097032.0651596338</v>
      </c>
      <c r="AN1009" s="350">
        <v>2575679.168555432</v>
      </c>
      <c r="AO1009" s="350">
        <v>2602907.7531694411</v>
      </c>
      <c r="AP1009" s="350">
        <v>2628045.2095945626</v>
      </c>
      <c r="AQ1009" s="350">
        <v>2651020.9888980165</v>
      </c>
      <c r="AR1009" s="348">
        <v>19554685.185377084</v>
      </c>
      <c r="AS1009" s="369"/>
      <c r="AT1009" s="350">
        <f t="shared" si="411"/>
        <v>2504019.7868544748</v>
      </c>
      <c r="AU1009" s="350">
        <f t="shared" si="394"/>
        <v>2534954.3110651905</v>
      </c>
      <c r="AV1009" s="350">
        <f t="shared" si="395"/>
        <v>2563915.1311395592</v>
      </c>
      <c r="AW1009" s="350">
        <f t="shared" si="396"/>
        <v>2590831.4347390896</v>
      </c>
      <c r="AX1009" s="350">
        <f t="shared" si="397"/>
        <v>2615632.5820699651</v>
      </c>
      <c r="AY1009" s="350">
        <f t="shared" si="398"/>
        <v>12809353.245868277</v>
      </c>
      <c r="AZ1009" s="365"/>
      <c r="BA1009" s="377">
        <f t="shared" si="399"/>
        <v>0</v>
      </c>
      <c r="BB1009" s="377">
        <f t="shared" si="400"/>
        <v>0</v>
      </c>
      <c r="BC1009" s="377">
        <f t="shared" si="401"/>
        <v>0</v>
      </c>
      <c r="BD1009" s="377">
        <f t="shared" si="402"/>
        <v>0</v>
      </c>
      <c r="BE1009" s="377">
        <f t="shared" si="403"/>
        <v>0</v>
      </c>
      <c r="BF1009" s="377">
        <f t="shared" si="404"/>
        <v>0</v>
      </c>
      <c r="BG1009" s="328"/>
    </row>
    <row r="1010" spans="1:59">
      <c r="B1010" s="332">
        <v>995</v>
      </c>
      <c r="C1010" s="350">
        <v>5597780.1758958651</v>
      </c>
      <c r="D1010" s="350">
        <v>34577.335867430971</v>
      </c>
      <c r="E1010" s="350">
        <v>33106.585789825403</v>
      </c>
      <c r="F1010" s="350">
        <v>31596.260155875392</v>
      </c>
      <c r="G1010" s="350">
        <v>30046.436110920738</v>
      </c>
      <c r="H1010" s="348">
        <v>5727106.7938199174</v>
      </c>
      <c r="I1010" s="369"/>
      <c r="J1010" s="350">
        <v>7245907.4634290244</v>
      </c>
      <c r="K1010" s="350">
        <v>1703065.4982411924</v>
      </c>
      <c r="L1010" s="350">
        <v>1720656.5455521238</v>
      </c>
      <c r="M1010" s="350">
        <v>1736862.3316976381</v>
      </c>
      <c r="N1010" s="350">
        <v>1751636.4392337138</v>
      </c>
      <c r="O1010" s="348">
        <v>14158128.278153691</v>
      </c>
      <c r="P1010" s="369"/>
      <c r="Q1010" s="350">
        <f t="shared" si="405"/>
        <v>1648127.2875331594</v>
      </c>
      <c r="R1010" s="350">
        <f t="shared" si="406"/>
        <v>1668488.1623737614</v>
      </c>
      <c r="S1010" s="350">
        <f t="shared" si="407"/>
        <v>1687549.9597622985</v>
      </c>
      <c r="T1010" s="350">
        <f t="shared" si="408"/>
        <v>1705266.0715417627</v>
      </c>
      <c r="U1010" s="350">
        <f t="shared" si="409"/>
        <v>1721590.003122793</v>
      </c>
      <c r="V1010" s="350">
        <f t="shared" si="410"/>
        <v>8431021.4843337741</v>
      </c>
      <c r="W1010" s="365"/>
      <c r="X1010" s="377">
        <f t="shared" si="388"/>
        <v>0</v>
      </c>
      <c r="Y1010" s="377">
        <f t="shared" si="389"/>
        <v>0</v>
      </c>
      <c r="Z1010" s="377">
        <f t="shared" si="390"/>
        <v>0</v>
      </c>
      <c r="AA1010" s="377">
        <f t="shared" si="391"/>
        <v>0</v>
      </c>
      <c r="AB1010" s="377">
        <f t="shared" si="392"/>
        <v>0</v>
      </c>
      <c r="AC1010" s="377">
        <f t="shared" si="393"/>
        <v>0</v>
      </c>
      <c r="AD1010" s="376"/>
      <c r="AE1010" s="332">
        <v>995</v>
      </c>
      <c r="AF1010" s="350">
        <v>7595365.9114429783</v>
      </c>
      <c r="AG1010" s="350">
        <v>46916.368614630199</v>
      </c>
      <c r="AH1010" s="350">
        <v>44920.776674131172</v>
      </c>
      <c r="AI1010" s="350">
        <v>42871.486513601798</v>
      </c>
      <c r="AJ1010" s="350">
        <v>40768.602807934883</v>
      </c>
      <c r="AK1010" s="348">
        <v>7770843.146053276</v>
      </c>
      <c r="AL1010" s="369"/>
      <c r="AM1010" s="350">
        <v>10177680.743330035</v>
      </c>
      <c r="AN1010" s="350">
        <v>2661132.9774389402</v>
      </c>
      <c r="AO1010" s="350">
        <v>2689003.7450273307</v>
      </c>
      <c r="AP1010" s="350">
        <v>2714712.3705069004</v>
      </c>
      <c r="AQ1010" s="350">
        <v>2738186.1100118626</v>
      </c>
      <c r="AR1010" s="348">
        <v>20980715.946315072</v>
      </c>
      <c r="AS1010" s="369"/>
      <c r="AT1010" s="350">
        <f t="shared" si="411"/>
        <v>2582314.8318870571</v>
      </c>
      <c r="AU1010" s="350">
        <f t="shared" si="394"/>
        <v>2614216.6088243099</v>
      </c>
      <c r="AV1010" s="350">
        <f t="shared" si="395"/>
        <v>2644082.9683531993</v>
      </c>
      <c r="AW1010" s="350">
        <f t="shared" si="396"/>
        <v>2671840.8839932987</v>
      </c>
      <c r="AX1010" s="350">
        <f t="shared" si="397"/>
        <v>2697417.5072039277</v>
      </c>
      <c r="AY1010" s="350">
        <f t="shared" si="398"/>
        <v>13209872.800261796</v>
      </c>
      <c r="AZ1010" s="365"/>
      <c r="BA1010" s="377">
        <f t="shared" si="399"/>
        <v>0</v>
      </c>
      <c r="BB1010" s="377">
        <f t="shared" si="400"/>
        <v>0</v>
      </c>
      <c r="BC1010" s="377">
        <f t="shared" si="401"/>
        <v>0</v>
      </c>
      <c r="BD1010" s="377">
        <f t="shared" si="402"/>
        <v>0</v>
      </c>
      <c r="BE1010" s="377">
        <f t="shared" si="403"/>
        <v>0</v>
      </c>
      <c r="BF1010" s="377">
        <f t="shared" si="404"/>
        <v>0</v>
      </c>
      <c r="BG1010" s="328"/>
    </row>
    <row r="1011" spans="1:59">
      <c r="B1011" s="332">
        <v>996</v>
      </c>
      <c r="C1011" s="350">
        <v>5546432.4638723908</v>
      </c>
      <c r="D1011" s="350">
        <v>34260.162447099647</v>
      </c>
      <c r="E1011" s="350">
        <v>32802.903369328822</v>
      </c>
      <c r="F1011" s="350">
        <v>31306.431756667615</v>
      </c>
      <c r="G1011" s="350">
        <v>29770.824046801084</v>
      </c>
      <c r="H1011" s="348">
        <v>5674572.7854922879</v>
      </c>
      <c r="I1011" s="369"/>
      <c r="J1011" s="350">
        <v>8102197.0516571961</v>
      </c>
      <c r="K1011" s="350">
        <v>2621598.5268980395</v>
      </c>
      <c r="L1011" s="350">
        <v>2649700.554359396</v>
      </c>
      <c r="M1011" s="350">
        <v>2675676.6035051099</v>
      </c>
      <c r="N1011" s="350">
        <v>2699454.651229375</v>
      </c>
      <c r="O1011" s="348">
        <v>18748627.387649119</v>
      </c>
      <c r="P1011" s="369"/>
      <c r="Q1011" s="350">
        <f t="shared" si="405"/>
        <v>2555764.5877848053</v>
      </c>
      <c r="R1011" s="350">
        <f t="shared" si="406"/>
        <v>2587338.3644509399</v>
      </c>
      <c r="S1011" s="350">
        <f t="shared" si="407"/>
        <v>2616897.650990067</v>
      </c>
      <c r="T1011" s="350">
        <f t="shared" si="408"/>
        <v>2644370.1717484421</v>
      </c>
      <c r="U1011" s="350">
        <f t="shared" si="409"/>
        <v>2669683.8271825737</v>
      </c>
      <c r="V1011" s="350">
        <f t="shared" si="410"/>
        <v>13074054.602156831</v>
      </c>
      <c r="W1011" s="365"/>
      <c r="X1011" s="377">
        <f t="shared" si="388"/>
        <v>0</v>
      </c>
      <c r="Y1011" s="377">
        <f t="shared" si="389"/>
        <v>0</v>
      </c>
      <c r="Z1011" s="377">
        <f t="shared" si="390"/>
        <v>0</v>
      </c>
      <c r="AA1011" s="377">
        <f t="shared" si="391"/>
        <v>0</v>
      </c>
      <c r="AB1011" s="377">
        <f t="shared" si="392"/>
        <v>0</v>
      </c>
      <c r="AC1011" s="377">
        <f t="shared" si="393"/>
        <v>0</v>
      </c>
      <c r="AD1011" s="376"/>
      <c r="AE1011" s="332">
        <v>996</v>
      </c>
      <c r="AF1011" s="350">
        <v>6194042.2929728264</v>
      </c>
      <c r="AG1011" s="350">
        <v>38260.430744213925</v>
      </c>
      <c r="AH1011" s="350">
        <v>36633.019896192855</v>
      </c>
      <c r="AI1011" s="350">
        <v>34961.817998496306</v>
      </c>
      <c r="AJ1011" s="350">
        <v>33246.910413798119</v>
      </c>
      <c r="AK1011" s="348">
        <v>6337144.4720255267</v>
      </c>
      <c r="AL1011" s="369"/>
      <c r="AM1011" s="350">
        <v>8205927.0070271865</v>
      </c>
      <c r="AN1011" s="350">
        <v>2074999.8590954877</v>
      </c>
      <c r="AO1011" s="350">
        <v>2096641.3662967498</v>
      </c>
      <c r="AP1011" s="350">
        <v>2116596.391178498</v>
      </c>
      <c r="AQ1011" s="350">
        <v>2134808.2627142989</v>
      </c>
      <c r="AR1011" s="348">
        <v>16628972.88631222</v>
      </c>
      <c r="AS1011" s="369"/>
      <c r="AT1011" s="350">
        <f t="shared" si="411"/>
        <v>2011884.7140543601</v>
      </c>
      <c r="AU1011" s="350">
        <f t="shared" si="394"/>
        <v>2036739.4283512738</v>
      </c>
      <c r="AV1011" s="350">
        <f t="shared" si="395"/>
        <v>2060008.3464005569</v>
      </c>
      <c r="AW1011" s="350">
        <f t="shared" si="396"/>
        <v>2081634.5731800017</v>
      </c>
      <c r="AX1011" s="350">
        <f t="shared" si="397"/>
        <v>2101561.352300501</v>
      </c>
      <c r="AY1011" s="350">
        <f t="shared" si="398"/>
        <v>10291828.414286694</v>
      </c>
      <c r="AZ1011" s="365"/>
      <c r="BA1011" s="377">
        <f t="shared" si="399"/>
        <v>0</v>
      </c>
      <c r="BB1011" s="377">
        <f t="shared" si="400"/>
        <v>0</v>
      </c>
      <c r="BC1011" s="377">
        <f t="shared" si="401"/>
        <v>0</v>
      </c>
      <c r="BD1011" s="377">
        <f t="shared" si="402"/>
        <v>0</v>
      </c>
      <c r="BE1011" s="377">
        <f t="shared" si="403"/>
        <v>0</v>
      </c>
      <c r="BF1011" s="377">
        <f t="shared" si="404"/>
        <v>0</v>
      </c>
      <c r="BG1011" s="328"/>
    </row>
    <row r="1012" spans="1:59">
      <c r="B1012" s="332">
        <v>997</v>
      </c>
      <c r="C1012" s="350">
        <v>5025233.434558956</v>
      </c>
      <c r="D1012" s="350">
        <v>31040.730221454072</v>
      </c>
      <c r="E1012" s="350">
        <v>29720.409981710625</v>
      </c>
      <c r="F1012" s="350">
        <v>28364.562014428513</v>
      </c>
      <c r="G1012" s="350">
        <v>26973.255574432485</v>
      </c>
      <c r="H1012" s="348">
        <v>5141332.3923509819</v>
      </c>
      <c r="I1012" s="369"/>
      <c r="J1012" s="350">
        <v>7873943.3207493918</v>
      </c>
      <c r="K1012" s="350">
        <v>2914943.4233562639</v>
      </c>
      <c r="L1012" s="350">
        <v>2946570.5162684238</v>
      </c>
      <c r="M1012" s="350">
        <v>2975836.1276706811</v>
      </c>
      <c r="N1012" s="350">
        <v>3002659.9631242231</v>
      </c>
      <c r="O1012" s="348">
        <v>19713953.351168983</v>
      </c>
      <c r="P1012" s="369"/>
      <c r="Q1012" s="350">
        <f t="shared" si="405"/>
        <v>2848709.8861904358</v>
      </c>
      <c r="R1012" s="350">
        <f t="shared" si="406"/>
        <v>2883902.6931348098</v>
      </c>
      <c r="S1012" s="350">
        <f t="shared" si="407"/>
        <v>2916850.1062867129</v>
      </c>
      <c r="T1012" s="350">
        <f t="shared" si="408"/>
        <v>2947471.5656562527</v>
      </c>
      <c r="U1012" s="350">
        <f t="shared" si="409"/>
        <v>2975686.7075497904</v>
      </c>
      <c r="V1012" s="350">
        <f t="shared" si="410"/>
        <v>14572620.958818</v>
      </c>
      <c r="W1012" s="365"/>
      <c r="X1012" s="377">
        <f t="shared" si="388"/>
        <v>0</v>
      </c>
      <c r="Y1012" s="377">
        <f t="shared" si="389"/>
        <v>0</v>
      </c>
      <c r="Z1012" s="377">
        <f t="shared" si="390"/>
        <v>0</v>
      </c>
      <c r="AA1012" s="377">
        <f t="shared" si="391"/>
        <v>0</v>
      </c>
      <c r="AB1012" s="377">
        <f t="shared" si="392"/>
        <v>0</v>
      </c>
      <c r="AC1012" s="377">
        <f t="shared" si="393"/>
        <v>0</v>
      </c>
      <c r="AD1012" s="376"/>
      <c r="AE1012" s="332">
        <v>997</v>
      </c>
      <c r="AF1012" s="350">
        <v>5037159.3733704705</v>
      </c>
      <c r="AG1012" s="350">
        <v>31114.396421066616</v>
      </c>
      <c r="AH1012" s="350">
        <v>29790.942782925686</v>
      </c>
      <c r="AI1012" s="350">
        <v>28431.877102453302</v>
      </c>
      <c r="AJ1012" s="350">
        <v>27037.268798837697</v>
      </c>
      <c r="AK1012" s="348">
        <v>5153533.8584757531</v>
      </c>
      <c r="AL1012" s="369"/>
      <c r="AM1012" s="350">
        <v>6995659.0416629184</v>
      </c>
      <c r="AN1012" s="350">
        <v>2013809.2630596017</v>
      </c>
      <c r="AO1012" s="350">
        <v>2035137.290374964</v>
      </c>
      <c r="AP1012" s="350">
        <v>2054830.6029337042</v>
      </c>
      <c r="AQ1012" s="350">
        <v>2072834.0197877965</v>
      </c>
      <c r="AR1012" s="348">
        <v>15172270.217818985</v>
      </c>
      <c r="AS1012" s="369"/>
      <c r="AT1012" s="350">
        <f t="shared" si="411"/>
        <v>1958499.6682924479</v>
      </c>
      <c r="AU1012" s="350">
        <f t="shared" si="394"/>
        <v>1982694.8666385349</v>
      </c>
      <c r="AV1012" s="350">
        <f t="shared" si="395"/>
        <v>2005346.3475920383</v>
      </c>
      <c r="AW1012" s="350">
        <f t="shared" si="396"/>
        <v>2026398.7258312509</v>
      </c>
      <c r="AX1012" s="350">
        <f t="shared" si="397"/>
        <v>2045796.7509889589</v>
      </c>
      <c r="AY1012" s="350">
        <f t="shared" si="398"/>
        <v>10018736.359343231</v>
      </c>
      <c r="AZ1012" s="365"/>
      <c r="BA1012" s="377">
        <f t="shared" si="399"/>
        <v>0</v>
      </c>
      <c r="BB1012" s="377">
        <f t="shared" si="400"/>
        <v>0</v>
      </c>
      <c r="BC1012" s="377">
        <f t="shared" si="401"/>
        <v>0</v>
      </c>
      <c r="BD1012" s="377">
        <f t="shared" si="402"/>
        <v>0</v>
      </c>
      <c r="BE1012" s="377">
        <f t="shared" si="403"/>
        <v>0</v>
      </c>
      <c r="BF1012" s="377">
        <f t="shared" si="404"/>
        <v>0</v>
      </c>
      <c r="BG1012" s="328"/>
    </row>
    <row r="1013" spans="1:59">
      <c r="B1013" s="332">
        <v>998</v>
      </c>
      <c r="C1013" s="350">
        <v>5250265.9432489732</v>
      </c>
      <c r="D1013" s="350">
        <v>32430.749905966983</v>
      </c>
      <c r="E1013" s="350">
        <v>31051.305054461533</v>
      </c>
      <c r="F1013" s="350">
        <v>29634.741525713845</v>
      </c>
      <c r="G1013" s="350">
        <v>28181.131675810539</v>
      </c>
      <c r="H1013" s="348">
        <v>5371563.8714109268</v>
      </c>
      <c r="I1013" s="369"/>
      <c r="J1013" s="350">
        <v>7657038.7932058033</v>
      </c>
      <c r="K1013" s="350">
        <v>2468936.7407059912</v>
      </c>
      <c r="L1013" s="350">
        <v>2495393.3839850132</v>
      </c>
      <c r="M1013" s="350">
        <v>2519847.7936269413</v>
      </c>
      <c r="N1013" s="350">
        <v>2542232.1455843225</v>
      </c>
      <c r="O1013" s="348">
        <v>17683448.857108071</v>
      </c>
      <c r="P1013" s="369"/>
      <c r="Q1013" s="350">
        <f t="shared" si="405"/>
        <v>2406772.84995683</v>
      </c>
      <c r="R1013" s="350">
        <f t="shared" si="406"/>
        <v>2436505.990800024</v>
      </c>
      <c r="S1013" s="350">
        <f t="shared" si="407"/>
        <v>2464342.0789305517</v>
      </c>
      <c r="T1013" s="350">
        <f t="shared" si="408"/>
        <v>2490213.0521012275</v>
      </c>
      <c r="U1013" s="350">
        <f t="shared" si="409"/>
        <v>2514051.013908512</v>
      </c>
      <c r="V1013" s="350">
        <f t="shared" si="410"/>
        <v>12311884.985697145</v>
      </c>
      <c r="W1013" s="365"/>
      <c r="X1013" s="377">
        <f t="shared" si="388"/>
        <v>0</v>
      </c>
      <c r="Y1013" s="377">
        <f t="shared" si="389"/>
        <v>0</v>
      </c>
      <c r="Z1013" s="377">
        <f t="shared" si="390"/>
        <v>0</v>
      </c>
      <c r="AA1013" s="377">
        <f t="shared" si="391"/>
        <v>0</v>
      </c>
      <c r="AB1013" s="377">
        <f t="shared" si="392"/>
        <v>0</v>
      </c>
      <c r="AC1013" s="377">
        <f t="shared" si="393"/>
        <v>0</v>
      </c>
      <c r="AD1013" s="376"/>
      <c r="AE1013" s="332">
        <v>998</v>
      </c>
      <c r="AF1013" s="350">
        <v>7369690.528872706</v>
      </c>
      <c r="AG1013" s="350">
        <v>45522.377915648969</v>
      </c>
      <c r="AH1013" s="350">
        <v>43586.079494364712</v>
      </c>
      <c r="AI1013" s="350">
        <v>41597.678347792425</v>
      </c>
      <c r="AJ1013" s="350">
        <v>39557.276040690718</v>
      </c>
      <c r="AK1013" s="348">
        <v>7539953.9406712027</v>
      </c>
      <c r="AL1013" s="369"/>
      <c r="AM1013" s="350">
        <v>9230727.3636972345</v>
      </c>
      <c r="AN1013" s="350">
        <v>1929550.3605442606</v>
      </c>
      <c r="AO1013" s="350">
        <v>1949138.3141309153</v>
      </c>
      <c r="AP1013" s="350">
        <v>1967154.6400711744</v>
      </c>
      <c r="AQ1013" s="350">
        <v>1983546.9390434199</v>
      </c>
      <c r="AR1013" s="348">
        <v>17060117.617487006</v>
      </c>
      <c r="AS1013" s="369"/>
      <c r="AT1013" s="350">
        <f t="shared" si="411"/>
        <v>1861036.8348245285</v>
      </c>
      <c r="AU1013" s="350">
        <f t="shared" si="394"/>
        <v>1884027.9826286116</v>
      </c>
      <c r="AV1013" s="350">
        <f t="shared" si="395"/>
        <v>1905552.2346365505</v>
      </c>
      <c r="AW1013" s="350">
        <f t="shared" si="396"/>
        <v>1925556.9617233819</v>
      </c>
      <c r="AX1013" s="350">
        <f t="shared" si="397"/>
        <v>1943989.6630027292</v>
      </c>
      <c r="AY1013" s="350">
        <f t="shared" si="398"/>
        <v>9520163.6768158041</v>
      </c>
      <c r="AZ1013" s="365"/>
      <c r="BA1013" s="377">
        <f t="shared" si="399"/>
        <v>0</v>
      </c>
      <c r="BB1013" s="377">
        <f t="shared" si="400"/>
        <v>0</v>
      </c>
      <c r="BC1013" s="377">
        <f t="shared" si="401"/>
        <v>0</v>
      </c>
      <c r="BD1013" s="377">
        <f t="shared" si="402"/>
        <v>0</v>
      </c>
      <c r="BE1013" s="377">
        <f t="shared" si="403"/>
        <v>0</v>
      </c>
      <c r="BF1013" s="377">
        <f t="shared" si="404"/>
        <v>0</v>
      </c>
      <c r="BG1013" s="328"/>
    </row>
    <row r="1014" spans="1:59">
      <c r="B1014" s="332">
        <v>999</v>
      </c>
      <c r="C1014" s="350">
        <v>4123110.0149190845</v>
      </c>
      <c r="D1014" s="350">
        <v>25468.338399231452</v>
      </c>
      <c r="E1014" s="350">
        <v>24385.040344669018</v>
      </c>
      <c r="F1014" s="350">
        <v>23272.592454352787</v>
      </c>
      <c r="G1014" s="350">
        <v>22131.051550578337</v>
      </c>
      <c r="H1014" s="348">
        <v>4218367.0376679162</v>
      </c>
      <c r="I1014" s="369"/>
      <c r="J1014" s="350">
        <v>6151891.5194411743</v>
      </c>
      <c r="K1014" s="350">
        <v>2079313.2992483685</v>
      </c>
      <c r="L1014" s="350">
        <v>2101694.3429818079</v>
      </c>
      <c r="M1014" s="350">
        <v>2122389.7494860534</v>
      </c>
      <c r="N1014" s="350">
        <v>2141342.3425264088</v>
      </c>
      <c r="O1014" s="348">
        <v>14596631.253683813</v>
      </c>
      <c r="P1014" s="369"/>
      <c r="Q1014" s="350">
        <f t="shared" si="405"/>
        <v>2028781.5045220898</v>
      </c>
      <c r="R1014" s="350">
        <f t="shared" si="406"/>
        <v>2053844.960849137</v>
      </c>
      <c r="S1014" s="350">
        <f t="shared" si="407"/>
        <v>2077309.3026371389</v>
      </c>
      <c r="T1014" s="350">
        <f t="shared" si="408"/>
        <v>2099117.1570317005</v>
      </c>
      <c r="U1014" s="350">
        <f t="shared" si="409"/>
        <v>2119211.2909758305</v>
      </c>
      <c r="V1014" s="350">
        <f t="shared" si="410"/>
        <v>10378264.216015898</v>
      </c>
      <c r="W1014" s="365"/>
      <c r="X1014" s="377">
        <f t="shared" si="388"/>
        <v>0</v>
      </c>
      <c r="Y1014" s="377">
        <f t="shared" si="389"/>
        <v>0</v>
      </c>
      <c r="Z1014" s="377">
        <f t="shared" si="390"/>
        <v>0</v>
      </c>
      <c r="AA1014" s="377">
        <f t="shared" si="391"/>
        <v>0</v>
      </c>
      <c r="AB1014" s="377">
        <f t="shared" si="392"/>
        <v>0</v>
      </c>
      <c r="AC1014" s="377">
        <f t="shared" si="393"/>
        <v>0</v>
      </c>
      <c r="AD1014" s="376"/>
      <c r="AE1014" s="332">
        <v>999</v>
      </c>
      <c r="AF1014" s="350">
        <v>6827006.5248266272</v>
      </c>
      <c r="AG1014" s="350">
        <v>42170.233585547205</v>
      </c>
      <c r="AH1014" s="350">
        <v>40376.518923539152</v>
      </c>
      <c r="AI1014" s="350">
        <v>38534.538239483831</v>
      </c>
      <c r="AJ1014" s="350">
        <v>36644.38561919918</v>
      </c>
      <c r="AK1014" s="348">
        <v>6984732.2011943962</v>
      </c>
      <c r="AL1014" s="369"/>
      <c r="AM1014" s="350">
        <v>8744679.3286136966</v>
      </c>
      <c r="AN1014" s="350">
        <v>1983533.8628558679</v>
      </c>
      <c r="AO1014" s="350">
        <v>2003919.4366018623</v>
      </c>
      <c r="AP1014" s="350">
        <v>2022690.9764907151</v>
      </c>
      <c r="AQ1014" s="350">
        <v>2039794.4779896273</v>
      </c>
      <c r="AR1014" s="348">
        <v>16794618.08255177</v>
      </c>
      <c r="AS1014" s="369"/>
      <c r="AT1014" s="350">
        <f t="shared" si="411"/>
        <v>1917672.8037870694</v>
      </c>
      <c r="AU1014" s="350">
        <f t="shared" si="394"/>
        <v>1941363.6292703208</v>
      </c>
      <c r="AV1014" s="350">
        <f t="shared" si="395"/>
        <v>1963542.9176783231</v>
      </c>
      <c r="AW1014" s="350">
        <f t="shared" si="396"/>
        <v>1984156.4382512313</v>
      </c>
      <c r="AX1014" s="350">
        <f t="shared" si="397"/>
        <v>2003150.0923704281</v>
      </c>
      <c r="AY1014" s="350">
        <f t="shared" si="398"/>
        <v>9809885.8813573737</v>
      </c>
      <c r="AZ1014" s="365"/>
      <c r="BA1014" s="377">
        <f t="shared" si="399"/>
        <v>0</v>
      </c>
      <c r="BB1014" s="377">
        <f t="shared" si="400"/>
        <v>0</v>
      </c>
      <c r="BC1014" s="377">
        <f t="shared" si="401"/>
        <v>0</v>
      </c>
      <c r="BD1014" s="377">
        <f t="shared" si="402"/>
        <v>0</v>
      </c>
      <c r="BE1014" s="377">
        <f t="shared" si="403"/>
        <v>0</v>
      </c>
      <c r="BF1014" s="377">
        <f t="shared" si="404"/>
        <v>0</v>
      </c>
      <c r="BG1014" s="328"/>
    </row>
    <row r="1015" spans="1:59">
      <c r="B1015" s="332">
        <v>1000</v>
      </c>
      <c r="C1015" s="350">
        <v>5305970.6835780544</v>
      </c>
      <c r="D1015" s="350">
        <v>32774.836571615881</v>
      </c>
      <c r="E1015" s="350">
        <v>31380.755962975909</v>
      </c>
      <c r="F1015" s="350">
        <v>29949.162852032528</v>
      </c>
      <c r="G1015" s="350">
        <v>28480.130362573618</v>
      </c>
      <c r="H1015" s="348">
        <v>5428555.5693272529</v>
      </c>
      <c r="I1015" s="369"/>
      <c r="J1015" s="350">
        <v>6587820.1300738938</v>
      </c>
      <c r="K1015" s="350">
        <v>1330460.1813879425</v>
      </c>
      <c r="L1015" s="350">
        <v>1343891.6270699829</v>
      </c>
      <c r="M1015" s="350">
        <v>1356238.9382040866</v>
      </c>
      <c r="N1015" s="350">
        <v>1367466.0262267122</v>
      </c>
      <c r="O1015" s="348">
        <v>11985876.902962619</v>
      </c>
      <c r="P1015" s="369"/>
      <c r="Q1015" s="350">
        <f t="shared" si="405"/>
        <v>1281849.4464958394</v>
      </c>
      <c r="R1015" s="350">
        <f t="shared" si="406"/>
        <v>1297685.3448163266</v>
      </c>
      <c r="S1015" s="350">
        <f t="shared" si="407"/>
        <v>1312510.8711070069</v>
      </c>
      <c r="T1015" s="350">
        <f t="shared" si="408"/>
        <v>1326289.775352054</v>
      </c>
      <c r="U1015" s="350">
        <f t="shared" si="409"/>
        <v>1338985.8958641386</v>
      </c>
      <c r="V1015" s="350">
        <f t="shared" si="410"/>
        <v>6557321.3336353665</v>
      </c>
      <c r="W1015" s="365"/>
      <c r="X1015" s="377">
        <f t="shared" si="388"/>
        <v>0</v>
      </c>
      <c r="Y1015" s="377">
        <f t="shared" si="389"/>
        <v>0</v>
      </c>
      <c r="Z1015" s="377">
        <f t="shared" si="390"/>
        <v>0</v>
      </c>
      <c r="AA1015" s="377">
        <f t="shared" si="391"/>
        <v>0</v>
      </c>
      <c r="AB1015" s="377">
        <f t="shared" si="392"/>
        <v>0</v>
      </c>
      <c r="AC1015" s="377">
        <f t="shared" si="393"/>
        <v>0</v>
      </c>
      <c r="AD1015" s="376"/>
      <c r="AE1015" s="332">
        <v>1000</v>
      </c>
      <c r="AF1015" s="350">
        <v>6864686.1343157887</v>
      </c>
      <c r="AG1015" s="350">
        <v>42402.979508345765</v>
      </c>
      <c r="AH1015" s="350">
        <v>40599.364977666941</v>
      </c>
      <c r="AI1015" s="350">
        <v>38747.218035149337</v>
      </c>
      <c r="AJ1015" s="350">
        <v>36846.633285886172</v>
      </c>
      <c r="AK1015" s="348">
        <v>7023282.3301228378</v>
      </c>
      <c r="AL1015" s="369"/>
      <c r="AM1015" s="350">
        <v>8693727.1600955576</v>
      </c>
      <c r="AN1015" s="350">
        <v>1894039.8786080512</v>
      </c>
      <c r="AO1015" s="350">
        <v>1913390.4611545391</v>
      </c>
      <c r="AP1015" s="350">
        <v>1931199.1107457918</v>
      </c>
      <c r="AQ1015" s="350">
        <v>1947414.3237201427</v>
      </c>
      <c r="AR1015" s="348">
        <v>16379770.934324082</v>
      </c>
      <c r="AS1015" s="369"/>
      <c r="AT1015" s="350">
        <f t="shared" si="411"/>
        <v>1829041.0257797688</v>
      </c>
      <c r="AU1015" s="350">
        <f t="shared" si="394"/>
        <v>1851636.8990997055</v>
      </c>
      <c r="AV1015" s="350">
        <f t="shared" si="395"/>
        <v>1872791.0961768723</v>
      </c>
      <c r="AW1015" s="350">
        <f t="shared" si="396"/>
        <v>1892451.8927106424</v>
      </c>
      <c r="AX1015" s="350">
        <f t="shared" si="397"/>
        <v>1910567.6904342566</v>
      </c>
      <c r="AY1015" s="350">
        <f t="shared" si="398"/>
        <v>9356488.6042012442</v>
      </c>
      <c r="AZ1015" s="365"/>
      <c r="BA1015" s="377">
        <f t="shared" si="399"/>
        <v>0</v>
      </c>
      <c r="BB1015" s="377">
        <f t="shared" si="400"/>
        <v>0</v>
      </c>
      <c r="BC1015" s="377">
        <f t="shared" si="401"/>
        <v>0</v>
      </c>
      <c r="BD1015" s="377">
        <f t="shared" si="402"/>
        <v>0</v>
      </c>
      <c r="BE1015" s="377">
        <f t="shared" si="403"/>
        <v>0</v>
      </c>
      <c r="BF1015" s="377">
        <f t="shared" si="404"/>
        <v>0</v>
      </c>
      <c r="BG1015" s="328"/>
    </row>
    <row r="1016" spans="1:59" s="328" customFormat="1">
      <c r="A1016" s="327"/>
      <c r="C1016" s="330"/>
      <c r="D1016" s="330"/>
      <c r="E1016" s="330"/>
      <c r="F1016" s="330"/>
      <c r="G1016" s="330"/>
      <c r="H1016" s="330"/>
      <c r="J1016" s="330"/>
      <c r="K1016" s="330"/>
      <c r="L1016" s="330"/>
      <c r="M1016" s="330"/>
      <c r="N1016" s="330"/>
      <c r="O1016" s="330"/>
      <c r="AF1016" s="330"/>
      <c r="AG1016" s="330"/>
      <c r="AH1016" s="330"/>
      <c r="AI1016" s="330"/>
      <c r="AJ1016" s="330"/>
      <c r="AK1016" s="330"/>
      <c r="AM1016" s="330"/>
      <c r="AN1016" s="330"/>
      <c r="AO1016" s="330"/>
      <c r="AP1016" s="330"/>
      <c r="AQ1016" s="330"/>
      <c r="AR1016" s="330"/>
    </row>
    <row r="1017" spans="1:59" s="328" customFormat="1">
      <c r="A1017" s="327"/>
      <c r="C1017" s="330"/>
      <c r="D1017" s="330"/>
      <c r="E1017" s="330"/>
      <c r="F1017" s="330"/>
      <c r="G1017" s="330"/>
      <c r="H1017" s="330"/>
      <c r="J1017" s="330"/>
      <c r="K1017" s="330"/>
      <c r="L1017" s="330"/>
      <c r="M1017" s="330"/>
      <c r="N1017" s="330"/>
      <c r="O1017" s="330"/>
      <c r="AF1017" s="330"/>
      <c r="AG1017" s="330"/>
      <c r="AH1017" s="330"/>
      <c r="AI1017" s="330"/>
      <c r="AJ1017" s="330"/>
      <c r="AK1017" s="330"/>
      <c r="AM1017" s="330"/>
      <c r="AN1017" s="330"/>
      <c r="AO1017" s="330"/>
      <c r="AP1017" s="330"/>
      <c r="AQ1017" s="330"/>
      <c r="AR1017" s="330"/>
    </row>
    <row r="1018" spans="1:59" s="329" customFormat="1">
      <c r="A1018" s="353"/>
      <c r="B1018" s="354"/>
      <c r="C1018" s="355"/>
      <c r="D1018" s="355"/>
      <c r="E1018" s="355"/>
      <c r="F1018" s="355"/>
      <c r="G1018" s="355"/>
      <c r="H1018" s="355"/>
      <c r="I1018" s="355"/>
      <c r="J1018" s="355"/>
      <c r="K1018" s="355"/>
      <c r="L1018" s="355"/>
      <c r="M1018" s="355"/>
      <c r="N1018" s="355"/>
      <c r="O1018" s="355"/>
    </row>
    <row r="1019" spans="1:59" s="329" customFormat="1">
      <c r="A1019" s="353"/>
      <c r="B1019" s="180"/>
      <c r="C1019" s="7"/>
      <c r="D1019" s="7"/>
      <c r="E1019" s="7"/>
      <c r="F1019" s="7"/>
      <c r="G1019" s="7"/>
      <c r="H1019" s="7"/>
      <c r="I1019" s="7"/>
      <c r="J1019" s="7"/>
      <c r="K1019" s="7"/>
      <c r="L1019" s="7"/>
      <c r="M1019" s="356"/>
      <c r="N1019" s="356"/>
      <c r="O1019" s="7"/>
    </row>
    <row r="1020" spans="1:59" s="329" customFormat="1">
      <c r="A1020" s="353"/>
      <c r="B1020" s="180"/>
      <c r="C1020" s="65"/>
      <c r="D1020" s="65"/>
      <c r="E1020" s="65"/>
      <c r="F1020" s="65"/>
      <c r="G1020" s="65"/>
      <c r="H1020" s="65"/>
      <c r="I1020" s="65"/>
      <c r="J1020" s="65"/>
      <c r="K1020" s="65"/>
      <c r="L1020" s="65"/>
      <c r="M1020" s="65"/>
      <c r="N1020" s="65"/>
      <c r="O1020" s="180"/>
    </row>
    <row r="1021" spans="1:59" s="329" customFormat="1">
      <c r="A1021" s="353"/>
      <c r="B1021" s="180"/>
      <c r="C1021" s="494" t="s">
        <v>77</v>
      </c>
      <c r="D1021" s="494"/>
      <c r="E1021" s="494"/>
      <c r="F1021" s="494"/>
      <c r="G1021" s="494"/>
      <c r="H1021" s="494"/>
      <c r="I1021" s="494"/>
      <c r="J1021" s="494"/>
      <c r="K1021" s="494"/>
      <c r="L1021" s="494"/>
      <c r="M1021" s="494"/>
      <c r="N1021" s="494"/>
      <c r="O1021" s="180"/>
    </row>
    <row r="1022" spans="1:59" s="329" customFormat="1">
      <c r="A1022" s="353"/>
      <c r="B1022" s="180"/>
      <c r="C1022" s="494"/>
      <c r="D1022" s="494"/>
      <c r="E1022" s="494"/>
      <c r="F1022" s="494"/>
      <c r="G1022" s="494"/>
      <c r="H1022" s="494"/>
      <c r="I1022" s="494"/>
      <c r="J1022" s="494"/>
      <c r="K1022" s="494"/>
      <c r="L1022" s="494"/>
      <c r="M1022" s="494"/>
      <c r="N1022" s="494"/>
      <c r="O1022" s="180"/>
    </row>
    <row r="1023" spans="1:59" s="329" customFormat="1" ht="81" customHeight="1">
      <c r="A1023" s="353"/>
      <c r="B1023" s="355"/>
      <c r="C1023" s="495" t="e" vm="1">
        <v>#VALUE!</v>
      </c>
      <c r="D1023" s="495"/>
      <c r="E1023" s="495"/>
      <c r="F1023" s="495"/>
      <c r="G1023" s="495"/>
      <c r="H1023" s="495"/>
      <c r="I1023" s="495"/>
      <c r="J1023" s="495"/>
      <c r="K1023" s="495"/>
      <c r="L1023" s="495"/>
      <c r="M1023" s="495"/>
      <c r="N1023" s="495"/>
      <c r="O1023" s="355"/>
    </row>
    <row r="1024" spans="1:59" s="329" customFormat="1">
      <c r="A1024" s="353"/>
      <c r="B1024" s="354"/>
      <c r="C1024" s="355"/>
      <c r="D1024" s="355"/>
      <c r="E1024" s="355"/>
      <c r="F1024" s="355"/>
      <c r="G1024" s="355"/>
      <c r="H1024" s="355"/>
      <c r="I1024" s="355"/>
      <c r="J1024" s="355"/>
      <c r="K1024" s="355"/>
      <c r="L1024" s="355"/>
      <c r="M1024" s="355"/>
      <c r="N1024" s="355"/>
      <c r="O1024" s="355"/>
    </row>
    <row r="1025" spans="1:30" s="329" customFormat="1">
      <c r="A1025" s="353"/>
      <c r="B1025" s="354"/>
      <c r="C1025" s="355"/>
      <c r="D1025" s="355"/>
      <c r="E1025" s="355"/>
      <c r="F1025" s="355"/>
      <c r="G1025" s="355"/>
      <c r="H1025" s="355"/>
      <c r="I1025" s="355"/>
      <c r="J1025" s="355"/>
      <c r="K1025" s="355"/>
      <c r="L1025" s="355"/>
      <c r="M1025" s="355"/>
      <c r="N1025" s="355"/>
      <c r="O1025" s="355"/>
    </row>
    <row r="1026" spans="1:30" s="329" customFormat="1" hidden="1">
      <c r="A1026" s="353"/>
      <c r="B1026" s="354"/>
      <c r="C1026" s="355"/>
      <c r="D1026" s="355"/>
      <c r="E1026" s="355"/>
      <c r="F1026" s="355"/>
      <c r="G1026" s="355"/>
      <c r="H1026" s="355"/>
      <c r="I1026" s="355"/>
      <c r="J1026" s="355"/>
      <c r="K1026" s="355"/>
      <c r="L1026" s="355"/>
      <c r="M1026" s="355"/>
      <c r="N1026" s="355"/>
      <c r="O1026" s="355"/>
      <c r="AD1026" s="328"/>
    </row>
    <row r="1027" spans="1:30" s="329" customFormat="1" hidden="1">
      <c r="A1027" s="353"/>
      <c r="B1027" s="354"/>
      <c r="C1027" s="355"/>
      <c r="D1027" s="355"/>
      <c r="E1027" s="355"/>
      <c r="F1027" s="355"/>
      <c r="G1027" s="355"/>
      <c r="H1027" s="355"/>
      <c r="I1027" s="355"/>
      <c r="J1027" s="355"/>
      <c r="K1027" s="355"/>
      <c r="L1027" s="355"/>
      <c r="M1027" s="355"/>
      <c r="N1027" s="355"/>
      <c r="O1027" s="355"/>
      <c r="AD1027" s="328"/>
    </row>
    <row r="1028" spans="1:30" s="329" customFormat="1" hidden="1">
      <c r="A1028" s="353"/>
      <c r="C1028" s="331"/>
      <c r="D1028" s="331"/>
      <c r="E1028" s="331"/>
      <c r="F1028" s="331"/>
      <c r="G1028" s="331"/>
      <c r="H1028" s="331"/>
      <c r="J1028" s="331"/>
      <c r="K1028" s="331"/>
      <c r="L1028" s="331"/>
      <c r="M1028" s="331"/>
      <c r="N1028" s="331"/>
      <c r="O1028" s="331"/>
      <c r="AD1028" s="328"/>
    </row>
    <row r="1029" spans="1:30" s="329" customFormat="1" hidden="1">
      <c r="A1029" s="353"/>
      <c r="C1029" s="331"/>
      <c r="D1029" s="331"/>
      <c r="E1029" s="331"/>
      <c r="F1029" s="331"/>
      <c r="G1029" s="331"/>
      <c r="H1029" s="331"/>
      <c r="J1029" s="331"/>
      <c r="K1029" s="331"/>
      <c r="L1029" s="331"/>
      <c r="M1029" s="331"/>
      <c r="N1029" s="331"/>
      <c r="O1029" s="331"/>
      <c r="AD1029" s="328"/>
    </row>
  </sheetData>
  <mergeCells count="8">
    <mergeCell ref="C1021:N1022"/>
    <mergeCell ref="C1023:N1023"/>
    <mergeCell ref="AF3:AK3"/>
    <mergeCell ref="AM3:AR3"/>
    <mergeCell ref="AT3:AY3"/>
    <mergeCell ref="C3:H3"/>
    <mergeCell ref="J3:O3"/>
    <mergeCell ref="Q3:V3"/>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DDCFAD"/>
  </sheetPr>
  <dimension ref="B1:AX170"/>
  <sheetViews>
    <sheetView showGridLines="0" showRowColHeaders="0" zoomScaleNormal="100" workbookViewId="0">
      <selection activeCell="S18" sqref="S18"/>
    </sheetView>
  </sheetViews>
  <sheetFormatPr defaultColWidth="8.77734375" defaultRowHeight="14.4"/>
  <cols>
    <col min="2" max="2" width="15" customWidth="1"/>
    <col min="3" max="16" width="13.44140625" customWidth="1"/>
    <col min="18" max="18" width="15.33203125" customWidth="1"/>
    <col min="19" max="32" width="13.44140625" customWidth="1"/>
    <col min="36" max="36" width="11.77734375" customWidth="1"/>
    <col min="37" max="50" width="18.33203125" customWidth="1"/>
  </cols>
  <sheetData>
    <row r="1" spans="2:50" s="130" customFormat="1" ht="33.6">
      <c r="B1" s="128" t="str">
        <f>Introduction!$B$1</f>
        <v>Budget impact analysis of PET-CT for treatment of small-cell lung cancer</v>
      </c>
      <c r="C1" s="128"/>
      <c r="D1" s="129"/>
      <c r="E1" s="127"/>
      <c r="F1" s="127"/>
      <c r="G1" s="127"/>
      <c r="H1" s="127"/>
      <c r="I1" s="127"/>
      <c r="J1" s="127"/>
      <c r="K1" s="127"/>
      <c r="L1" s="127"/>
      <c r="M1" s="217"/>
      <c r="N1" s="217"/>
      <c r="O1" s="127"/>
      <c r="P1" s="127"/>
      <c r="Q1" s="127"/>
      <c r="R1" s="127"/>
      <c r="S1" s="127"/>
      <c r="T1" s="127"/>
      <c r="U1" s="127"/>
      <c r="V1" s="127"/>
      <c r="W1" s="127"/>
      <c r="X1" s="127"/>
      <c r="Y1" s="127"/>
      <c r="Z1" s="127"/>
      <c r="AA1" s="127"/>
      <c r="AB1" s="127"/>
      <c r="AC1" s="127"/>
      <c r="AD1" s="127"/>
      <c r="AE1" s="127"/>
      <c r="AF1" s="127"/>
      <c r="AG1" s="127"/>
      <c r="AH1" s="127"/>
      <c r="AI1" s="127"/>
      <c r="AJ1" s="127"/>
      <c r="AK1" s="127"/>
      <c r="AL1" s="129"/>
      <c r="AM1" s="129"/>
      <c r="AN1" s="129"/>
      <c r="AO1" s="129"/>
      <c r="AP1" s="129"/>
      <c r="AQ1" s="127"/>
      <c r="AR1" s="127"/>
      <c r="AS1" s="129"/>
      <c r="AT1" s="129"/>
      <c r="AU1" s="129"/>
      <c r="AV1" s="129"/>
      <c r="AW1" s="129"/>
      <c r="AX1" s="129"/>
    </row>
    <row r="2" spans="2:50" s="130" customFormat="1" ht="18">
      <c r="B2" s="131"/>
      <c r="C2" s="131"/>
      <c r="D2" s="132"/>
      <c r="E2" s="133"/>
      <c r="F2" s="133"/>
      <c r="G2" s="133"/>
      <c r="H2" s="133"/>
      <c r="I2" s="133"/>
      <c r="J2" s="133"/>
      <c r="K2" s="133"/>
      <c r="L2" s="133"/>
      <c r="M2" s="217"/>
      <c r="N2" s="217"/>
      <c r="O2" s="127"/>
      <c r="P2" s="127"/>
      <c r="Q2" s="127"/>
      <c r="R2" s="127"/>
      <c r="S2" s="127"/>
      <c r="T2" s="127"/>
      <c r="U2" s="127"/>
      <c r="V2" s="127"/>
      <c r="W2" s="127"/>
      <c r="X2" s="127"/>
      <c r="Y2" s="127"/>
      <c r="Z2" s="127"/>
      <c r="AA2" s="127"/>
      <c r="AB2" s="127"/>
      <c r="AC2" s="127"/>
      <c r="AD2" s="127"/>
      <c r="AE2" s="127"/>
      <c r="AF2" s="127"/>
      <c r="AG2" s="127"/>
      <c r="AH2" s="127"/>
      <c r="AI2" s="127"/>
      <c r="AJ2" s="127"/>
      <c r="AK2" s="127"/>
      <c r="AL2" s="129"/>
      <c r="AM2" s="129"/>
      <c r="AN2" s="129"/>
      <c r="AO2" s="129"/>
      <c r="AP2" s="129"/>
      <c r="AQ2" s="127"/>
      <c r="AR2" s="127"/>
      <c r="AS2" s="129"/>
      <c r="AT2" s="129"/>
      <c r="AU2" s="129"/>
      <c r="AV2" s="129"/>
      <c r="AW2" s="129"/>
      <c r="AX2" s="129"/>
    </row>
    <row r="3" spans="2:50" s="134" customFormat="1" ht="2.25" customHeight="1">
      <c r="D3" s="135"/>
      <c r="M3" s="218"/>
      <c r="N3" s="218"/>
      <c r="AL3" s="135"/>
      <c r="AM3" s="135"/>
      <c r="AN3" s="135"/>
      <c r="AO3" s="135"/>
      <c r="AP3" s="135"/>
      <c r="AS3" s="135"/>
      <c r="AT3" s="135"/>
      <c r="AU3" s="135"/>
      <c r="AV3" s="135"/>
      <c r="AW3" s="135"/>
      <c r="AX3" s="135"/>
    </row>
    <row r="4" spans="2:50" s="3" customFormat="1">
      <c r="B4" s="9"/>
      <c r="C4" s="9"/>
      <c r="D4" s="9"/>
      <c r="E4" s="9"/>
      <c r="F4" s="9"/>
      <c r="G4" s="9"/>
      <c r="H4" s="9"/>
      <c r="I4" s="9"/>
      <c r="J4" s="9"/>
      <c r="K4" s="9"/>
      <c r="L4" s="9"/>
      <c r="M4" s="4"/>
      <c r="N4" s="4"/>
      <c r="O4" s="9"/>
      <c r="P4" s="9"/>
      <c r="Q4" s="9"/>
      <c r="R4" s="9"/>
      <c r="S4" s="9"/>
      <c r="T4" s="9"/>
      <c r="U4" s="9"/>
      <c r="V4" s="9"/>
      <c r="W4" s="9"/>
      <c r="X4" s="9"/>
      <c r="Y4" s="9"/>
      <c r="Z4" s="9"/>
      <c r="AA4" s="9"/>
      <c r="AB4" s="9"/>
      <c r="AC4" s="9"/>
      <c r="AD4" s="9"/>
      <c r="AE4" s="9"/>
      <c r="AF4" s="9"/>
      <c r="AG4" s="9"/>
      <c r="AH4" s="9"/>
      <c r="AI4" s="9"/>
      <c r="AJ4" s="9"/>
      <c r="AK4" s="9"/>
      <c r="AL4" s="11"/>
      <c r="AM4" s="11"/>
      <c r="AN4" s="11"/>
      <c r="AO4" s="11"/>
      <c r="AP4" s="11"/>
      <c r="AQ4" s="9"/>
      <c r="AR4" s="9"/>
      <c r="AS4" s="11"/>
      <c r="AT4" s="11"/>
      <c r="AU4" s="11"/>
      <c r="AV4" s="11"/>
      <c r="AW4" s="11"/>
      <c r="AX4" s="11"/>
    </row>
    <row r="5" spans="2:50" ht="15.6">
      <c r="B5" s="219" t="s">
        <v>266</v>
      </c>
      <c r="R5" s="219" t="s">
        <v>267</v>
      </c>
      <c r="AJ5" s="219" t="s">
        <v>273</v>
      </c>
    </row>
    <row r="6" spans="2:50" ht="15.6" hidden="1">
      <c r="B6" s="219"/>
      <c r="R6" s="219"/>
      <c r="AJ6" s="219"/>
    </row>
    <row r="7" spans="2:50" ht="15" customHeight="1">
      <c r="B7" s="499" t="s">
        <v>275</v>
      </c>
      <c r="C7" s="500"/>
      <c r="D7" s="500"/>
      <c r="E7" s="500"/>
      <c r="F7" s="500"/>
      <c r="G7" s="500"/>
      <c r="H7" s="500"/>
      <c r="I7" s="500"/>
      <c r="J7" s="500"/>
      <c r="K7" s="500"/>
      <c r="L7" s="500"/>
      <c r="M7" s="500"/>
      <c r="N7" s="500"/>
      <c r="O7" s="500"/>
      <c r="P7" s="501"/>
      <c r="R7" s="499" t="s">
        <v>274</v>
      </c>
      <c r="S7" s="500"/>
      <c r="T7" s="500"/>
      <c r="U7" s="500"/>
      <c r="V7" s="500"/>
      <c r="W7" s="500"/>
      <c r="X7" s="500"/>
      <c r="Y7" s="500"/>
      <c r="Z7" s="500"/>
      <c r="AA7" s="500"/>
      <c r="AB7" s="500"/>
      <c r="AC7" s="500"/>
      <c r="AD7" s="500"/>
      <c r="AE7" s="500"/>
      <c r="AF7" s="501"/>
      <c r="AJ7" s="499" t="s">
        <v>8</v>
      </c>
      <c r="AK7" s="500"/>
      <c r="AL7" s="500"/>
      <c r="AM7" s="500"/>
      <c r="AN7" s="500"/>
      <c r="AO7" s="500"/>
      <c r="AP7" s="500"/>
      <c r="AQ7" s="500"/>
      <c r="AR7" s="500"/>
      <c r="AS7" s="500"/>
      <c r="AT7" s="500"/>
      <c r="AU7" s="500"/>
      <c r="AV7" s="500"/>
      <c r="AW7" s="500"/>
      <c r="AX7" s="501"/>
    </row>
    <row r="8" spans="2:50" ht="16.5" customHeight="1">
      <c r="B8" s="498"/>
      <c r="C8" s="498" t="str">
        <f>IF(intervencao1=0,"Do not fill",intervencao1)</f>
        <v>PET-CT</v>
      </c>
      <c r="D8" s="498" t="str">
        <f>IF(intervencao2=0,"Do not fill",intervencao2)</f>
        <v>Do not fill</v>
      </c>
      <c r="E8" s="498" t="str">
        <f>IF(intervencao3=0,"Do not fill",intervencao3)</f>
        <v>Do not fill</v>
      </c>
      <c r="F8" s="498" t="str">
        <f>IF(intervencao4=0,"Do not fill",intervencao4)</f>
        <v>Do not fill</v>
      </c>
      <c r="G8" s="498" t="str">
        <f>IF(comparador1=0,"Do not fill",comparador1)</f>
        <v>CT scan + scintigraphy</v>
      </c>
      <c r="H8" s="498" t="str">
        <f>IF(comparador2=0,"Do not fill",comparador2)</f>
        <v>Do not fill</v>
      </c>
      <c r="I8" s="498" t="str">
        <f>IF(comparador3=0,"Do not fill",comparador3)</f>
        <v>Do not fill</v>
      </c>
      <c r="J8" s="498" t="str">
        <f>IF(comparador4=0,"Do not fill",comparador4)</f>
        <v>Do not fill</v>
      </c>
      <c r="K8" s="498" t="str">
        <f>IF(comparador5=0,"Do not fill",comparador5)</f>
        <v>Do not fill</v>
      </c>
      <c r="L8" s="498" t="str">
        <f>IF(comparador6=0,"Do not fill",comparador6)</f>
        <v>Do not fill</v>
      </c>
      <c r="M8" s="498" t="str">
        <f>IF(comparador7=0,"Do not fill",comparador7)</f>
        <v>Do not fill</v>
      </c>
      <c r="N8" s="498" t="str">
        <f>IF(comparador8=0,"Do not fill",comparador8)</f>
        <v>Do not fill</v>
      </c>
      <c r="O8" s="498" t="str">
        <f>IF(comparador9=0,"Do not fill",comparador9)</f>
        <v>Do not fill</v>
      </c>
      <c r="P8" s="498" t="str">
        <f>IF(comparador10=0,"Do not fill",comparador10)</f>
        <v>Do not fill</v>
      </c>
      <c r="R8" s="498"/>
      <c r="S8" s="498" t="str">
        <f>IF(intervencao1=0,"Do not fill",intervencao1)</f>
        <v>PET-CT</v>
      </c>
      <c r="T8" s="498" t="str">
        <f>IF(intervencao2=0,"Do not fill",intervencao2)</f>
        <v>Do not fill</v>
      </c>
      <c r="U8" s="498" t="str">
        <f>IF(intervencao3=0,"Do not fill",intervencao3)</f>
        <v>Do not fill</v>
      </c>
      <c r="V8" s="498" t="str">
        <f>IF(intervencao4=0,"Do not fill",intervencao4)</f>
        <v>Do not fill</v>
      </c>
      <c r="W8" s="498" t="str">
        <f>IF(comparador1=0,"Do not fill",comparador1)</f>
        <v>CT scan + scintigraphy</v>
      </c>
      <c r="X8" s="498" t="str">
        <f>IF(comparador2=0,"Do not fill",comparador2)</f>
        <v>Do not fill</v>
      </c>
      <c r="Y8" s="498" t="str">
        <f>IF(comparador3=0,"Do not fill",comparador3)</f>
        <v>Do not fill</v>
      </c>
      <c r="Z8" s="498" t="str">
        <f>IF(comparador4=0,"Do not fill",comparador4)</f>
        <v>Do not fill</v>
      </c>
      <c r="AA8" s="498" t="str">
        <f>IF(comparador5=0,"Do not fill",comparador5)</f>
        <v>Do not fill</v>
      </c>
      <c r="AB8" s="498" t="str">
        <f>IF(comparador6=0,"Do not fill",comparador6)</f>
        <v>Do not fill</v>
      </c>
      <c r="AC8" s="498" t="str">
        <f>IF(comparador7=0,"Do not fill",comparador7)</f>
        <v>Do not fill</v>
      </c>
      <c r="AD8" s="498" t="str">
        <f>IF(comparador8=0,"Do not fill",comparador8)</f>
        <v>Do not fill</v>
      </c>
      <c r="AE8" s="498" t="str">
        <f>IF(comparador9=0,"Do not fill",comparador9)</f>
        <v>Do not fill</v>
      </c>
      <c r="AF8" s="498" t="str">
        <f>IF(comparador10=0,"Do not fill",comparador10)</f>
        <v>Do not fill</v>
      </c>
      <c r="AJ8" s="220"/>
      <c r="AK8" s="221" t="str">
        <f>IF(intervencao1=0,"Do not fill",intervencao1)</f>
        <v>PET-CT</v>
      </c>
      <c r="AL8" s="221" t="str">
        <f>IF(intervencao2=0,"Do not fill",intervencao2)</f>
        <v>Do not fill</v>
      </c>
      <c r="AM8" s="221" t="str">
        <f>IF(intervencao3=0,"Do not fill",intervencao3)</f>
        <v>Do not fill</v>
      </c>
      <c r="AN8" s="221" t="str">
        <f>IF(intervencao4=0,"Do not fill",intervencao4)</f>
        <v>Do not fill</v>
      </c>
      <c r="AO8" s="221" t="str">
        <f>IF(comparador1=0,"Do not fill",comparador1)</f>
        <v>CT scan + scintigraphy</v>
      </c>
      <c r="AP8" s="221" t="str">
        <f>IF(comparador2=0,"Do not fill",comparador2)</f>
        <v>Do not fill</v>
      </c>
      <c r="AQ8" s="221" t="str">
        <f>IF(comparador3=0,"Do not fill",comparador3)</f>
        <v>Do not fill</v>
      </c>
      <c r="AR8" s="221" t="str">
        <f>IF(comparador4=0,"Do not fill",comparador4)</f>
        <v>Do not fill</v>
      </c>
      <c r="AS8" s="221" t="str">
        <f>IF(comparador5=0,"Do not fill",comparador5)</f>
        <v>Do not fill</v>
      </c>
      <c r="AT8" s="221" t="str">
        <f>IF(comparador6=0,"Do not fill",comparador6)</f>
        <v>Do not fill</v>
      </c>
      <c r="AU8" s="221" t="str">
        <f>IF(comparador7=0,"Do not fill",comparador7)</f>
        <v>Do not fill</v>
      </c>
      <c r="AV8" s="221" t="str">
        <f>IF(comparador8=0,"Do not fill",comparador8)</f>
        <v>Do not fill</v>
      </c>
      <c r="AW8" s="221" t="str">
        <f>IF(comparador9=0,"Do not fill",comparador9)</f>
        <v>Do not fill</v>
      </c>
      <c r="AX8" s="222" t="str">
        <f>IF(comparador10=0,"Do not fill",comparador10)</f>
        <v>Do not fill</v>
      </c>
    </row>
    <row r="9" spans="2:50">
      <c r="B9" s="468"/>
      <c r="C9" s="468"/>
      <c r="D9" s="468"/>
      <c r="E9" s="468"/>
      <c r="F9" s="468"/>
      <c r="G9" s="468"/>
      <c r="H9" s="468"/>
      <c r="I9" s="468"/>
      <c r="J9" s="468"/>
      <c r="K9" s="468"/>
      <c r="L9" s="468"/>
      <c r="M9" s="468"/>
      <c r="N9" s="468"/>
      <c r="O9" s="468"/>
      <c r="P9" s="468"/>
      <c r="R9" s="468"/>
      <c r="S9" s="468"/>
      <c r="T9" s="468"/>
      <c r="U9" s="468"/>
      <c r="V9" s="468"/>
      <c r="W9" s="468"/>
      <c r="X9" s="468"/>
      <c r="Y9" s="468"/>
      <c r="Z9" s="468"/>
      <c r="AA9" s="468"/>
      <c r="AB9" s="468"/>
      <c r="AC9" s="468"/>
      <c r="AD9" s="468"/>
      <c r="AE9" s="468"/>
      <c r="AF9" s="468"/>
      <c r="AJ9" s="220" t="s">
        <v>9</v>
      </c>
      <c r="AK9" s="223" t="e">
        <f>LN(2)/'Time on treatment'!$D$65</f>
        <v>#DIV/0!</v>
      </c>
      <c r="AL9" s="223" t="e">
        <f>LN(2)/'Time on treatment'!$D$66</f>
        <v>#DIV/0!</v>
      </c>
      <c r="AM9" s="223" t="e">
        <f>LN(2)/'Time on treatment'!$D$67</f>
        <v>#DIV/0!</v>
      </c>
      <c r="AN9" s="223" t="e">
        <f>LN(2)/'Time on treatment'!$D$68</f>
        <v>#DIV/0!</v>
      </c>
      <c r="AO9" s="223" t="e">
        <f>LN(2)/'Time on treatment'!$D$70</f>
        <v>#DIV/0!</v>
      </c>
      <c r="AP9" s="223" t="e">
        <f>LN(2)/'Time on treatment'!$D$71</f>
        <v>#DIV/0!</v>
      </c>
      <c r="AQ9" s="223" t="e">
        <f>LN(2)/'Time on treatment'!$D$72</f>
        <v>#DIV/0!</v>
      </c>
      <c r="AR9" s="223" t="e">
        <f>LN(2)/'Time on treatment'!$D$73</f>
        <v>#DIV/0!</v>
      </c>
      <c r="AS9" s="223" t="e">
        <f>LN(2)/'Time on treatment'!$D$74</f>
        <v>#DIV/0!</v>
      </c>
      <c r="AT9" s="223" t="e">
        <f>LN(2)/'Time on treatment'!$D$75</f>
        <v>#DIV/0!</v>
      </c>
      <c r="AU9" s="223" t="e">
        <f>LN(2)/'Time on treatment'!$D$75</f>
        <v>#DIV/0!</v>
      </c>
      <c r="AV9" s="223" t="e">
        <f>LN(2)/'Time on treatment'!$D$76</f>
        <v>#DIV/0!</v>
      </c>
      <c r="AW9" s="223" t="e">
        <f>LN(2)/'Time on treatment'!$D$78</f>
        <v>#DIV/0!</v>
      </c>
      <c r="AX9" s="223" t="e">
        <f>LN(2)/'Time on treatment'!$D$79</f>
        <v>#DIV/0!</v>
      </c>
    </row>
    <row r="10" spans="2:50">
      <c r="B10" s="224">
        <v>0</v>
      </c>
      <c r="C10" s="68"/>
      <c r="D10" s="68"/>
      <c r="E10" s="68"/>
      <c r="F10" s="68"/>
      <c r="G10" s="68"/>
      <c r="H10" s="68"/>
      <c r="I10" s="68"/>
      <c r="J10" s="68"/>
      <c r="K10" s="68"/>
      <c r="L10" s="68"/>
      <c r="M10" s="68"/>
      <c r="N10" s="68"/>
      <c r="O10" s="68"/>
      <c r="P10" s="69"/>
      <c r="R10" s="224">
        <v>0</v>
      </c>
      <c r="S10" s="68"/>
      <c r="T10" s="68"/>
      <c r="U10" s="68"/>
      <c r="V10" s="68"/>
      <c r="W10" s="68"/>
      <c r="X10" s="68"/>
      <c r="Y10" s="68"/>
      <c r="Z10" s="68"/>
      <c r="AA10" s="68"/>
      <c r="AB10" s="68"/>
      <c r="AC10" s="68"/>
      <c r="AD10" s="68"/>
      <c r="AE10" s="68"/>
      <c r="AF10" s="69"/>
      <c r="AJ10" s="224">
        <v>0</v>
      </c>
      <c r="AK10" s="225" t="e">
        <f t="shared" ref="AK10:AX19" si="0">EXP(-AK$9*$AJ10)</f>
        <v>#DIV/0!</v>
      </c>
      <c r="AL10" s="225" t="e">
        <f t="shared" si="0"/>
        <v>#DIV/0!</v>
      </c>
      <c r="AM10" s="225" t="e">
        <f t="shared" si="0"/>
        <v>#DIV/0!</v>
      </c>
      <c r="AN10" s="225" t="e">
        <f t="shared" si="0"/>
        <v>#DIV/0!</v>
      </c>
      <c r="AO10" s="225" t="e">
        <f t="shared" si="0"/>
        <v>#DIV/0!</v>
      </c>
      <c r="AP10" s="225" t="e">
        <f t="shared" si="0"/>
        <v>#DIV/0!</v>
      </c>
      <c r="AQ10" s="225" t="e">
        <f t="shared" si="0"/>
        <v>#DIV/0!</v>
      </c>
      <c r="AR10" s="225" t="e">
        <f t="shared" si="0"/>
        <v>#DIV/0!</v>
      </c>
      <c r="AS10" s="225" t="e">
        <f t="shared" si="0"/>
        <v>#DIV/0!</v>
      </c>
      <c r="AT10" s="225" t="e">
        <f t="shared" si="0"/>
        <v>#DIV/0!</v>
      </c>
      <c r="AU10" s="225" t="e">
        <f t="shared" si="0"/>
        <v>#DIV/0!</v>
      </c>
      <c r="AV10" s="225" t="e">
        <f t="shared" si="0"/>
        <v>#DIV/0!</v>
      </c>
      <c r="AW10" s="225" t="e">
        <f t="shared" si="0"/>
        <v>#DIV/0!</v>
      </c>
      <c r="AX10" s="226" t="e">
        <f t="shared" si="0"/>
        <v>#DIV/0!</v>
      </c>
    </row>
    <row r="11" spans="2:50">
      <c r="B11" s="220">
        <v>1</v>
      </c>
      <c r="C11" s="61"/>
      <c r="D11" s="61"/>
      <c r="E11" s="61"/>
      <c r="F11" s="61"/>
      <c r="G11" s="61"/>
      <c r="H11" s="61"/>
      <c r="I11" s="61"/>
      <c r="J11" s="61"/>
      <c r="K11" s="61"/>
      <c r="L11" s="61"/>
      <c r="M11" s="61"/>
      <c r="N11" s="61"/>
      <c r="O11" s="61"/>
      <c r="P11" s="70"/>
      <c r="R11" s="220">
        <v>1</v>
      </c>
      <c r="S11" s="61"/>
      <c r="T11" s="61"/>
      <c r="U11" s="61"/>
      <c r="V11" s="61"/>
      <c r="W11" s="61"/>
      <c r="X11" s="61"/>
      <c r="Y11" s="61"/>
      <c r="Z11" s="61"/>
      <c r="AA11" s="61"/>
      <c r="AB11" s="61"/>
      <c r="AC11" s="61"/>
      <c r="AD11" s="61"/>
      <c r="AE11" s="61"/>
      <c r="AF11" s="70"/>
      <c r="AJ11" s="220">
        <v>1</v>
      </c>
      <c r="AK11" s="227" t="e">
        <f t="shared" si="0"/>
        <v>#DIV/0!</v>
      </c>
      <c r="AL11" s="227" t="e">
        <f t="shared" si="0"/>
        <v>#DIV/0!</v>
      </c>
      <c r="AM11" s="227" t="e">
        <f t="shared" si="0"/>
        <v>#DIV/0!</v>
      </c>
      <c r="AN11" s="227" t="e">
        <f t="shared" si="0"/>
        <v>#DIV/0!</v>
      </c>
      <c r="AO11" s="227" t="e">
        <f t="shared" si="0"/>
        <v>#DIV/0!</v>
      </c>
      <c r="AP11" s="227" t="e">
        <f t="shared" si="0"/>
        <v>#DIV/0!</v>
      </c>
      <c r="AQ11" s="227" t="e">
        <f t="shared" si="0"/>
        <v>#DIV/0!</v>
      </c>
      <c r="AR11" s="227" t="e">
        <f t="shared" si="0"/>
        <v>#DIV/0!</v>
      </c>
      <c r="AS11" s="227" t="e">
        <f t="shared" si="0"/>
        <v>#DIV/0!</v>
      </c>
      <c r="AT11" s="227" t="e">
        <f t="shared" si="0"/>
        <v>#DIV/0!</v>
      </c>
      <c r="AU11" s="227" t="e">
        <f t="shared" si="0"/>
        <v>#DIV/0!</v>
      </c>
      <c r="AV11" s="227" t="e">
        <f t="shared" si="0"/>
        <v>#DIV/0!</v>
      </c>
      <c r="AW11" s="227" t="e">
        <f t="shared" si="0"/>
        <v>#DIV/0!</v>
      </c>
      <c r="AX11" s="228" t="e">
        <f t="shared" si="0"/>
        <v>#DIV/0!</v>
      </c>
    </row>
    <row r="12" spans="2:50">
      <c r="B12" s="220">
        <v>2</v>
      </c>
      <c r="C12" s="61"/>
      <c r="D12" s="61"/>
      <c r="E12" s="61"/>
      <c r="F12" s="61"/>
      <c r="G12" s="61"/>
      <c r="H12" s="61"/>
      <c r="I12" s="61"/>
      <c r="J12" s="61"/>
      <c r="K12" s="61"/>
      <c r="L12" s="61"/>
      <c r="M12" s="61"/>
      <c r="N12" s="61"/>
      <c r="O12" s="61"/>
      <c r="P12" s="70"/>
      <c r="R12" s="220">
        <v>2</v>
      </c>
      <c r="S12" s="61"/>
      <c r="T12" s="61"/>
      <c r="U12" s="61"/>
      <c r="V12" s="61"/>
      <c r="W12" s="61"/>
      <c r="X12" s="61"/>
      <c r="Y12" s="61"/>
      <c r="Z12" s="61"/>
      <c r="AA12" s="61"/>
      <c r="AB12" s="61"/>
      <c r="AC12" s="61"/>
      <c r="AD12" s="61"/>
      <c r="AE12" s="61"/>
      <c r="AF12" s="70"/>
      <c r="AJ12" s="220">
        <v>2</v>
      </c>
      <c r="AK12" s="227" t="e">
        <f t="shared" si="0"/>
        <v>#DIV/0!</v>
      </c>
      <c r="AL12" s="227" t="e">
        <f t="shared" si="0"/>
        <v>#DIV/0!</v>
      </c>
      <c r="AM12" s="227" t="e">
        <f t="shared" si="0"/>
        <v>#DIV/0!</v>
      </c>
      <c r="AN12" s="227" t="e">
        <f t="shared" si="0"/>
        <v>#DIV/0!</v>
      </c>
      <c r="AO12" s="227" t="e">
        <f t="shared" si="0"/>
        <v>#DIV/0!</v>
      </c>
      <c r="AP12" s="227" t="e">
        <f t="shared" si="0"/>
        <v>#DIV/0!</v>
      </c>
      <c r="AQ12" s="227" t="e">
        <f t="shared" si="0"/>
        <v>#DIV/0!</v>
      </c>
      <c r="AR12" s="227" t="e">
        <f t="shared" si="0"/>
        <v>#DIV/0!</v>
      </c>
      <c r="AS12" s="227" t="e">
        <f t="shared" si="0"/>
        <v>#DIV/0!</v>
      </c>
      <c r="AT12" s="227" t="e">
        <f t="shared" si="0"/>
        <v>#DIV/0!</v>
      </c>
      <c r="AU12" s="227" t="e">
        <f t="shared" si="0"/>
        <v>#DIV/0!</v>
      </c>
      <c r="AV12" s="227" t="e">
        <f t="shared" si="0"/>
        <v>#DIV/0!</v>
      </c>
      <c r="AW12" s="227" t="e">
        <f t="shared" si="0"/>
        <v>#DIV/0!</v>
      </c>
      <c r="AX12" s="228" t="e">
        <f t="shared" si="0"/>
        <v>#DIV/0!</v>
      </c>
    </row>
    <row r="13" spans="2:50">
      <c r="B13" s="220">
        <v>3</v>
      </c>
      <c r="C13" s="61"/>
      <c r="D13" s="61"/>
      <c r="E13" s="61"/>
      <c r="F13" s="61"/>
      <c r="G13" s="61"/>
      <c r="H13" s="61"/>
      <c r="I13" s="61"/>
      <c r="J13" s="61"/>
      <c r="K13" s="61"/>
      <c r="L13" s="61"/>
      <c r="M13" s="61"/>
      <c r="N13" s="61"/>
      <c r="O13" s="61"/>
      <c r="P13" s="70"/>
      <c r="R13" s="220">
        <v>3</v>
      </c>
      <c r="S13" s="61"/>
      <c r="T13" s="61"/>
      <c r="U13" s="61"/>
      <c r="V13" s="61"/>
      <c r="W13" s="61"/>
      <c r="X13" s="61"/>
      <c r="Y13" s="61"/>
      <c r="Z13" s="61"/>
      <c r="AA13" s="61"/>
      <c r="AB13" s="61"/>
      <c r="AC13" s="61"/>
      <c r="AD13" s="61"/>
      <c r="AE13" s="61"/>
      <c r="AF13" s="70"/>
      <c r="AJ13" s="220">
        <v>3</v>
      </c>
      <c r="AK13" s="227" t="e">
        <f t="shared" si="0"/>
        <v>#DIV/0!</v>
      </c>
      <c r="AL13" s="227" t="e">
        <f t="shared" si="0"/>
        <v>#DIV/0!</v>
      </c>
      <c r="AM13" s="227" t="e">
        <f t="shared" si="0"/>
        <v>#DIV/0!</v>
      </c>
      <c r="AN13" s="227" t="e">
        <f t="shared" si="0"/>
        <v>#DIV/0!</v>
      </c>
      <c r="AO13" s="227" t="e">
        <f t="shared" si="0"/>
        <v>#DIV/0!</v>
      </c>
      <c r="AP13" s="227" t="e">
        <f t="shared" si="0"/>
        <v>#DIV/0!</v>
      </c>
      <c r="AQ13" s="227" t="e">
        <f t="shared" si="0"/>
        <v>#DIV/0!</v>
      </c>
      <c r="AR13" s="227" t="e">
        <f t="shared" si="0"/>
        <v>#DIV/0!</v>
      </c>
      <c r="AS13" s="227" t="e">
        <f t="shared" si="0"/>
        <v>#DIV/0!</v>
      </c>
      <c r="AT13" s="227" t="e">
        <f t="shared" si="0"/>
        <v>#DIV/0!</v>
      </c>
      <c r="AU13" s="227" t="e">
        <f t="shared" si="0"/>
        <v>#DIV/0!</v>
      </c>
      <c r="AV13" s="227" t="e">
        <f t="shared" si="0"/>
        <v>#DIV/0!</v>
      </c>
      <c r="AW13" s="227" t="e">
        <f t="shared" si="0"/>
        <v>#DIV/0!</v>
      </c>
      <c r="AX13" s="228" t="e">
        <f t="shared" si="0"/>
        <v>#DIV/0!</v>
      </c>
    </row>
    <row r="14" spans="2:50">
      <c r="B14" s="220">
        <v>4</v>
      </c>
      <c r="C14" s="61"/>
      <c r="D14" s="61"/>
      <c r="E14" s="61"/>
      <c r="F14" s="61"/>
      <c r="G14" s="61"/>
      <c r="H14" s="61"/>
      <c r="I14" s="61"/>
      <c r="J14" s="61"/>
      <c r="K14" s="61"/>
      <c r="L14" s="61"/>
      <c r="M14" s="61"/>
      <c r="N14" s="61"/>
      <c r="O14" s="61"/>
      <c r="P14" s="70"/>
      <c r="R14" s="220">
        <v>4</v>
      </c>
      <c r="S14" s="61"/>
      <c r="T14" s="61"/>
      <c r="U14" s="61"/>
      <c r="V14" s="61"/>
      <c r="W14" s="61"/>
      <c r="X14" s="61"/>
      <c r="Y14" s="61"/>
      <c r="Z14" s="61"/>
      <c r="AA14" s="61"/>
      <c r="AB14" s="61"/>
      <c r="AC14" s="61"/>
      <c r="AD14" s="61"/>
      <c r="AE14" s="61"/>
      <c r="AF14" s="70"/>
      <c r="AJ14" s="220">
        <v>4</v>
      </c>
      <c r="AK14" s="227" t="e">
        <f t="shared" si="0"/>
        <v>#DIV/0!</v>
      </c>
      <c r="AL14" s="227" t="e">
        <f t="shared" si="0"/>
        <v>#DIV/0!</v>
      </c>
      <c r="AM14" s="227" t="e">
        <f t="shared" si="0"/>
        <v>#DIV/0!</v>
      </c>
      <c r="AN14" s="227" t="e">
        <f t="shared" si="0"/>
        <v>#DIV/0!</v>
      </c>
      <c r="AO14" s="227" t="e">
        <f t="shared" si="0"/>
        <v>#DIV/0!</v>
      </c>
      <c r="AP14" s="227" t="e">
        <f t="shared" si="0"/>
        <v>#DIV/0!</v>
      </c>
      <c r="AQ14" s="227" t="e">
        <f t="shared" si="0"/>
        <v>#DIV/0!</v>
      </c>
      <c r="AR14" s="227" t="e">
        <f t="shared" si="0"/>
        <v>#DIV/0!</v>
      </c>
      <c r="AS14" s="227" t="e">
        <f t="shared" si="0"/>
        <v>#DIV/0!</v>
      </c>
      <c r="AT14" s="227" t="e">
        <f t="shared" si="0"/>
        <v>#DIV/0!</v>
      </c>
      <c r="AU14" s="227" t="e">
        <f t="shared" si="0"/>
        <v>#DIV/0!</v>
      </c>
      <c r="AV14" s="227" t="e">
        <f t="shared" si="0"/>
        <v>#DIV/0!</v>
      </c>
      <c r="AW14" s="227" t="e">
        <f t="shared" si="0"/>
        <v>#DIV/0!</v>
      </c>
      <c r="AX14" s="228" t="e">
        <f t="shared" si="0"/>
        <v>#DIV/0!</v>
      </c>
    </row>
    <row r="15" spans="2:50">
      <c r="B15" s="220">
        <v>5</v>
      </c>
      <c r="C15" s="61"/>
      <c r="D15" s="61"/>
      <c r="E15" s="61"/>
      <c r="F15" s="61"/>
      <c r="G15" s="61"/>
      <c r="H15" s="61"/>
      <c r="I15" s="61"/>
      <c r="J15" s="61"/>
      <c r="K15" s="61"/>
      <c r="L15" s="61"/>
      <c r="M15" s="61"/>
      <c r="N15" s="61"/>
      <c r="O15" s="61"/>
      <c r="P15" s="70"/>
      <c r="R15" s="220">
        <v>5</v>
      </c>
      <c r="S15" s="61"/>
      <c r="T15" s="61"/>
      <c r="U15" s="61"/>
      <c r="V15" s="61"/>
      <c r="W15" s="61"/>
      <c r="X15" s="61"/>
      <c r="Y15" s="61"/>
      <c r="Z15" s="61"/>
      <c r="AA15" s="61"/>
      <c r="AB15" s="61"/>
      <c r="AC15" s="61"/>
      <c r="AD15" s="61"/>
      <c r="AE15" s="61"/>
      <c r="AF15" s="70"/>
      <c r="AJ15" s="220">
        <v>5</v>
      </c>
      <c r="AK15" s="227" t="e">
        <f t="shared" si="0"/>
        <v>#DIV/0!</v>
      </c>
      <c r="AL15" s="227" t="e">
        <f t="shared" si="0"/>
        <v>#DIV/0!</v>
      </c>
      <c r="AM15" s="227" t="e">
        <f t="shared" si="0"/>
        <v>#DIV/0!</v>
      </c>
      <c r="AN15" s="227" t="e">
        <f t="shared" si="0"/>
        <v>#DIV/0!</v>
      </c>
      <c r="AO15" s="227" t="e">
        <f t="shared" si="0"/>
        <v>#DIV/0!</v>
      </c>
      <c r="AP15" s="227" t="e">
        <f t="shared" si="0"/>
        <v>#DIV/0!</v>
      </c>
      <c r="AQ15" s="227" t="e">
        <f t="shared" si="0"/>
        <v>#DIV/0!</v>
      </c>
      <c r="AR15" s="227" t="e">
        <f t="shared" si="0"/>
        <v>#DIV/0!</v>
      </c>
      <c r="AS15" s="227" t="e">
        <f t="shared" si="0"/>
        <v>#DIV/0!</v>
      </c>
      <c r="AT15" s="227" t="e">
        <f t="shared" si="0"/>
        <v>#DIV/0!</v>
      </c>
      <c r="AU15" s="227" t="e">
        <f t="shared" si="0"/>
        <v>#DIV/0!</v>
      </c>
      <c r="AV15" s="227" t="e">
        <f t="shared" si="0"/>
        <v>#DIV/0!</v>
      </c>
      <c r="AW15" s="227" t="e">
        <f t="shared" si="0"/>
        <v>#DIV/0!</v>
      </c>
      <c r="AX15" s="228" t="e">
        <f t="shared" si="0"/>
        <v>#DIV/0!</v>
      </c>
    </row>
    <row r="16" spans="2:50">
      <c r="B16" s="220">
        <v>6</v>
      </c>
      <c r="C16" s="61"/>
      <c r="D16" s="61"/>
      <c r="E16" s="61"/>
      <c r="F16" s="61"/>
      <c r="G16" s="61"/>
      <c r="H16" s="61"/>
      <c r="I16" s="61"/>
      <c r="J16" s="61"/>
      <c r="K16" s="61"/>
      <c r="L16" s="61"/>
      <c r="M16" s="61"/>
      <c r="N16" s="61"/>
      <c r="O16" s="61"/>
      <c r="P16" s="70"/>
      <c r="R16" s="220">
        <v>6</v>
      </c>
      <c r="S16" s="61"/>
      <c r="T16" s="61"/>
      <c r="U16" s="61"/>
      <c r="V16" s="61"/>
      <c r="W16" s="61"/>
      <c r="X16" s="61"/>
      <c r="Y16" s="61"/>
      <c r="Z16" s="61"/>
      <c r="AA16" s="61"/>
      <c r="AB16" s="61"/>
      <c r="AC16" s="61"/>
      <c r="AD16" s="61"/>
      <c r="AE16" s="61"/>
      <c r="AF16" s="70"/>
      <c r="AJ16" s="220">
        <v>6</v>
      </c>
      <c r="AK16" s="227" t="e">
        <f t="shared" si="0"/>
        <v>#DIV/0!</v>
      </c>
      <c r="AL16" s="227" t="e">
        <f t="shared" si="0"/>
        <v>#DIV/0!</v>
      </c>
      <c r="AM16" s="227" t="e">
        <f t="shared" si="0"/>
        <v>#DIV/0!</v>
      </c>
      <c r="AN16" s="227" t="e">
        <f t="shared" si="0"/>
        <v>#DIV/0!</v>
      </c>
      <c r="AO16" s="227" t="e">
        <f t="shared" si="0"/>
        <v>#DIV/0!</v>
      </c>
      <c r="AP16" s="227" t="e">
        <f t="shared" si="0"/>
        <v>#DIV/0!</v>
      </c>
      <c r="AQ16" s="227" t="e">
        <f t="shared" si="0"/>
        <v>#DIV/0!</v>
      </c>
      <c r="AR16" s="227" t="e">
        <f t="shared" si="0"/>
        <v>#DIV/0!</v>
      </c>
      <c r="AS16" s="227" t="e">
        <f t="shared" si="0"/>
        <v>#DIV/0!</v>
      </c>
      <c r="AT16" s="227" t="e">
        <f t="shared" si="0"/>
        <v>#DIV/0!</v>
      </c>
      <c r="AU16" s="227" t="e">
        <f t="shared" si="0"/>
        <v>#DIV/0!</v>
      </c>
      <c r="AV16" s="227" t="e">
        <f t="shared" si="0"/>
        <v>#DIV/0!</v>
      </c>
      <c r="AW16" s="227" t="e">
        <f t="shared" si="0"/>
        <v>#DIV/0!</v>
      </c>
      <c r="AX16" s="228" t="e">
        <f t="shared" si="0"/>
        <v>#DIV/0!</v>
      </c>
    </row>
    <row r="17" spans="2:50">
      <c r="B17" s="220">
        <v>7</v>
      </c>
      <c r="C17" s="61"/>
      <c r="D17" s="61"/>
      <c r="E17" s="61"/>
      <c r="F17" s="61"/>
      <c r="G17" s="61"/>
      <c r="H17" s="61"/>
      <c r="I17" s="61"/>
      <c r="J17" s="61"/>
      <c r="K17" s="61"/>
      <c r="L17" s="61"/>
      <c r="M17" s="61"/>
      <c r="N17" s="61"/>
      <c r="O17" s="61"/>
      <c r="P17" s="70"/>
      <c r="R17" s="220">
        <v>7</v>
      </c>
      <c r="S17" s="61"/>
      <c r="T17" s="61"/>
      <c r="U17" s="61"/>
      <c r="V17" s="61"/>
      <c r="W17" s="61"/>
      <c r="X17" s="61"/>
      <c r="Y17" s="61"/>
      <c r="Z17" s="61"/>
      <c r="AA17" s="61"/>
      <c r="AB17" s="61"/>
      <c r="AC17" s="61"/>
      <c r="AD17" s="61"/>
      <c r="AE17" s="61"/>
      <c r="AF17" s="70"/>
      <c r="AJ17" s="220">
        <v>7</v>
      </c>
      <c r="AK17" s="227" t="e">
        <f t="shared" si="0"/>
        <v>#DIV/0!</v>
      </c>
      <c r="AL17" s="227" t="e">
        <f t="shared" si="0"/>
        <v>#DIV/0!</v>
      </c>
      <c r="AM17" s="227" t="e">
        <f t="shared" si="0"/>
        <v>#DIV/0!</v>
      </c>
      <c r="AN17" s="227" t="e">
        <f t="shared" si="0"/>
        <v>#DIV/0!</v>
      </c>
      <c r="AO17" s="227" t="e">
        <f t="shared" si="0"/>
        <v>#DIV/0!</v>
      </c>
      <c r="AP17" s="227" t="e">
        <f t="shared" si="0"/>
        <v>#DIV/0!</v>
      </c>
      <c r="AQ17" s="227" t="e">
        <f t="shared" si="0"/>
        <v>#DIV/0!</v>
      </c>
      <c r="AR17" s="227" t="e">
        <f t="shared" si="0"/>
        <v>#DIV/0!</v>
      </c>
      <c r="AS17" s="227" t="e">
        <f t="shared" si="0"/>
        <v>#DIV/0!</v>
      </c>
      <c r="AT17" s="227" t="e">
        <f t="shared" si="0"/>
        <v>#DIV/0!</v>
      </c>
      <c r="AU17" s="227" t="e">
        <f t="shared" si="0"/>
        <v>#DIV/0!</v>
      </c>
      <c r="AV17" s="227" t="e">
        <f t="shared" si="0"/>
        <v>#DIV/0!</v>
      </c>
      <c r="AW17" s="227" t="e">
        <f t="shared" si="0"/>
        <v>#DIV/0!</v>
      </c>
      <c r="AX17" s="228" t="e">
        <f t="shared" si="0"/>
        <v>#DIV/0!</v>
      </c>
    </row>
    <row r="18" spans="2:50">
      <c r="B18" s="220">
        <v>8</v>
      </c>
      <c r="C18" s="61"/>
      <c r="D18" s="61"/>
      <c r="E18" s="61"/>
      <c r="F18" s="61"/>
      <c r="G18" s="61"/>
      <c r="H18" s="61"/>
      <c r="I18" s="61"/>
      <c r="J18" s="61"/>
      <c r="K18" s="61"/>
      <c r="L18" s="61"/>
      <c r="M18" s="61"/>
      <c r="N18" s="61"/>
      <c r="O18" s="61"/>
      <c r="P18" s="70"/>
      <c r="R18" s="220">
        <v>8</v>
      </c>
      <c r="S18" s="61"/>
      <c r="T18" s="61"/>
      <c r="U18" s="61"/>
      <c r="V18" s="61"/>
      <c r="W18" s="61"/>
      <c r="X18" s="61"/>
      <c r="Y18" s="61"/>
      <c r="Z18" s="61"/>
      <c r="AA18" s="61"/>
      <c r="AB18" s="61"/>
      <c r="AC18" s="61"/>
      <c r="AD18" s="61"/>
      <c r="AE18" s="61"/>
      <c r="AF18" s="70"/>
      <c r="AJ18" s="220">
        <v>8</v>
      </c>
      <c r="AK18" s="227" t="e">
        <f t="shared" si="0"/>
        <v>#DIV/0!</v>
      </c>
      <c r="AL18" s="227" t="e">
        <f t="shared" si="0"/>
        <v>#DIV/0!</v>
      </c>
      <c r="AM18" s="227" t="e">
        <f t="shared" si="0"/>
        <v>#DIV/0!</v>
      </c>
      <c r="AN18" s="227" t="e">
        <f t="shared" si="0"/>
        <v>#DIV/0!</v>
      </c>
      <c r="AO18" s="227" t="e">
        <f t="shared" si="0"/>
        <v>#DIV/0!</v>
      </c>
      <c r="AP18" s="227" t="e">
        <f t="shared" si="0"/>
        <v>#DIV/0!</v>
      </c>
      <c r="AQ18" s="227" t="e">
        <f t="shared" si="0"/>
        <v>#DIV/0!</v>
      </c>
      <c r="AR18" s="227" t="e">
        <f t="shared" si="0"/>
        <v>#DIV/0!</v>
      </c>
      <c r="AS18" s="227" t="e">
        <f t="shared" si="0"/>
        <v>#DIV/0!</v>
      </c>
      <c r="AT18" s="227" t="e">
        <f t="shared" si="0"/>
        <v>#DIV/0!</v>
      </c>
      <c r="AU18" s="227" t="e">
        <f t="shared" si="0"/>
        <v>#DIV/0!</v>
      </c>
      <c r="AV18" s="227" t="e">
        <f t="shared" si="0"/>
        <v>#DIV/0!</v>
      </c>
      <c r="AW18" s="227" t="e">
        <f t="shared" si="0"/>
        <v>#DIV/0!</v>
      </c>
      <c r="AX18" s="228" t="e">
        <f t="shared" si="0"/>
        <v>#DIV/0!</v>
      </c>
    </row>
    <row r="19" spans="2:50">
      <c r="B19" s="220">
        <v>9</v>
      </c>
      <c r="C19" s="61"/>
      <c r="D19" s="61"/>
      <c r="E19" s="61"/>
      <c r="F19" s="61"/>
      <c r="G19" s="61"/>
      <c r="H19" s="61"/>
      <c r="I19" s="61"/>
      <c r="J19" s="61"/>
      <c r="K19" s="61"/>
      <c r="L19" s="61"/>
      <c r="M19" s="61"/>
      <c r="N19" s="61"/>
      <c r="O19" s="61"/>
      <c r="P19" s="70"/>
      <c r="R19" s="220">
        <v>9</v>
      </c>
      <c r="S19" s="61"/>
      <c r="T19" s="61"/>
      <c r="U19" s="61"/>
      <c r="V19" s="61"/>
      <c r="W19" s="61"/>
      <c r="X19" s="61"/>
      <c r="Y19" s="61"/>
      <c r="Z19" s="61"/>
      <c r="AA19" s="61"/>
      <c r="AB19" s="61"/>
      <c r="AC19" s="61"/>
      <c r="AD19" s="61"/>
      <c r="AE19" s="61"/>
      <c r="AF19" s="70"/>
      <c r="AJ19" s="220">
        <v>9</v>
      </c>
      <c r="AK19" s="227" t="e">
        <f t="shared" si="0"/>
        <v>#DIV/0!</v>
      </c>
      <c r="AL19" s="227" t="e">
        <f t="shared" si="0"/>
        <v>#DIV/0!</v>
      </c>
      <c r="AM19" s="227" t="e">
        <f t="shared" si="0"/>
        <v>#DIV/0!</v>
      </c>
      <c r="AN19" s="227" t="e">
        <f t="shared" si="0"/>
        <v>#DIV/0!</v>
      </c>
      <c r="AO19" s="227" t="e">
        <f t="shared" si="0"/>
        <v>#DIV/0!</v>
      </c>
      <c r="AP19" s="227" t="e">
        <f t="shared" si="0"/>
        <v>#DIV/0!</v>
      </c>
      <c r="AQ19" s="227" t="e">
        <f t="shared" si="0"/>
        <v>#DIV/0!</v>
      </c>
      <c r="AR19" s="227" t="e">
        <f t="shared" si="0"/>
        <v>#DIV/0!</v>
      </c>
      <c r="AS19" s="227" t="e">
        <f t="shared" si="0"/>
        <v>#DIV/0!</v>
      </c>
      <c r="AT19" s="227" t="e">
        <f t="shared" si="0"/>
        <v>#DIV/0!</v>
      </c>
      <c r="AU19" s="227" t="e">
        <f t="shared" si="0"/>
        <v>#DIV/0!</v>
      </c>
      <c r="AV19" s="227" t="e">
        <f t="shared" si="0"/>
        <v>#DIV/0!</v>
      </c>
      <c r="AW19" s="227" t="e">
        <f t="shared" si="0"/>
        <v>#DIV/0!</v>
      </c>
      <c r="AX19" s="228" t="e">
        <f t="shared" si="0"/>
        <v>#DIV/0!</v>
      </c>
    </row>
    <row r="20" spans="2:50">
      <c r="B20" s="220">
        <v>10</v>
      </c>
      <c r="C20" s="61"/>
      <c r="D20" s="61"/>
      <c r="E20" s="61"/>
      <c r="F20" s="61"/>
      <c r="G20" s="61"/>
      <c r="H20" s="61"/>
      <c r="I20" s="61"/>
      <c r="J20" s="61"/>
      <c r="K20" s="61"/>
      <c r="L20" s="61"/>
      <c r="M20" s="61"/>
      <c r="N20" s="61"/>
      <c r="O20" s="61"/>
      <c r="P20" s="70"/>
      <c r="R20" s="220">
        <v>10</v>
      </c>
      <c r="S20" s="61"/>
      <c r="T20" s="61"/>
      <c r="U20" s="61"/>
      <c r="V20" s="61"/>
      <c r="W20" s="61"/>
      <c r="X20" s="61"/>
      <c r="Y20" s="61"/>
      <c r="Z20" s="61"/>
      <c r="AA20" s="61"/>
      <c r="AB20" s="61"/>
      <c r="AC20" s="61"/>
      <c r="AD20" s="61"/>
      <c r="AE20" s="61"/>
      <c r="AF20" s="70"/>
      <c r="AJ20" s="220">
        <v>10</v>
      </c>
      <c r="AK20" s="227" t="e">
        <f t="shared" ref="AK20:AX29" si="1">EXP(-AK$9*$AJ20)</f>
        <v>#DIV/0!</v>
      </c>
      <c r="AL20" s="227" t="e">
        <f t="shared" si="1"/>
        <v>#DIV/0!</v>
      </c>
      <c r="AM20" s="227" t="e">
        <f t="shared" si="1"/>
        <v>#DIV/0!</v>
      </c>
      <c r="AN20" s="227" t="e">
        <f t="shared" si="1"/>
        <v>#DIV/0!</v>
      </c>
      <c r="AO20" s="227" t="e">
        <f t="shared" si="1"/>
        <v>#DIV/0!</v>
      </c>
      <c r="AP20" s="227" t="e">
        <f t="shared" si="1"/>
        <v>#DIV/0!</v>
      </c>
      <c r="AQ20" s="227" t="e">
        <f t="shared" si="1"/>
        <v>#DIV/0!</v>
      </c>
      <c r="AR20" s="227" t="e">
        <f t="shared" si="1"/>
        <v>#DIV/0!</v>
      </c>
      <c r="AS20" s="227" t="e">
        <f t="shared" si="1"/>
        <v>#DIV/0!</v>
      </c>
      <c r="AT20" s="227" t="e">
        <f t="shared" si="1"/>
        <v>#DIV/0!</v>
      </c>
      <c r="AU20" s="227" t="e">
        <f t="shared" si="1"/>
        <v>#DIV/0!</v>
      </c>
      <c r="AV20" s="227" t="e">
        <f t="shared" si="1"/>
        <v>#DIV/0!</v>
      </c>
      <c r="AW20" s="227" t="e">
        <f t="shared" si="1"/>
        <v>#DIV/0!</v>
      </c>
      <c r="AX20" s="228" t="e">
        <f t="shared" si="1"/>
        <v>#DIV/0!</v>
      </c>
    </row>
    <row r="21" spans="2:50">
      <c r="B21" s="224">
        <v>11</v>
      </c>
      <c r="C21" s="68"/>
      <c r="D21" s="68"/>
      <c r="E21" s="68"/>
      <c r="F21" s="68"/>
      <c r="G21" s="68"/>
      <c r="H21" s="68"/>
      <c r="I21" s="68"/>
      <c r="J21" s="68"/>
      <c r="K21" s="68"/>
      <c r="L21" s="68"/>
      <c r="M21" s="68"/>
      <c r="N21" s="68"/>
      <c r="O21" s="68"/>
      <c r="P21" s="69"/>
      <c r="R21" s="224">
        <v>11</v>
      </c>
      <c r="S21" s="68"/>
      <c r="T21" s="68"/>
      <c r="U21" s="68"/>
      <c r="V21" s="68"/>
      <c r="W21" s="68"/>
      <c r="X21" s="68"/>
      <c r="Y21" s="68"/>
      <c r="Z21" s="68"/>
      <c r="AA21" s="68"/>
      <c r="AB21" s="68"/>
      <c r="AC21" s="68"/>
      <c r="AD21" s="68"/>
      <c r="AE21" s="68"/>
      <c r="AF21" s="69"/>
      <c r="AJ21" s="224">
        <v>11</v>
      </c>
      <c r="AK21" s="225" t="e">
        <f t="shared" si="1"/>
        <v>#DIV/0!</v>
      </c>
      <c r="AL21" s="225" t="e">
        <f t="shared" si="1"/>
        <v>#DIV/0!</v>
      </c>
      <c r="AM21" s="225" t="e">
        <f t="shared" si="1"/>
        <v>#DIV/0!</v>
      </c>
      <c r="AN21" s="225" t="e">
        <f t="shared" si="1"/>
        <v>#DIV/0!</v>
      </c>
      <c r="AO21" s="225" t="e">
        <f t="shared" si="1"/>
        <v>#DIV/0!</v>
      </c>
      <c r="AP21" s="225" t="e">
        <f t="shared" si="1"/>
        <v>#DIV/0!</v>
      </c>
      <c r="AQ21" s="225" t="e">
        <f t="shared" si="1"/>
        <v>#DIV/0!</v>
      </c>
      <c r="AR21" s="225" t="e">
        <f t="shared" si="1"/>
        <v>#DIV/0!</v>
      </c>
      <c r="AS21" s="225" t="e">
        <f t="shared" si="1"/>
        <v>#DIV/0!</v>
      </c>
      <c r="AT21" s="225" t="e">
        <f t="shared" si="1"/>
        <v>#DIV/0!</v>
      </c>
      <c r="AU21" s="225" t="e">
        <f t="shared" si="1"/>
        <v>#DIV/0!</v>
      </c>
      <c r="AV21" s="225" t="e">
        <f t="shared" si="1"/>
        <v>#DIV/0!</v>
      </c>
      <c r="AW21" s="225" t="e">
        <f t="shared" si="1"/>
        <v>#DIV/0!</v>
      </c>
      <c r="AX21" s="226" t="e">
        <f t="shared" si="1"/>
        <v>#DIV/0!</v>
      </c>
    </row>
    <row r="22" spans="2:50" s="229" customFormat="1">
      <c r="B22" s="224">
        <v>12</v>
      </c>
      <c r="C22" s="68"/>
      <c r="D22" s="68"/>
      <c r="E22" s="68"/>
      <c r="F22" s="68"/>
      <c r="G22" s="68"/>
      <c r="H22" s="68"/>
      <c r="I22" s="68"/>
      <c r="J22" s="68"/>
      <c r="K22" s="68"/>
      <c r="L22" s="68"/>
      <c r="M22" s="68"/>
      <c r="N22" s="68"/>
      <c r="O22" s="68"/>
      <c r="P22" s="69"/>
      <c r="R22" s="224">
        <v>12</v>
      </c>
      <c r="S22" s="68"/>
      <c r="T22" s="68"/>
      <c r="U22" s="68"/>
      <c r="V22" s="68"/>
      <c r="W22" s="68"/>
      <c r="X22" s="68"/>
      <c r="Y22" s="68"/>
      <c r="Z22" s="68"/>
      <c r="AA22" s="68"/>
      <c r="AB22" s="68"/>
      <c r="AC22" s="68"/>
      <c r="AD22" s="68"/>
      <c r="AE22" s="68"/>
      <c r="AF22" s="69"/>
      <c r="AJ22" s="224">
        <v>12</v>
      </c>
      <c r="AK22" s="225" t="e">
        <f t="shared" si="1"/>
        <v>#DIV/0!</v>
      </c>
      <c r="AL22" s="225" t="e">
        <f t="shared" si="1"/>
        <v>#DIV/0!</v>
      </c>
      <c r="AM22" s="225" t="e">
        <f t="shared" si="1"/>
        <v>#DIV/0!</v>
      </c>
      <c r="AN22" s="225" t="e">
        <f t="shared" si="1"/>
        <v>#DIV/0!</v>
      </c>
      <c r="AO22" s="225" t="e">
        <f t="shared" si="1"/>
        <v>#DIV/0!</v>
      </c>
      <c r="AP22" s="225" t="e">
        <f t="shared" si="1"/>
        <v>#DIV/0!</v>
      </c>
      <c r="AQ22" s="225" t="e">
        <f t="shared" si="1"/>
        <v>#DIV/0!</v>
      </c>
      <c r="AR22" s="225" t="e">
        <f t="shared" si="1"/>
        <v>#DIV/0!</v>
      </c>
      <c r="AS22" s="225" t="e">
        <f t="shared" si="1"/>
        <v>#DIV/0!</v>
      </c>
      <c r="AT22" s="225" t="e">
        <f t="shared" si="1"/>
        <v>#DIV/0!</v>
      </c>
      <c r="AU22" s="225" t="e">
        <f t="shared" si="1"/>
        <v>#DIV/0!</v>
      </c>
      <c r="AV22" s="225" t="e">
        <f t="shared" si="1"/>
        <v>#DIV/0!</v>
      </c>
      <c r="AW22" s="225" t="e">
        <f t="shared" si="1"/>
        <v>#DIV/0!</v>
      </c>
      <c r="AX22" s="226" t="e">
        <f t="shared" si="1"/>
        <v>#DIV/0!</v>
      </c>
    </row>
    <row r="23" spans="2:50">
      <c r="B23" s="220">
        <v>13</v>
      </c>
      <c r="C23" s="61"/>
      <c r="D23" s="61"/>
      <c r="E23" s="61"/>
      <c r="F23" s="61"/>
      <c r="G23" s="61"/>
      <c r="H23" s="61"/>
      <c r="I23" s="61"/>
      <c r="J23" s="61"/>
      <c r="K23" s="61"/>
      <c r="L23" s="61"/>
      <c r="M23" s="61"/>
      <c r="N23" s="61"/>
      <c r="O23" s="61"/>
      <c r="P23" s="70"/>
      <c r="R23" s="220">
        <v>13</v>
      </c>
      <c r="S23" s="61"/>
      <c r="T23" s="61"/>
      <c r="U23" s="61"/>
      <c r="V23" s="61"/>
      <c r="W23" s="61"/>
      <c r="X23" s="61"/>
      <c r="Y23" s="61"/>
      <c r="Z23" s="61"/>
      <c r="AA23" s="61"/>
      <c r="AB23" s="61"/>
      <c r="AC23" s="61"/>
      <c r="AD23" s="61"/>
      <c r="AE23" s="61"/>
      <c r="AF23" s="70"/>
      <c r="AJ23" s="220">
        <v>13</v>
      </c>
      <c r="AK23" s="227" t="e">
        <f t="shared" si="1"/>
        <v>#DIV/0!</v>
      </c>
      <c r="AL23" s="227" t="e">
        <f t="shared" si="1"/>
        <v>#DIV/0!</v>
      </c>
      <c r="AM23" s="227" t="e">
        <f t="shared" si="1"/>
        <v>#DIV/0!</v>
      </c>
      <c r="AN23" s="227" t="e">
        <f t="shared" si="1"/>
        <v>#DIV/0!</v>
      </c>
      <c r="AO23" s="227" t="e">
        <f t="shared" si="1"/>
        <v>#DIV/0!</v>
      </c>
      <c r="AP23" s="227" t="e">
        <f t="shared" si="1"/>
        <v>#DIV/0!</v>
      </c>
      <c r="AQ23" s="227" t="e">
        <f t="shared" si="1"/>
        <v>#DIV/0!</v>
      </c>
      <c r="AR23" s="227" t="e">
        <f t="shared" si="1"/>
        <v>#DIV/0!</v>
      </c>
      <c r="AS23" s="227" t="e">
        <f t="shared" si="1"/>
        <v>#DIV/0!</v>
      </c>
      <c r="AT23" s="227" t="e">
        <f t="shared" si="1"/>
        <v>#DIV/0!</v>
      </c>
      <c r="AU23" s="227" t="e">
        <f t="shared" si="1"/>
        <v>#DIV/0!</v>
      </c>
      <c r="AV23" s="227" t="e">
        <f t="shared" si="1"/>
        <v>#DIV/0!</v>
      </c>
      <c r="AW23" s="227" t="e">
        <f t="shared" si="1"/>
        <v>#DIV/0!</v>
      </c>
      <c r="AX23" s="228" t="e">
        <f t="shared" si="1"/>
        <v>#DIV/0!</v>
      </c>
    </row>
    <row r="24" spans="2:50">
      <c r="B24" s="220">
        <v>14</v>
      </c>
      <c r="C24" s="61"/>
      <c r="D24" s="61"/>
      <c r="E24" s="61"/>
      <c r="F24" s="61"/>
      <c r="G24" s="61"/>
      <c r="H24" s="61"/>
      <c r="I24" s="61"/>
      <c r="J24" s="61"/>
      <c r="K24" s="61"/>
      <c r="L24" s="61"/>
      <c r="M24" s="61"/>
      <c r="N24" s="61"/>
      <c r="O24" s="61"/>
      <c r="P24" s="70"/>
      <c r="R24" s="220">
        <v>14</v>
      </c>
      <c r="S24" s="61"/>
      <c r="T24" s="61"/>
      <c r="U24" s="61"/>
      <c r="V24" s="61"/>
      <c r="W24" s="61"/>
      <c r="X24" s="61"/>
      <c r="Y24" s="61"/>
      <c r="Z24" s="61"/>
      <c r="AA24" s="61"/>
      <c r="AB24" s="61"/>
      <c r="AC24" s="61"/>
      <c r="AD24" s="61"/>
      <c r="AE24" s="61"/>
      <c r="AF24" s="70"/>
      <c r="AJ24" s="220">
        <v>14</v>
      </c>
      <c r="AK24" s="227" t="e">
        <f t="shared" si="1"/>
        <v>#DIV/0!</v>
      </c>
      <c r="AL24" s="227" t="e">
        <f t="shared" si="1"/>
        <v>#DIV/0!</v>
      </c>
      <c r="AM24" s="227" t="e">
        <f t="shared" si="1"/>
        <v>#DIV/0!</v>
      </c>
      <c r="AN24" s="227" t="e">
        <f t="shared" si="1"/>
        <v>#DIV/0!</v>
      </c>
      <c r="AO24" s="227" t="e">
        <f t="shared" si="1"/>
        <v>#DIV/0!</v>
      </c>
      <c r="AP24" s="227" t="e">
        <f t="shared" si="1"/>
        <v>#DIV/0!</v>
      </c>
      <c r="AQ24" s="227" t="e">
        <f t="shared" si="1"/>
        <v>#DIV/0!</v>
      </c>
      <c r="AR24" s="227" t="e">
        <f t="shared" si="1"/>
        <v>#DIV/0!</v>
      </c>
      <c r="AS24" s="227" t="e">
        <f t="shared" si="1"/>
        <v>#DIV/0!</v>
      </c>
      <c r="AT24" s="227" t="e">
        <f t="shared" si="1"/>
        <v>#DIV/0!</v>
      </c>
      <c r="AU24" s="227" t="e">
        <f t="shared" si="1"/>
        <v>#DIV/0!</v>
      </c>
      <c r="AV24" s="227" t="e">
        <f t="shared" si="1"/>
        <v>#DIV/0!</v>
      </c>
      <c r="AW24" s="227" t="e">
        <f t="shared" si="1"/>
        <v>#DIV/0!</v>
      </c>
      <c r="AX24" s="228" t="e">
        <f t="shared" si="1"/>
        <v>#DIV/0!</v>
      </c>
    </row>
    <row r="25" spans="2:50">
      <c r="B25" s="220">
        <v>15</v>
      </c>
      <c r="C25" s="61"/>
      <c r="D25" s="61"/>
      <c r="E25" s="61"/>
      <c r="F25" s="61"/>
      <c r="G25" s="61"/>
      <c r="H25" s="61"/>
      <c r="I25" s="61"/>
      <c r="J25" s="61"/>
      <c r="K25" s="61"/>
      <c r="L25" s="61"/>
      <c r="M25" s="61"/>
      <c r="N25" s="61"/>
      <c r="O25" s="61"/>
      <c r="P25" s="70"/>
      <c r="R25" s="220">
        <v>15</v>
      </c>
      <c r="S25" s="61"/>
      <c r="T25" s="61"/>
      <c r="U25" s="61"/>
      <c r="V25" s="61"/>
      <c r="W25" s="61"/>
      <c r="X25" s="61"/>
      <c r="Y25" s="61"/>
      <c r="Z25" s="61"/>
      <c r="AA25" s="61"/>
      <c r="AB25" s="61"/>
      <c r="AC25" s="61"/>
      <c r="AD25" s="61"/>
      <c r="AE25" s="61"/>
      <c r="AF25" s="70"/>
      <c r="AJ25" s="220">
        <v>15</v>
      </c>
      <c r="AK25" s="227" t="e">
        <f t="shared" si="1"/>
        <v>#DIV/0!</v>
      </c>
      <c r="AL25" s="227" t="e">
        <f t="shared" si="1"/>
        <v>#DIV/0!</v>
      </c>
      <c r="AM25" s="227" t="e">
        <f t="shared" si="1"/>
        <v>#DIV/0!</v>
      </c>
      <c r="AN25" s="227" t="e">
        <f t="shared" si="1"/>
        <v>#DIV/0!</v>
      </c>
      <c r="AO25" s="227" t="e">
        <f t="shared" si="1"/>
        <v>#DIV/0!</v>
      </c>
      <c r="AP25" s="227" t="e">
        <f t="shared" si="1"/>
        <v>#DIV/0!</v>
      </c>
      <c r="AQ25" s="227" t="e">
        <f t="shared" si="1"/>
        <v>#DIV/0!</v>
      </c>
      <c r="AR25" s="227" t="e">
        <f t="shared" si="1"/>
        <v>#DIV/0!</v>
      </c>
      <c r="AS25" s="227" t="e">
        <f t="shared" si="1"/>
        <v>#DIV/0!</v>
      </c>
      <c r="AT25" s="227" t="e">
        <f t="shared" si="1"/>
        <v>#DIV/0!</v>
      </c>
      <c r="AU25" s="227" t="e">
        <f t="shared" si="1"/>
        <v>#DIV/0!</v>
      </c>
      <c r="AV25" s="227" t="e">
        <f t="shared" si="1"/>
        <v>#DIV/0!</v>
      </c>
      <c r="AW25" s="227" t="e">
        <f t="shared" si="1"/>
        <v>#DIV/0!</v>
      </c>
      <c r="AX25" s="228" t="e">
        <f t="shared" si="1"/>
        <v>#DIV/0!</v>
      </c>
    </row>
    <row r="26" spans="2:50">
      <c r="B26" s="220">
        <v>16</v>
      </c>
      <c r="C26" s="61"/>
      <c r="D26" s="61"/>
      <c r="E26" s="61"/>
      <c r="F26" s="61"/>
      <c r="G26" s="61"/>
      <c r="H26" s="61"/>
      <c r="I26" s="61"/>
      <c r="J26" s="61"/>
      <c r="K26" s="61"/>
      <c r="L26" s="61"/>
      <c r="M26" s="61"/>
      <c r="N26" s="61"/>
      <c r="O26" s="61"/>
      <c r="P26" s="70"/>
      <c r="R26" s="220">
        <v>16</v>
      </c>
      <c r="S26" s="61"/>
      <c r="T26" s="61"/>
      <c r="U26" s="61"/>
      <c r="V26" s="61"/>
      <c r="W26" s="61"/>
      <c r="X26" s="61"/>
      <c r="Y26" s="61"/>
      <c r="Z26" s="61"/>
      <c r="AA26" s="61"/>
      <c r="AB26" s="61"/>
      <c r="AC26" s="61"/>
      <c r="AD26" s="61"/>
      <c r="AE26" s="61"/>
      <c r="AF26" s="70"/>
      <c r="AJ26" s="220">
        <v>16</v>
      </c>
      <c r="AK26" s="227" t="e">
        <f t="shared" si="1"/>
        <v>#DIV/0!</v>
      </c>
      <c r="AL26" s="227" t="e">
        <f t="shared" si="1"/>
        <v>#DIV/0!</v>
      </c>
      <c r="AM26" s="227" t="e">
        <f t="shared" si="1"/>
        <v>#DIV/0!</v>
      </c>
      <c r="AN26" s="227" t="e">
        <f t="shared" si="1"/>
        <v>#DIV/0!</v>
      </c>
      <c r="AO26" s="227" t="e">
        <f t="shared" si="1"/>
        <v>#DIV/0!</v>
      </c>
      <c r="AP26" s="227" t="e">
        <f t="shared" si="1"/>
        <v>#DIV/0!</v>
      </c>
      <c r="AQ26" s="227" t="e">
        <f t="shared" si="1"/>
        <v>#DIV/0!</v>
      </c>
      <c r="AR26" s="227" t="e">
        <f t="shared" si="1"/>
        <v>#DIV/0!</v>
      </c>
      <c r="AS26" s="227" t="e">
        <f t="shared" si="1"/>
        <v>#DIV/0!</v>
      </c>
      <c r="AT26" s="227" t="e">
        <f t="shared" si="1"/>
        <v>#DIV/0!</v>
      </c>
      <c r="AU26" s="227" t="e">
        <f t="shared" si="1"/>
        <v>#DIV/0!</v>
      </c>
      <c r="AV26" s="227" t="e">
        <f t="shared" si="1"/>
        <v>#DIV/0!</v>
      </c>
      <c r="AW26" s="227" t="e">
        <f t="shared" si="1"/>
        <v>#DIV/0!</v>
      </c>
      <c r="AX26" s="228" t="e">
        <f t="shared" si="1"/>
        <v>#DIV/0!</v>
      </c>
    </row>
    <row r="27" spans="2:50">
      <c r="B27" s="220">
        <v>17</v>
      </c>
      <c r="C27" s="61"/>
      <c r="D27" s="61"/>
      <c r="E27" s="61"/>
      <c r="F27" s="61"/>
      <c r="G27" s="61"/>
      <c r="H27" s="61"/>
      <c r="I27" s="61"/>
      <c r="J27" s="61"/>
      <c r="K27" s="61"/>
      <c r="L27" s="61"/>
      <c r="M27" s="61"/>
      <c r="N27" s="61"/>
      <c r="O27" s="61"/>
      <c r="P27" s="70"/>
      <c r="R27" s="220">
        <v>17</v>
      </c>
      <c r="S27" s="61"/>
      <c r="T27" s="61"/>
      <c r="U27" s="61"/>
      <c r="V27" s="61"/>
      <c r="W27" s="61"/>
      <c r="X27" s="61"/>
      <c r="Y27" s="61"/>
      <c r="Z27" s="61"/>
      <c r="AA27" s="61"/>
      <c r="AB27" s="61"/>
      <c r="AC27" s="61"/>
      <c r="AD27" s="61"/>
      <c r="AE27" s="61"/>
      <c r="AF27" s="70"/>
      <c r="AJ27" s="220">
        <v>17</v>
      </c>
      <c r="AK27" s="227" t="e">
        <f t="shared" si="1"/>
        <v>#DIV/0!</v>
      </c>
      <c r="AL27" s="227" t="e">
        <f t="shared" si="1"/>
        <v>#DIV/0!</v>
      </c>
      <c r="AM27" s="227" t="e">
        <f t="shared" si="1"/>
        <v>#DIV/0!</v>
      </c>
      <c r="AN27" s="227" t="e">
        <f t="shared" si="1"/>
        <v>#DIV/0!</v>
      </c>
      <c r="AO27" s="227" t="e">
        <f t="shared" si="1"/>
        <v>#DIV/0!</v>
      </c>
      <c r="AP27" s="227" t="e">
        <f t="shared" si="1"/>
        <v>#DIV/0!</v>
      </c>
      <c r="AQ27" s="227" t="e">
        <f t="shared" si="1"/>
        <v>#DIV/0!</v>
      </c>
      <c r="AR27" s="227" t="e">
        <f t="shared" si="1"/>
        <v>#DIV/0!</v>
      </c>
      <c r="AS27" s="227" t="e">
        <f t="shared" si="1"/>
        <v>#DIV/0!</v>
      </c>
      <c r="AT27" s="227" t="e">
        <f t="shared" si="1"/>
        <v>#DIV/0!</v>
      </c>
      <c r="AU27" s="227" t="e">
        <f t="shared" si="1"/>
        <v>#DIV/0!</v>
      </c>
      <c r="AV27" s="227" t="e">
        <f t="shared" si="1"/>
        <v>#DIV/0!</v>
      </c>
      <c r="AW27" s="227" t="e">
        <f t="shared" si="1"/>
        <v>#DIV/0!</v>
      </c>
      <c r="AX27" s="228" t="e">
        <f t="shared" si="1"/>
        <v>#DIV/0!</v>
      </c>
    </row>
    <row r="28" spans="2:50">
      <c r="B28" s="220">
        <v>18</v>
      </c>
      <c r="C28" s="61"/>
      <c r="D28" s="61"/>
      <c r="E28" s="61"/>
      <c r="F28" s="61"/>
      <c r="G28" s="61"/>
      <c r="H28" s="61"/>
      <c r="I28" s="61"/>
      <c r="J28" s="61"/>
      <c r="K28" s="61"/>
      <c r="L28" s="61"/>
      <c r="M28" s="61"/>
      <c r="N28" s="61"/>
      <c r="O28" s="61"/>
      <c r="P28" s="70"/>
      <c r="R28" s="220">
        <v>18</v>
      </c>
      <c r="S28" s="61"/>
      <c r="T28" s="61"/>
      <c r="U28" s="61"/>
      <c r="V28" s="61"/>
      <c r="W28" s="61"/>
      <c r="X28" s="61"/>
      <c r="Y28" s="61"/>
      <c r="Z28" s="61"/>
      <c r="AA28" s="61"/>
      <c r="AB28" s="61"/>
      <c r="AC28" s="61"/>
      <c r="AD28" s="61"/>
      <c r="AE28" s="61"/>
      <c r="AF28" s="70"/>
      <c r="AJ28" s="220">
        <v>18</v>
      </c>
      <c r="AK28" s="227" t="e">
        <f t="shared" si="1"/>
        <v>#DIV/0!</v>
      </c>
      <c r="AL28" s="227" t="e">
        <f t="shared" si="1"/>
        <v>#DIV/0!</v>
      </c>
      <c r="AM28" s="227" t="e">
        <f t="shared" si="1"/>
        <v>#DIV/0!</v>
      </c>
      <c r="AN28" s="227" t="e">
        <f t="shared" si="1"/>
        <v>#DIV/0!</v>
      </c>
      <c r="AO28" s="227" t="e">
        <f t="shared" si="1"/>
        <v>#DIV/0!</v>
      </c>
      <c r="AP28" s="227" t="e">
        <f t="shared" si="1"/>
        <v>#DIV/0!</v>
      </c>
      <c r="AQ28" s="227" t="e">
        <f t="shared" si="1"/>
        <v>#DIV/0!</v>
      </c>
      <c r="AR28" s="227" t="e">
        <f t="shared" si="1"/>
        <v>#DIV/0!</v>
      </c>
      <c r="AS28" s="227" t="e">
        <f t="shared" si="1"/>
        <v>#DIV/0!</v>
      </c>
      <c r="AT28" s="227" t="e">
        <f t="shared" si="1"/>
        <v>#DIV/0!</v>
      </c>
      <c r="AU28" s="227" t="e">
        <f t="shared" si="1"/>
        <v>#DIV/0!</v>
      </c>
      <c r="AV28" s="227" t="e">
        <f t="shared" si="1"/>
        <v>#DIV/0!</v>
      </c>
      <c r="AW28" s="227" t="e">
        <f t="shared" si="1"/>
        <v>#DIV/0!</v>
      </c>
      <c r="AX28" s="228" t="e">
        <f t="shared" si="1"/>
        <v>#DIV/0!</v>
      </c>
    </row>
    <row r="29" spans="2:50">
      <c r="B29" s="220">
        <v>19</v>
      </c>
      <c r="C29" s="61"/>
      <c r="D29" s="61"/>
      <c r="E29" s="61"/>
      <c r="F29" s="61"/>
      <c r="G29" s="61"/>
      <c r="H29" s="61"/>
      <c r="I29" s="61"/>
      <c r="J29" s="61"/>
      <c r="K29" s="61"/>
      <c r="L29" s="61"/>
      <c r="M29" s="61"/>
      <c r="N29" s="61"/>
      <c r="O29" s="61"/>
      <c r="P29" s="70"/>
      <c r="R29" s="220">
        <v>19</v>
      </c>
      <c r="S29" s="61"/>
      <c r="T29" s="61"/>
      <c r="U29" s="61"/>
      <c r="V29" s="61"/>
      <c r="W29" s="61"/>
      <c r="X29" s="61"/>
      <c r="Y29" s="61"/>
      <c r="Z29" s="61"/>
      <c r="AA29" s="61"/>
      <c r="AB29" s="61"/>
      <c r="AC29" s="61"/>
      <c r="AD29" s="61"/>
      <c r="AE29" s="61"/>
      <c r="AF29" s="70"/>
      <c r="AJ29" s="220">
        <v>19</v>
      </c>
      <c r="AK29" s="227" t="e">
        <f t="shared" si="1"/>
        <v>#DIV/0!</v>
      </c>
      <c r="AL29" s="227" t="e">
        <f t="shared" si="1"/>
        <v>#DIV/0!</v>
      </c>
      <c r="AM29" s="227" t="e">
        <f t="shared" si="1"/>
        <v>#DIV/0!</v>
      </c>
      <c r="AN29" s="227" t="e">
        <f t="shared" si="1"/>
        <v>#DIV/0!</v>
      </c>
      <c r="AO29" s="227" t="e">
        <f t="shared" si="1"/>
        <v>#DIV/0!</v>
      </c>
      <c r="AP29" s="227" t="e">
        <f t="shared" si="1"/>
        <v>#DIV/0!</v>
      </c>
      <c r="AQ29" s="227" t="e">
        <f t="shared" si="1"/>
        <v>#DIV/0!</v>
      </c>
      <c r="AR29" s="227" t="e">
        <f t="shared" si="1"/>
        <v>#DIV/0!</v>
      </c>
      <c r="AS29" s="227" t="e">
        <f t="shared" si="1"/>
        <v>#DIV/0!</v>
      </c>
      <c r="AT29" s="227" t="e">
        <f t="shared" si="1"/>
        <v>#DIV/0!</v>
      </c>
      <c r="AU29" s="227" t="e">
        <f t="shared" si="1"/>
        <v>#DIV/0!</v>
      </c>
      <c r="AV29" s="227" t="e">
        <f t="shared" si="1"/>
        <v>#DIV/0!</v>
      </c>
      <c r="AW29" s="227" t="e">
        <f t="shared" si="1"/>
        <v>#DIV/0!</v>
      </c>
      <c r="AX29" s="228" t="e">
        <f t="shared" si="1"/>
        <v>#DIV/0!</v>
      </c>
    </row>
    <row r="30" spans="2:50">
      <c r="B30" s="220">
        <v>20</v>
      </c>
      <c r="C30" s="61"/>
      <c r="D30" s="61"/>
      <c r="E30" s="61"/>
      <c r="F30" s="61"/>
      <c r="G30" s="61"/>
      <c r="H30" s="61"/>
      <c r="I30" s="61"/>
      <c r="J30" s="61"/>
      <c r="K30" s="61"/>
      <c r="L30" s="61"/>
      <c r="M30" s="61"/>
      <c r="N30" s="61"/>
      <c r="O30" s="61"/>
      <c r="P30" s="70"/>
      <c r="R30" s="220">
        <v>20</v>
      </c>
      <c r="S30" s="61"/>
      <c r="T30" s="61"/>
      <c r="U30" s="61"/>
      <c r="V30" s="61"/>
      <c r="W30" s="61"/>
      <c r="X30" s="61"/>
      <c r="Y30" s="61"/>
      <c r="Z30" s="61"/>
      <c r="AA30" s="61"/>
      <c r="AB30" s="61"/>
      <c r="AC30" s="61"/>
      <c r="AD30" s="61"/>
      <c r="AE30" s="61"/>
      <c r="AF30" s="70"/>
      <c r="AJ30" s="220">
        <v>20</v>
      </c>
      <c r="AK30" s="227" t="e">
        <f t="shared" ref="AK30:AX42" si="2">EXP(-AK$9*$AJ30)</f>
        <v>#DIV/0!</v>
      </c>
      <c r="AL30" s="227" t="e">
        <f t="shared" si="2"/>
        <v>#DIV/0!</v>
      </c>
      <c r="AM30" s="227" t="e">
        <f t="shared" si="2"/>
        <v>#DIV/0!</v>
      </c>
      <c r="AN30" s="227" t="e">
        <f t="shared" si="2"/>
        <v>#DIV/0!</v>
      </c>
      <c r="AO30" s="227" t="e">
        <f t="shared" si="2"/>
        <v>#DIV/0!</v>
      </c>
      <c r="AP30" s="227" t="e">
        <f t="shared" si="2"/>
        <v>#DIV/0!</v>
      </c>
      <c r="AQ30" s="227" t="e">
        <f t="shared" si="2"/>
        <v>#DIV/0!</v>
      </c>
      <c r="AR30" s="227" t="e">
        <f t="shared" si="2"/>
        <v>#DIV/0!</v>
      </c>
      <c r="AS30" s="227" t="e">
        <f t="shared" si="2"/>
        <v>#DIV/0!</v>
      </c>
      <c r="AT30" s="227" t="e">
        <f t="shared" si="2"/>
        <v>#DIV/0!</v>
      </c>
      <c r="AU30" s="227" t="e">
        <f t="shared" si="2"/>
        <v>#DIV/0!</v>
      </c>
      <c r="AV30" s="227" t="e">
        <f t="shared" si="2"/>
        <v>#DIV/0!</v>
      </c>
      <c r="AW30" s="227" t="e">
        <f t="shared" si="2"/>
        <v>#DIV/0!</v>
      </c>
      <c r="AX30" s="228" t="e">
        <f t="shared" si="2"/>
        <v>#DIV/0!</v>
      </c>
    </row>
    <row r="31" spans="2:50">
      <c r="B31" s="220">
        <v>21</v>
      </c>
      <c r="C31" s="61"/>
      <c r="D31" s="61"/>
      <c r="E31" s="61"/>
      <c r="F31" s="61"/>
      <c r="G31" s="61"/>
      <c r="H31" s="61"/>
      <c r="I31" s="61"/>
      <c r="J31" s="61"/>
      <c r="K31" s="61"/>
      <c r="L31" s="61"/>
      <c r="M31" s="61"/>
      <c r="N31" s="61"/>
      <c r="O31" s="61"/>
      <c r="P31" s="70"/>
      <c r="R31" s="220">
        <v>21</v>
      </c>
      <c r="S31" s="61"/>
      <c r="T31" s="61"/>
      <c r="U31" s="61"/>
      <c r="V31" s="61"/>
      <c r="W31" s="61"/>
      <c r="X31" s="61"/>
      <c r="Y31" s="61"/>
      <c r="Z31" s="61"/>
      <c r="AA31" s="61"/>
      <c r="AB31" s="61"/>
      <c r="AC31" s="61"/>
      <c r="AD31" s="61"/>
      <c r="AE31" s="61"/>
      <c r="AF31" s="70"/>
      <c r="AJ31" s="220">
        <v>21</v>
      </c>
      <c r="AK31" s="227" t="e">
        <f t="shared" si="2"/>
        <v>#DIV/0!</v>
      </c>
      <c r="AL31" s="227" t="e">
        <f t="shared" si="2"/>
        <v>#DIV/0!</v>
      </c>
      <c r="AM31" s="227" t="e">
        <f t="shared" si="2"/>
        <v>#DIV/0!</v>
      </c>
      <c r="AN31" s="227" t="e">
        <f t="shared" si="2"/>
        <v>#DIV/0!</v>
      </c>
      <c r="AO31" s="227" t="e">
        <f t="shared" si="2"/>
        <v>#DIV/0!</v>
      </c>
      <c r="AP31" s="227" t="e">
        <f t="shared" si="2"/>
        <v>#DIV/0!</v>
      </c>
      <c r="AQ31" s="227" t="e">
        <f t="shared" si="2"/>
        <v>#DIV/0!</v>
      </c>
      <c r="AR31" s="227" t="e">
        <f t="shared" si="2"/>
        <v>#DIV/0!</v>
      </c>
      <c r="AS31" s="227" t="e">
        <f t="shared" si="2"/>
        <v>#DIV/0!</v>
      </c>
      <c r="AT31" s="227" t="e">
        <f t="shared" si="2"/>
        <v>#DIV/0!</v>
      </c>
      <c r="AU31" s="227" t="e">
        <f t="shared" si="2"/>
        <v>#DIV/0!</v>
      </c>
      <c r="AV31" s="227" t="e">
        <f t="shared" si="2"/>
        <v>#DIV/0!</v>
      </c>
      <c r="AW31" s="227" t="e">
        <f t="shared" si="2"/>
        <v>#DIV/0!</v>
      </c>
      <c r="AX31" s="228" t="e">
        <f t="shared" si="2"/>
        <v>#DIV/0!</v>
      </c>
    </row>
    <row r="32" spans="2:50">
      <c r="B32" s="220">
        <v>22</v>
      </c>
      <c r="C32" s="61"/>
      <c r="D32" s="61"/>
      <c r="E32" s="61"/>
      <c r="F32" s="61"/>
      <c r="G32" s="61"/>
      <c r="H32" s="61"/>
      <c r="I32" s="61"/>
      <c r="J32" s="61"/>
      <c r="K32" s="61"/>
      <c r="L32" s="61"/>
      <c r="M32" s="61"/>
      <c r="N32" s="61"/>
      <c r="O32" s="61"/>
      <c r="P32" s="70"/>
      <c r="R32" s="220">
        <v>22</v>
      </c>
      <c r="S32" s="61"/>
      <c r="T32" s="61"/>
      <c r="U32" s="61"/>
      <c r="V32" s="61"/>
      <c r="W32" s="61"/>
      <c r="X32" s="61"/>
      <c r="Y32" s="61"/>
      <c r="Z32" s="61"/>
      <c r="AA32" s="61"/>
      <c r="AB32" s="61"/>
      <c r="AC32" s="61"/>
      <c r="AD32" s="61"/>
      <c r="AE32" s="61"/>
      <c r="AF32" s="70"/>
      <c r="AJ32" s="220">
        <v>22</v>
      </c>
      <c r="AK32" s="227" t="e">
        <f t="shared" si="2"/>
        <v>#DIV/0!</v>
      </c>
      <c r="AL32" s="227" t="e">
        <f t="shared" si="2"/>
        <v>#DIV/0!</v>
      </c>
      <c r="AM32" s="227" t="e">
        <f t="shared" si="2"/>
        <v>#DIV/0!</v>
      </c>
      <c r="AN32" s="227" t="e">
        <f t="shared" si="2"/>
        <v>#DIV/0!</v>
      </c>
      <c r="AO32" s="227" t="e">
        <f t="shared" si="2"/>
        <v>#DIV/0!</v>
      </c>
      <c r="AP32" s="227" t="e">
        <f t="shared" si="2"/>
        <v>#DIV/0!</v>
      </c>
      <c r="AQ32" s="227" t="e">
        <f t="shared" si="2"/>
        <v>#DIV/0!</v>
      </c>
      <c r="AR32" s="227" t="e">
        <f t="shared" si="2"/>
        <v>#DIV/0!</v>
      </c>
      <c r="AS32" s="227" t="e">
        <f t="shared" si="2"/>
        <v>#DIV/0!</v>
      </c>
      <c r="AT32" s="227" t="e">
        <f t="shared" si="2"/>
        <v>#DIV/0!</v>
      </c>
      <c r="AU32" s="227" t="e">
        <f t="shared" si="2"/>
        <v>#DIV/0!</v>
      </c>
      <c r="AV32" s="227" t="e">
        <f t="shared" si="2"/>
        <v>#DIV/0!</v>
      </c>
      <c r="AW32" s="227" t="e">
        <f t="shared" si="2"/>
        <v>#DIV/0!</v>
      </c>
      <c r="AX32" s="228" t="e">
        <f t="shared" si="2"/>
        <v>#DIV/0!</v>
      </c>
    </row>
    <row r="33" spans="2:50">
      <c r="B33" s="220">
        <v>23</v>
      </c>
      <c r="C33" s="61"/>
      <c r="D33" s="61"/>
      <c r="E33" s="61"/>
      <c r="F33" s="61"/>
      <c r="G33" s="61"/>
      <c r="H33" s="61"/>
      <c r="I33" s="61"/>
      <c r="J33" s="61"/>
      <c r="K33" s="61"/>
      <c r="L33" s="61"/>
      <c r="M33" s="61"/>
      <c r="N33" s="61"/>
      <c r="O33" s="61"/>
      <c r="P33" s="70"/>
      <c r="R33" s="220">
        <v>23</v>
      </c>
      <c r="S33" s="61"/>
      <c r="T33" s="61"/>
      <c r="U33" s="61"/>
      <c r="V33" s="61"/>
      <c r="W33" s="61"/>
      <c r="X33" s="61"/>
      <c r="Y33" s="61"/>
      <c r="Z33" s="61"/>
      <c r="AA33" s="61"/>
      <c r="AB33" s="61"/>
      <c r="AC33" s="61"/>
      <c r="AD33" s="61"/>
      <c r="AE33" s="61"/>
      <c r="AF33" s="70"/>
      <c r="AJ33" s="220">
        <v>23</v>
      </c>
      <c r="AK33" s="227" t="e">
        <f t="shared" si="2"/>
        <v>#DIV/0!</v>
      </c>
      <c r="AL33" s="227" t="e">
        <f t="shared" si="2"/>
        <v>#DIV/0!</v>
      </c>
      <c r="AM33" s="227" t="e">
        <f t="shared" si="2"/>
        <v>#DIV/0!</v>
      </c>
      <c r="AN33" s="227" t="e">
        <f t="shared" si="2"/>
        <v>#DIV/0!</v>
      </c>
      <c r="AO33" s="227" t="e">
        <f t="shared" si="2"/>
        <v>#DIV/0!</v>
      </c>
      <c r="AP33" s="227" t="e">
        <f t="shared" si="2"/>
        <v>#DIV/0!</v>
      </c>
      <c r="AQ33" s="227" t="e">
        <f t="shared" si="2"/>
        <v>#DIV/0!</v>
      </c>
      <c r="AR33" s="227" t="e">
        <f t="shared" si="2"/>
        <v>#DIV/0!</v>
      </c>
      <c r="AS33" s="227" t="e">
        <f t="shared" si="2"/>
        <v>#DIV/0!</v>
      </c>
      <c r="AT33" s="227" t="e">
        <f t="shared" si="2"/>
        <v>#DIV/0!</v>
      </c>
      <c r="AU33" s="227" t="e">
        <f t="shared" si="2"/>
        <v>#DIV/0!</v>
      </c>
      <c r="AV33" s="227" t="e">
        <f t="shared" si="2"/>
        <v>#DIV/0!</v>
      </c>
      <c r="AW33" s="227" t="e">
        <f t="shared" si="2"/>
        <v>#DIV/0!</v>
      </c>
      <c r="AX33" s="228" t="e">
        <f t="shared" si="2"/>
        <v>#DIV/0!</v>
      </c>
    </row>
    <row r="34" spans="2:50">
      <c r="B34" s="224">
        <v>24</v>
      </c>
      <c r="C34" s="68"/>
      <c r="D34" s="68"/>
      <c r="E34" s="68"/>
      <c r="F34" s="68"/>
      <c r="G34" s="68"/>
      <c r="H34" s="68"/>
      <c r="I34" s="68"/>
      <c r="J34" s="68"/>
      <c r="K34" s="68"/>
      <c r="L34" s="68"/>
      <c r="M34" s="68"/>
      <c r="N34" s="68"/>
      <c r="O34" s="68"/>
      <c r="P34" s="69"/>
      <c r="R34" s="224">
        <v>24</v>
      </c>
      <c r="S34" s="68"/>
      <c r="T34" s="68"/>
      <c r="U34" s="68"/>
      <c r="V34" s="68"/>
      <c r="W34" s="68"/>
      <c r="X34" s="68"/>
      <c r="Y34" s="68"/>
      <c r="Z34" s="68"/>
      <c r="AA34" s="68"/>
      <c r="AB34" s="68"/>
      <c r="AC34" s="68"/>
      <c r="AD34" s="68"/>
      <c r="AE34" s="68"/>
      <c r="AF34" s="69"/>
      <c r="AJ34" s="224">
        <v>24</v>
      </c>
      <c r="AK34" s="225" t="e">
        <f t="shared" si="2"/>
        <v>#DIV/0!</v>
      </c>
      <c r="AL34" s="225" t="e">
        <f t="shared" si="2"/>
        <v>#DIV/0!</v>
      </c>
      <c r="AM34" s="225" t="e">
        <f t="shared" si="2"/>
        <v>#DIV/0!</v>
      </c>
      <c r="AN34" s="225" t="e">
        <f t="shared" si="2"/>
        <v>#DIV/0!</v>
      </c>
      <c r="AO34" s="225" t="e">
        <f t="shared" si="2"/>
        <v>#DIV/0!</v>
      </c>
      <c r="AP34" s="225" t="e">
        <f t="shared" si="2"/>
        <v>#DIV/0!</v>
      </c>
      <c r="AQ34" s="225" t="e">
        <f t="shared" si="2"/>
        <v>#DIV/0!</v>
      </c>
      <c r="AR34" s="225" t="e">
        <f t="shared" si="2"/>
        <v>#DIV/0!</v>
      </c>
      <c r="AS34" s="225" t="e">
        <f t="shared" si="2"/>
        <v>#DIV/0!</v>
      </c>
      <c r="AT34" s="225" t="e">
        <f t="shared" si="2"/>
        <v>#DIV/0!</v>
      </c>
      <c r="AU34" s="225" t="e">
        <f t="shared" si="2"/>
        <v>#DIV/0!</v>
      </c>
      <c r="AV34" s="225" t="e">
        <f t="shared" si="2"/>
        <v>#DIV/0!</v>
      </c>
      <c r="AW34" s="225" t="e">
        <f t="shared" si="2"/>
        <v>#DIV/0!</v>
      </c>
      <c r="AX34" s="226" t="e">
        <f t="shared" si="2"/>
        <v>#DIV/0!</v>
      </c>
    </row>
    <row r="35" spans="2:50" s="229" customFormat="1">
      <c r="B35" s="220">
        <v>25</v>
      </c>
      <c r="C35" s="61"/>
      <c r="D35" s="61"/>
      <c r="E35" s="61"/>
      <c r="F35" s="61"/>
      <c r="G35" s="61"/>
      <c r="H35" s="61"/>
      <c r="I35" s="61"/>
      <c r="J35" s="61"/>
      <c r="K35" s="61"/>
      <c r="L35" s="61"/>
      <c r="M35" s="61"/>
      <c r="N35" s="61"/>
      <c r="O35" s="61"/>
      <c r="P35" s="70"/>
      <c r="R35" s="220">
        <v>25</v>
      </c>
      <c r="S35" s="61"/>
      <c r="T35" s="61"/>
      <c r="U35" s="61"/>
      <c r="V35" s="61"/>
      <c r="W35" s="61"/>
      <c r="X35" s="61"/>
      <c r="Y35" s="61"/>
      <c r="Z35" s="61"/>
      <c r="AA35" s="61"/>
      <c r="AB35" s="61"/>
      <c r="AC35" s="61"/>
      <c r="AD35" s="61"/>
      <c r="AE35" s="61"/>
      <c r="AF35" s="70"/>
      <c r="AJ35" s="220">
        <v>25</v>
      </c>
      <c r="AK35" s="227" t="e">
        <f t="shared" si="2"/>
        <v>#DIV/0!</v>
      </c>
      <c r="AL35" s="227" t="e">
        <f t="shared" si="2"/>
        <v>#DIV/0!</v>
      </c>
      <c r="AM35" s="227" t="e">
        <f t="shared" si="2"/>
        <v>#DIV/0!</v>
      </c>
      <c r="AN35" s="227" t="e">
        <f t="shared" si="2"/>
        <v>#DIV/0!</v>
      </c>
      <c r="AO35" s="227" t="e">
        <f t="shared" si="2"/>
        <v>#DIV/0!</v>
      </c>
      <c r="AP35" s="227" t="e">
        <f t="shared" si="2"/>
        <v>#DIV/0!</v>
      </c>
      <c r="AQ35" s="227" t="e">
        <f t="shared" si="2"/>
        <v>#DIV/0!</v>
      </c>
      <c r="AR35" s="227" t="e">
        <f t="shared" si="2"/>
        <v>#DIV/0!</v>
      </c>
      <c r="AS35" s="227" t="e">
        <f t="shared" si="2"/>
        <v>#DIV/0!</v>
      </c>
      <c r="AT35" s="227" t="e">
        <f t="shared" si="2"/>
        <v>#DIV/0!</v>
      </c>
      <c r="AU35" s="227" t="e">
        <f t="shared" si="2"/>
        <v>#DIV/0!</v>
      </c>
      <c r="AV35" s="227" t="e">
        <f t="shared" si="2"/>
        <v>#DIV/0!</v>
      </c>
      <c r="AW35" s="227" t="e">
        <f t="shared" si="2"/>
        <v>#DIV/0!</v>
      </c>
      <c r="AX35" s="228" t="e">
        <f t="shared" si="2"/>
        <v>#DIV/0!</v>
      </c>
    </row>
    <row r="36" spans="2:50">
      <c r="B36" s="220">
        <v>26</v>
      </c>
      <c r="C36" s="61"/>
      <c r="D36" s="61"/>
      <c r="E36" s="61"/>
      <c r="F36" s="61"/>
      <c r="G36" s="61"/>
      <c r="H36" s="61"/>
      <c r="I36" s="61"/>
      <c r="J36" s="61"/>
      <c r="K36" s="61"/>
      <c r="L36" s="61"/>
      <c r="M36" s="61"/>
      <c r="N36" s="61"/>
      <c r="O36" s="61"/>
      <c r="P36" s="70"/>
      <c r="R36" s="220">
        <v>26</v>
      </c>
      <c r="S36" s="61"/>
      <c r="T36" s="61"/>
      <c r="U36" s="61"/>
      <c r="V36" s="61"/>
      <c r="W36" s="61"/>
      <c r="X36" s="61"/>
      <c r="Y36" s="61"/>
      <c r="Z36" s="61"/>
      <c r="AA36" s="61"/>
      <c r="AB36" s="61"/>
      <c r="AC36" s="61"/>
      <c r="AD36" s="61"/>
      <c r="AE36" s="61"/>
      <c r="AF36" s="70"/>
      <c r="AJ36" s="220">
        <v>26</v>
      </c>
      <c r="AK36" s="227" t="e">
        <f t="shared" si="2"/>
        <v>#DIV/0!</v>
      </c>
      <c r="AL36" s="227" t="e">
        <f t="shared" si="2"/>
        <v>#DIV/0!</v>
      </c>
      <c r="AM36" s="227" t="e">
        <f t="shared" si="2"/>
        <v>#DIV/0!</v>
      </c>
      <c r="AN36" s="227" t="e">
        <f t="shared" si="2"/>
        <v>#DIV/0!</v>
      </c>
      <c r="AO36" s="227" t="e">
        <f t="shared" si="2"/>
        <v>#DIV/0!</v>
      </c>
      <c r="AP36" s="227" t="e">
        <f t="shared" si="2"/>
        <v>#DIV/0!</v>
      </c>
      <c r="AQ36" s="227" t="e">
        <f t="shared" si="2"/>
        <v>#DIV/0!</v>
      </c>
      <c r="AR36" s="227" t="e">
        <f t="shared" si="2"/>
        <v>#DIV/0!</v>
      </c>
      <c r="AS36" s="227" t="e">
        <f t="shared" si="2"/>
        <v>#DIV/0!</v>
      </c>
      <c r="AT36" s="227" t="e">
        <f t="shared" si="2"/>
        <v>#DIV/0!</v>
      </c>
      <c r="AU36" s="227" t="e">
        <f t="shared" si="2"/>
        <v>#DIV/0!</v>
      </c>
      <c r="AV36" s="227" t="e">
        <f t="shared" si="2"/>
        <v>#DIV/0!</v>
      </c>
      <c r="AW36" s="227" t="e">
        <f t="shared" si="2"/>
        <v>#DIV/0!</v>
      </c>
      <c r="AX36" s="228" t="e">
        <f t="shared" si="2"/>
        <v>#DIV/0!</v>
      </c>
    </row>
    <row r="37" spans="2:50">
      <c r="B37" s="220">
        <v>27</v>
      </c>
      <c r="C37" s="61"/>
      <c r="D37" s="61"/>
      <c r="E37" s="61"/>
      <c r="F37" s="61"/>
      <c r="G37" s="61"/>
      <c r="H37" s="61"/>
      <c r="I37" s="61"/>
      <c r="J37" s="61"/>
      <c r="K37" s="61"/>
      <c r="L37" s="61"/>
      <c r="M37" s="61"/>
      <c r="N37" s="61"/>
      <c r="O37" s="61"/>
      <c r="P37" s="70"/>
      <c r="R37" s="220">
        <v>27</v>
      </c>
      <c r="S37" s="61"/>
      <c r="T37" s="61"/>
      <c r="U37" s="61"/>
      <c r="V37" s="61"/>
      <c r="W37" s="61"/>
      <c r="X37" s="61"/>
      <c r="Y37" s="61"/>
      <c r="Z37" s="61"/>
      <c r="AA37" s="61"/>
      <c r="AB37" s="61"/>
      <c r="AC37" s="61"/>
      <c r="AD37" s="61"/>
      <c r="AE37" s="61"/>
      <c r="AF37" s="70"/>
      <c r="AJ37" s="220">
        <v>27</v>
      </c>
      <c r="AK37" s="227" t="e">
        <f t="shared" si="2"/>
        <v>#DIV/0!</v>
      </c>
      <c r="AL37" s="227" t="e">
        <f t="shared" si="2"/>
        <v>#DIV/0!</v>
      </c>
      <c r="AM37" s="227" t="e">
        <f t="shared" si="2"/>
        <v>#DIV/0!</v>
      </c>
      <c r="AN37" s="227" t="e">
        <f t="shared" si="2"/>
        <v>#DIV/0!</v>
      </c>
      <c r="AO37" s="227" t="e">
        <f t="shared" si="2"/>
        <v>#DIV/0!</v>
      </c>
      <c r="AP37" s="227" t="e">
        <f t="shared" si="2"/>
        <v>#DIV/0!</v>
      </c>
      <c r="AQ37" s="227" t="e">
        <f t="shared" si="2"/>
        <v>#DIV/0!</v>
      </c>
      <c r="AR37" s="227" t="e">
        <f t="shared" si="2"/>
        <v>#DIV/0!</v>
      </c>
      <c r="AS37" s="227" t="e">
        <f t="shared" si="2"/>
        <v>#DIV/0!</v>
      </c>
      <c r="AT37" s="227" t="e">
        <f t="shared" si="2"/>
        <v>#DIV/0!</v>
      </c>
      <c r="AU37" s="227" t="e">
        <f t="shared" si="2"/>
        <v>#DIV/0!</v>
      </c>
      <c r="AV37" s="227" t="e">
        <f t="shared" si="2"/>
        <v>#DIV/0!</v>
      </c>
      <c r="AW37" s="227" t="e">
        <f t="shared" si="2"/>
        <v>#DIV/0!</v>
      </c>
      <c r="AX37" s="228" t="e">
        <f t="shared" si="2"/>
        <v>#DIV/0!</v>
      </c>
    </row>
    <row r="38" spans="2:50">
      <c r="B38" s="220">
        <v>28</v>
      </c>
      <c r="C38" s="61"/>
      <c r="D38" s="61"/>
      <c r="E38" s="61"/>
      <c r="F38" s="61"/>
      <c r="G38" s="61"/>
      <c r="H38" s="61"/>
      <c r="I38" s="61"/>
      <c r="J38" s="61"/>
      <c r="K38" s="61"/>
      <c r="L38" s="61"/>
      <c r="M38" s="61"/>
      <c r="N38" s="61"/>
      <c r="O38" s="61"/>
      <c r="P38" s="70"/>
      <c r="R38" s="220">
        <v>28</v>
      </c>
      <c r="S38" s="61"/>
      <c r="T38" s="61"/>
      <c r="U38" s="61"/>
      <c r="V38" s="61"/>
      <c r="W38" s="61"/>
      <c r="X38" s="61"/>
      <c r="Y38" s="61"/>
      <c r="Z38" s="61"/>
      <c r="AA38" s="61"/>
      <c r="AB38" s="61"/>
      <c r="AC38" s="61"/>
      <c r="AD38" s="61"/>
      <c r="AE38" s="61"/>
      <c r="AF38" s="70"/>
      <c r="AJ38" s="220">
        <v>28</v>
      </c>
      <c r="AK38" s="227" t="e">
        <f t="shared" si="2"/>
        <v>#DIV/0!</v>
      </c>
      <c r="AL38" s="227" t="e">
        <f t="shared" si="2"/>
        <v>#DIV/0!</v>
      </c>
      <c r="AM38" s="227" t="e">
        <f t="shared" si="2"/>
        <v>#DIV/0!</v>
      </c>
      <c r="AN38" s="227" t="e">
        <f t="shared" si="2"/>
        <v>#DIV/0!</v>
      </c>
      <c r="AO38" s="227" t="e">
        <f t="shared" si="2"/>
        <v>#DIV/0!</v>
      </c>
      <c r="AP38" s="227" t="e">
        <f t="shared" si="2"/>
        <v>#DIV/0!</v>
      </c>
      <c r="AQ38" s="227" t="e">
        <f t="shared" si="2"/>
        <v>#DIV/0!</v>
      </c>
      <c r="AR38" s="227" t="e">
        <f t="shared" si="2"/>
        <v>#DIV/0!</v>
      </c>
      <c r="AS38" s="227" t="e">
        <f t="shared" si="2"/>
        <v>#DIV/0!</v>
      </c>
      <c r="AT38" s="227" t="e">
        <f t="shared" si="2"/>
        <v>#DIV/0!</v>
      </c>
      <c r="AU38" s="227" t="e">
        <f t="shared" si="2"/>
        <v>#DIV/0!</v>
      </c>
      <c r="AV38" s="227" t="e">
        <f t="shared" si="2"/>
        <v>#DIV/0!</v>
      </c>
      <c r="AW38" s="227" t="e">
        <f t="shared" si="2"/>
        <v>#DIV/0!</v>
      </c>
      <c r="AX38" s="228" t="e">
        <f t="shared" si="2"/>
        <v>#DIV/0!</v>
      </c>
    </row>
    <row r="39" spans="2:50">
      <c r="B39" s="220">
        <v>29</v>
      </c>
      <c r="C39" s="61"/>
      <c r="D39" s="61"/>
      <c r="E39" s="61"/>
      <c r="F39" s="61"/>
      <c r="G39" s="61"/>
      <c r="H39" s="61"/>
      <c r="I39" s="61"/>
      <c r="J39" s="61"/>
      <c r="K39" s="61"/>
      <c r="L39" s="61"/>
      <c r="M39" s="61"/>
      <c r="N39" s="61"/>
      <c r="O39" s="61"/>
      <c r="P39" s="70"/>
      <c r="R39" s="220">
        <v>29</v>
      </c>
      <c r="S39" s="61"/>
      <c r="T39" s="61"/>
      <c r="U39" s="61"/>
      <c r="V39" s="61"/>
      <c r="W39" s="61"/>
      <c r="X39" s="61"/>
      <c r="Y39" s="61"/>
      <c r="Z39" s="61"/>
      <c r="AA39" s="61"/>
      <c r="AB39" s="61"/>
      <c r="AC39" s="61"/>
      <c r="AD39" s="61"/>
      <c r="AE39" s="61"/>
      <c r="AF39" s="70"/>
      <c r="AJ39" s="220">
        <v>29</v>
      </c>
      <c r="AK39" s="227" t="e">
        <f t="shared" si="2"/>
        <v>#DIV/0!</v>
      </c>
      <c r="AL39" s="227" t="e">
        <f t="shared" si="2"/>
        <v>#DIV/0!</v>
      </c>
      <c r="AM39" s="227" t="e">
        <f t="shared" si="2"/>
        <v>#DIV/0!</v>
      </c>
      <c r="AN39" s="227" t="e">
        <f t="shared" si="2"/>
        <v>#DIV/0!</v>
      </c>
      <c r="AO39" s="227" t="e">
        <f t="shared" si="2"/>
        <v>#DIV/0!</v>
      </c>
      <c r="AP39" s="227" t="e">
        <f t="shared" si="2"/>
        <v>#DIV/0!</v>
      </c>
      <c r="AQ39" s="227" t="e">
        <f t="shared" si="2"/>
        <v>#DIV/0!</v>
      </c>
      <c r="AR39" s="227" t="e">
        <f t="shared" si="2"/>
        <v>#DIV/0!</v>
      </c>
      <c r="AS39" s="227" t="e">
        <f t="shared" si="2"/>
        <v>#DIV/0!</v>
      </c>
      <c r="AT39" s="227" t="e">
        <f t="shared" si="2"/>
        <v>#DIV/0!</v>
      </c>
      <c r="AU39" s="227" t="e">
        <f t="shared" si="2"/>
        <v>#DIV/0!</v>
      </c>
      <c r="AV39" s="227" t="e">
        <f t="shared" si="2"/>
        <v>#DIV/0!</v>
      </c>
      <c r="AW39" s="227" t="e">
        <f t="shared" si="2"/>
        <v>#DIV/0!</v>
      </c>
      <c r="AX39" s="228" t="e">
        <f t="shared" si="2"/>
        <v>#DIV/0!</v>
      </c>
    </row>
    <row r="40" spans="2:50">
      <c r="B40" s="220">
        <v>30</v>
      </c>
      <c r="C40" s="61"/>
      <c r="D40" s="61"/>
      <c r="E40" s="61"/>
      <c r="F40" s="61"/>
      <c r="G40" s="61"/>
      <c r="H40" s="61"/>
      <c r="I40" s="61"/>
      <c r="J40" s="61"/>
      <c r="K40" s="61"/>
      <c r="L40" s="61"/>
      <c r="M40" s="61"/>
      <c r="N40" s="61"/>
      <c r="O40" s="61"/>
      <c r="P40" s="70"/>
      <c r="R40" s="220">
        <v>30</v>
      </c>
      <c r="S40" s="61"/>
      <c r="T40" s="61"/>
      <c r="U40" s="61"/>
      <c r="V40" s="61"/>
      <c r="W40" s="61"/>
      <c r="X40" s="61"/>
      <c r="Y40" s="61"/>
      <c r="Z40" s="61"/>
      <c r="AA40" s="61"/>
      <c r="AB40" s="61"/>
      <c r="AC40" s="61"/>
      <c r="AD40" s="61"/>
      <c r="AE40" s="61"/>
      <c r="AF40" s="70"/>
      <c r="AJ40" s="220">
        <v>30</v>
      </c>
      <c r="AK40" s="227" t="e">
        <f t="shared" si="2"/>
        <v>#DIV/0!</v>
      </c>
      <c r="AL40" s="227" t="e">
        <f t="shared" si="2"/>
        <v>#DIV/0!</v>
      </c>
      <c r="AM40" s="227" t="e">
        <f t="shared" si="2"/>
        <v>#DIV/0!</v>
      </c>
      <c r="AN40" s="227" t="e">
        <f t="shared" si="2"/>
        <v>#DIV/0!</v>
      </c>
      <c r="AO40" s="227" t="e">
        <f t="shared" si="2"/>
        <v>#DIV/0!</v>
      </c>
      <c r="AP40" s="227" t="e">
        <f t="shared" si="2"/>
        <v>#DIV/0!</v>
      </c>
      <c r="AQ40" s="227" t="e">
        <f t="shared" si="2"/>
        <v>#DIV/0!</v>
      </c>
      <c r="AR40" s="227" t="e">
        <f t="shared" si="2"/>
        <v>#DIV/0!</v>
      </c>
      <c r="AS40" s="227" t="e">
        <f t="shared" si="2"/>
        <v>#DIV/0!</v>
      </c>
      <c r="AT40" s="227" t="e">
        <f t="shared" si="2"/>
        <v>#DIV/0!</v>
      </c>
      <c r="AU40" s="227" t="e">
        <f t="shared" si="2"/>
        <v>#DIV/0!</v>
      </c>
      <c r="AV40" s="227" t="e">
        <f t="shared" si="2"/>
        <v>#DIV/0!</v>
      </c>
      <c r="AW40" s="227" t="e">
        <f t="shared" si="2"/>
        <v>#DIV/0!</v>
      </c>
      <c r="AX40" s="228" t="e">
        <f t="shared" si="2"/>
        <v>#DIV/0!</v>
      </c>
    </row>
    <row r="41" spans="2:50">
      <c r="B41" s="220">
        <v>31</v>
      </c>
      <c r="C41" s="61"/>
      <c r="D41" s="61"/>
      <c r="E41" s="61"/>
      <c r="F41" s="61"/>
      <c r="G41" s="61"/>
      <c r="H41" s="61"/>
      <c r="I41" s="61"/>
      <c r="J41" s="61"/>
      <c r="K41" s="61"/>
      <c r="L41" s="61"/>
      <c r="M41" s="61"/>
      <c r="N41" s="61"/>
      <c r="O41" s="61"/>
      <c r="P41" s="70"/>
      <c r="R41" s="220">
        <v>31</v>
      </c>
      <c r="S41" s="61"/>
      <c r="T41" s="61"/>
      <c r="U41" s="61"/>
      <c r="V41" s="61"/>
      <c r="W41" s="61"/>
      <c r="X41" s="61"/>
      <c r="Y41" s="61"/>
      <c r="Z41" s="61"/>
      <c r="AA41" s="61"/>
      <c r="AB41" s="61"/>
      <c r="AC41" s="61"/>
      <c r="AD41" s="61"/>
      <c r="AE41" s="61"/>
      <c r="AF41" s="70"/>
      <c r="AJ41" s="220">
        <v>31</v>
      </c>
      <c r="AK41" s="227" t="e">
        <f t="shared" si="2"/>
        <v>#DIV/0!</v>
      </c>
      <c r="AL41" s="227" t="e">
        <f t="shared" si="2"/>
        <v>#DIV/0!</v>
      </c>
      <c r="AM41" s="227" t="e">
        <f t="shared" si="2"/>
        <v>#DIV/0!</v>
      </c>
      <c r="AN41" s="227" t="e">
        <f t="shared" si="2"/>
        <v>#DIV/0!</v>
      </c>
      <c r="AO41" s="227" t="e">
        <f t="shared" si="2"/>
        <v>#DIV/0!</v>
      </c>
      <c r="AP41" s="227" t="e">
        <f t="shared" si="2"/>
        <v>#DIV/0!</v>
      </c>
      <c r="AQ41" s="227" t="e">
        <f t="shared" si="2"/>
        <v>#DIV/0!</v>
      </c>
      <c r="AR41" s="227" t="e">
        <f t="shared" si="2"/>
        <v>#DIV/0!</v>
      </c>
      <c r="AS41" s="227" t="e">
        <f t="shared" si="2"/>
        <v>#DIV/0!</v>
      </c>
      <c r="AT41" s="227" t="e">
        <f t="shared" si="2"/>
        <v>#DIV/0!</v>
      </c>
      <c r="AU41" s="227" t="e">
        <f t="shared" si="2"/>
        <v>#DIV/0!</v>
      </c>
      <c r="AV41" s="227" t="e">
        <f t="shared" si="2"/>
        <v>#DIV/0!</v>
      </c>
      <c r="AW41" s="227" t="e">
        <f t="shared" si="2"/>
        <v>#DIV/0!</v>
      </c>
      <c r="AX41" s="228" t="e">
        <f t="shared" si="2"/>
        <v>#DIV/0!</v>
      </c>
    </row>
    <row r="42" spans="2:50">
      <c r="B42" s="220">
        <v>32</v>
      </c>
      <c r="C42" s="61"/>
      <c r="D42" s="61"/>
      <c r="E42" s="61"/>
      <c r="F42" s="61"/>
      <c r="G42" s="61"/>
      <c r="H42" s="61"/>
      <c r="I42" s="61"/>
      <c r="J42" s="61"/>
      <c r="K42" s="61"/>
      <c r="L42" s="61"/>
      <c r="M42" s="61"/>
      <c r="N42" s="61"/>
      <c r="O42" s="61"/>
      <c r="P42" s="70"/>
      <c r="R42" s="220">
        <v>32</v>
      </c>
      <c r="S42" s="61"/>
      <c r="T42" s="61"/>
      <c r="U42" s="61"/>
      <c r="V42" s="61"/>
      <c r="W42" s="61"/>
      <c r="X42" s="61"/>
      <c r="Y42" s="61"/>
      <c r="Z42" s="61"/>
      <c r="AA42" s="61"/>
      <c r="AB42" s="61"/>
      <c r="AC42" s="61"/>
      <c r="AD42" s="61"/>
      <c r="AE42" s="61"/>
      <c r="AF42" s="70"/>
      <c r="AJ42" s="220">
        <v>32</v>
      </c>
      <c r="AK42" s="227" t="e">
        <f t="shared" si="2"/>
        <v>#DIV/0!</v>
      </c>
      <c r="AL42" s="227" t="e">
        <f t="shared" si="2"/>
        <v>#DIV/0!</v>
      </c>
      <c r="AM42" s="227" t="e">
        <f t="shared" si="2"/>
        <v>#DIV/0!</v>
      </c>
      <c r="AN42" s="227" t="e">
        <f t="shared" si="2"/>
        <v>#DIV/0!</v>
      </c>
      <c r="AO42" s="227" t="e">
        <f t="shared" si="2"/>
        <v>#DIV/0!</v>
      </c>
      <c r="AP42" s="227" t="e">
        <f t="shared" si="2"/>
        <v>#DIV/0!</v>
      </c>
      <c r="AQ42" s="227" t="e">
        <f t="shared" si="2"/>
        <v>#DIV/0!</v>
      </c>
      <c r="AR42" s="227" t="e">
        <f t="shared" si="2"/>
        <v>#DIV/0!</v>
      </c>
      <c r="AS42" s="227" t="e">
        <f t="shared" si="2"/>
        <v>#DIV/0!</v>
      </c>
      <c r="AT42" s="227" t="e">
        <f t="shared" si="2"/>
        <v>#DIV/0!</v>
      </c>
      <c r="AU42" s="227" t="e">
        <f t="shared" si="2"/>
        <v>#DIV/0!</v>
      </c>
      <c r="AV42" s="227" t="e">
        <f t="shared" si="2"/>
        <v>#DIV/0!</v>
      </c>
      <c r="AW42" s="227" t="e">
        <f t="shared" si="2"/>
        <v>#DIV/0!</v>
      </c>
      <c r="AX42" s="228" t="e">
        <f t="shared" si="2"/>
        <v>#DIV/0!</v>
      </c>
    </row>
    <row r="43" spans="2:50">
      <c r="B43" s="220">
        <v>33</v>
      </c>
      <c r="C43" s="61"/>
      <c r="D43" s="61"/>
      <c r="E43" s="61"/>
      <c r="F43" s="61"/>
      <c r="G43" s="61"/>
      <c r="H43" s="61"/>
      <c r="I43" s="61"/>
      <c r="J43" s="61"/>
      <c r="K43" s="61"/>
      <c r="L43" s="61"/>
      <c r="M43" s="61"/>
      <c r="N43" s="61"/>
      <c r="O43" s="61"/>
      <c r="P43" s="70"/>
      <c r="R43" s="220">
        <v>33</v>
      </c>
      <c r="S43" s="61"/>
      <c r="T43" s="61"/>
      <c r="U43" s="61"/>
      <c r="V43" s="61"/>
      <c r="W43" s="61"/>
      <c r="X43" s="61"/>
      <c r="Y43" s="61"/>
      <c r="Z43" s="61"/>
      <c r="AA43" s="61"/>
      <c r="AB43" s="61"/>
      <c r="AC43" s="61"/>
      <c r="AD43" s="61"/>
      <c r="AE43" s="61"/>
      <c r="AF43" s="70"/>
      <c r="AJ43" s="220">
        <v>33</v>
      </c>
      <c r="AK43" s="227" t="e">
        <f t="shared" ref="AK43:AX58" si="3">EXP(-AK$9*$AJ43)</f>
        <v>#DIV/0!</v>
      </c>
      <c r="AL43" s="227" t="e">
        <f t="shared" si="3"/>
        <v>#DIV/0!</v>
      </c>
      <c r="AM43" s="227" t="e">
        <f t="shared" si="3"/>
        <v>#DIV/0!</v>
      </c>
      <c r="AN43" s="227" t="e">
        <f t="shared" si="3"/>
        <v>#DIV/0!</v>
      </c>
      <c r="AO43" s="227" t="e">
        <f t="shared" si="3"/>
        <v>#DIV/0!</v>
      </c>
      <c r="AP43" s="227" t="e">
        <f t="shared" si="3"/>
        <v>#DIV/0!</v>
      </c>
      <c r="AQ43" s="227" t="e">
        <f t="shared" si="3"/>
        <v>#DIV/0!</v>
      </c>
      <c r="AR43" s="227" t="e">
        <f t="shared" si="3"/>
        <v>#DIV/0!</v>
      </c>
      <c r="AS43" s="227" t="e">
        <f t="shared" si="3"/>
        <v>#DIV/0!</v>
      </c>
      <c r="AT43" s="227" t="e">
        <f t="shared" si="3"/>
        <v>#DIV/0!</v>
      </c>
      <c r="AU43" s="227" t="e">
        <f t="shared" si="3"/>
        <v>#DIV/0!</v>
      </c>
      <c r="AV43" s="227" t="e">
        <f t="shared" si="3"/>
        <v>#DIV/0!</v>
      </c>
      <c r="AW43" s="227" t="e">
        <f t="shared" si="3"/>
        <v>#DIV/0!</v>
      </c>
      <c r="AX43" s="228" t="e">
        <f t="shared" si="3"/>
        <v>#DIV/0!</v>
      </c>
    </row>
    <row r="44" spans="2:50">
      <c r="B44" s="220">
        <v>34</v>
      </c>
      <c r="C44" s="61"/>
      <c r="D44" s="61"/>
      <c r="E44" s="61"/>
      <c r="F44" s="61"/>
      <c r="G44" s="61"/>
      <c r="H44" s="61"/>
      <c r="I44" s="61"/>
      <c r="J44" s="61"/>
      <c r="K44" s="61"/>
      <c r="L44" s="61"/>
      <c r="M44" s="61"/>
      <c r="N44" s="61"/>
      <c r="O44" s="61"/>
      <c r="P44" s="70"/>
      <c r="R44" s="220">
        <v>34</v>
      </c>
      <c r="S44" s="61"/>
      <c r="T44" s="61"/>
      <c r="U44" s="61"/>
      <c r="V44" s="61"/>
      <c r="W44" s="61"/>
      <c r="X44" s="61"/>
      <c r="Y44" s="61"/>
      <c r="Z44" s="61"/>
      <c r="AA44" s="61"/>
      <c r="AB44" s="61"/>
      <c r="AC44" s="61"/>
      <c r="AD44" s="61"/>
      <c r="AE44" s="61"/>
      <c r="AF44" s="70"/>
      <c r="AJ44" s="220">
        <v>34</v>
      </c>
      <c r="AK44" s="227" t="e">
        <f t="shared" si="3"/>
        <v>#DIV/0!</v>
      </c>
      <c r="AL44" s="227" t="e">
        <f t="shared" si="3"/>
        <v>#DIV/0!</v>
      </c>
      <c r="AM44" s="227" t="e">
        <f t="shared" si="3"/>
        <v>#DIV/0!</v>
      </c>
      <c r="AN44" s="227" t="e">
        <f t="shared" si="3"/>
        <v>#DIV/0!</v>
      </c>
      <c r="AO44" s="227" t="e">
        <f t="shared" si="3"/>
        <v>#DIV/0!</v>
      </c>
      <c r="AP44" s="227" t="e">
        <f t="shared" si="3"/>
        <v>#DIV/0!</v>
      </c>
      <c r="AQ44" s="227" t="e">
        <f t="shared" si="3"/>
        <v>#DIV/0!</v>
      </c>
      <c r="AR44" s="227" t="e">
        <f t="shared" si="3"/>
        <v>#DIV/0!</v>
      </c>
      <c r="AS44" s="227" t="e">
        <f t="shared" si="3"/>
        <v>#DIV/0!</v>
      </c>
      <c r="AT44" s="227" t="e">
        <f t="shared" si="3"/>
        <v>#DIV/0!</v>
      </c>
      <c r="AU44" s="227" t="e">
        <f t="shared" si="3"/>
        <v>#DIV/0!</v>
      </c>
      <c r="AV44" s="227" t="e">
        <f t="shared" si="3"/>
        <v>#DIV/0!</v>
      </c>
      <c r="AW44" s="227" t="e">
        <f t="shared" si="3"/>
        <v>#DIV/0!</v>
      </c>
      <c r="AX44" s="228" t="e">
        <f t="shared" si="3"/>
        <v>#DIV/0!</v>
      </c>
    </row>
    <row r="45" spans="2:50">
      <c r="B45" s="220">
        <v>35</v>
      </c>
      <c r="C45" s="61"/>
      <c r="D45" s="61"/>
      <c r="E45" s="61"/>
      <c r="F45" s="61"/>
      <c r="G45" s="61"/>
      <c r="H45" s="61"/>
      <c r="I45" s="61"/>
      <c r="J45" s="61"/>
      <c r="K45" s="61"/>
      <c r="L45" s="61"/>
      <c r="M45" s="61"/>
      <c r="N45" s="61"/>
      <c r="O45" s="61"/>
      <c r="P45" s="70"/>
      <c r="R45" s="220">
        <v>35</v>
      </c>
      <c r="S45" s="61"/>
      <c r="T45" s="61"/>
      <c r="U45" s="61"/>
      <c r="V45" s="61"/>
      <c r="W45" s="61"/>
      <c r="X45" s="61"/>
      <c r="Y45" s="61"/>
      <c r="Z45" s="61"/>
      <c r="AA45" s="61"/>
      <c r="AB45" s="61"/>
      <c r="AC45" s="61"/>
      <c r="AD45" s="61"/>
      <c r="AE45" s="61"/>
      <c r="AF45" s="70"/>
      <c r="AJ45" s="220">
        <v>35</v>
      </c>
      <c r="AK45" s="227" t="e">
        <f t="shared" si="3"/>
        <v>#DIV/0!</v>
      </c>
      <c r="AL45" s="227" t="e">
        <f t="shared" si="3"/>
        <v>#DIV/0!</v>
      </c>
      <c r="AM45" s="227" t="e">
        <f t="shared" si="3"/>
        <v>#DIV/0!</v>
      </c>
      <c r="AN45" s="227" t="e">
        <f t="shared" si="3"/>
        <v>#DIV/0!</v>
      </c>
      <c r="AO45" s="227" t="e">
        <f t="shared" si="3"/>
        <v>#DIV/0!</v>
      </c>
      <c r="AP45" s="227" t="e">
        <f t="shared" si="3"/>
        <v>#DIV/0!</v>
      </c>
      <c r="AQ45" s="227" t="e">
        <f t="shared" si="3"/>
        <v>#DIV/0!</v>
      </c>
      <c r="AR45" s="227" t="e">
        <f t="shared" si="3"/>
        <v>#DIV/0!</v>
      </c>
      <c r="AS45" s="227" t="e">
        <f t="shared" si="3"/>
        <v>#DIV/0!</v>
      </c>
      <c r="AT45" s="227" t="e">
        <f t="shared" si="3"/>
        <v>#DIV/0!</v>
      </c>
      <c r="AU45" s="227" t="e">
        <f t="shared" si="3"/>
        <v>#DIV/0!</v>
      </c>
      <c r="AV45" s="227" t="e">
        <f t="shared" si="3"/>
        <v>#DIV/0!</v>
      </c>
      <c r="AW45" s="227" t="e">
        <f t="shared" si="3"/>
        <v>#DIV/0!</v>
      </c>
      <c r="AX45" s="228" t="e">
        <f t="shared" si="3"/>
        <v>#DIV/0!</v>
      </c>
    </row>
    <row r="46" spans="2:50">
      <c r="B46" s="224">
        <v>36</v>
      </c>
      <c r="C46" s="68"/>
      <c r="D46" s="68"/>
      <c r="E46" s="68"/>
      <c r="F46" s="68"/>
      <c r="G46" s="68"/>
      <c r="H46" s="68"/>
      <c r="I46" s="68"/>
      <c r="J46" s="68"/>
      <c r="K46" s="68"/>
      <c r="L46" s="68"/>
      <c r="M46" s="68"/>
      <c r="N46" s="68"/>
      <c r="O46" s="68"/>
      <c r="P46" s="69"/>
      <c r="R46" s="224">
        <v>36</v>
      </c>
      <c r="S46" s="68"/>
      <c r="T46" s="68"/>
      <c r="U46" s="68"/>
      <c r="V46" s="68"/>
      <c r="W46" s="68"/>
      <c r="X46" s="68"/>
      <c r="Y46" s="68"/>
      <c r="Z46" s="68"/>
      <c r="AA46" s="68"/>
      <c r="AB46" s="68"/>
      <c r="AC46" s="68"/>
      <c r="AD46" s="68"/>
      <c r="AE46" s="68"/>
      <c r="AF46" s="69"/>
      <c r="AJ46" s="224">
        <v>36</v>
      </c>
      <c r="AK46" s="225" t="e">
        <f t="shared" si="3"/>
        <v>#DIV/0!</v>
      </c>
      <c r="AL46" s="225" t="e">
        <f t="shared" si="3"/>
        <v>#DIV/0!</v>
      </c>
      <c r="AM46" s="225" t="e">
        <f t="shared" si="3"/>
        <v>#DIV/0!</v>
      </c>
      <c r="AN46" s="225" t="e">
        <f t="shared" si="3"/>
        <v>#DIV/0!</v>
      </c>
      <c r="AO46" s="225" t="e">
        <f t="shared" si="3"/>
        <v>#DIV/0!</v>
      </c>
      <c r="AP46" s="225" t="e">
        <f t="shared" si="3"/>
        <v>#DIV/0!</v>
      </c>
      <c r="AQ46" s="225" t="e">
        <f t="shared" si="3"/>
        <v>#DIV/0!</v>
      </c>
      <c r="AR46" s="225" t="e">
        <f t="shared" si="3"/>
        <v>#DIV/0!</v>
      </c>
      <c r="AS46" s="225" t="e">
        <f t="shared" si="3"/>
        <v>#DIV/0!</v>
      </c>
      <c r="AT46" s="225" t="e">
        <f t="shared" si="3"/>
        <v>#DIV/0!</v>
      </c>
      <c r="AU46" s="225" t="e">
        <f t="shared" si="3"/>
        <v>#DIV/0!</v>
      </c>
      <c r="AV46" s="225" t="e">
        <f t="shared" si="3"/>
        <v>#DIV/0!</v>
      </c>
      <c r="AW46" s="225" t="e">
        <f t="shared" si="3"/>
        <v>#DIV/0!</v>
      </c>
      <c r="AX46" s="226" t="e">
        <f t="shared" si="3"/>
        <v>#DIV/0!</v>
      </c>
    </row>
    <row r="47" spans="2:50" s="229" customFormat="1">
      <c r="B47" s="220">
        <v>37</v>
      </c>
      <c r="C47" s="61"/>
      <c r="D47" s="61"/>
      <c r="E47" s="61"/>
      <c r="F47" s="61"/>
      <c r="G47" s="61"/>
      <c r="H47" s="61"/>
      <c r="I47" s="61"/>
      <c r="J47" s="61"/>
      <c r="K47" s="61"/>
      <c r="L47" s="61"/>
      <c r="M47" s="61"/>
      <c r="N47" s="61"/>
      <c r="O47" s="61"/>
      <c r="P47" s="70"/>
      <c r="R47" s="220">
        <v>37</v>
      </c>
      <c r="S47" s="61"/>
      <c r="T47" s="61"/>
      <c r="U47" s="61"/>
      <c r="V47" s="61"/>
      <c r="W47" s="61"/>
      <c r="X47" s="61"/>
      <c r="Y47" s="61"/>
      <c r="Z47" s="61"/>
      <c r="AA47" s="61"/>
      <c r="AB47" s="61"/>
      <c r="AC47" s="61"/>
      <c r="AD47" s="61"/>
      <c r="AE47" s="61"/>
      <c r="AF47" s="70"/>
      <c r="AJ47" s="220">
        <v>37</v>
      </c>
      <c r="AK47" s="227" t="e">
        <f t="shared" si="3"/>
        <v>#DIV/0!</v>
      </c>
      <c r="AL47" s="227" t="e">
        <f t="shared" si="3"/>
        <v>#DIV/0!</v>
      </c>
      <c r="AM47" s="227" t="e">
        <f t="shared" si="3"/>
        <v>#DIV/0!</v>
      </c>
      <c r="AN47" s="227" t="e">
        <f t="shared" si="3"/>
        <v>#DIV/0!</v>
      </c>
      <c r="AO47" s="227" t="e">
        <f t="shared" si="3"/>
        <v>#DIV/0!</v>
      </c>
      <c r="AP47" s="227" t="e">
        <f t="shared" si="3"/>
        <v>#DIV/0!</v>
      </c>
      <c r="AQ47" s="227" t="e">
        <f t="shared" si="3"/>
        <v>#DIV/0!</v>
      </c>
      <c r="AR47" s="227" t="e">
        <f t="shared" si="3"/>
        <v>#DIV/0!</v>
      </c>
      <c r="AS47" s="227" t="e">
        <f t="shared" si="3"/>
        <v>#DIV/0!</v>
      </c>
      <c r="AT47" s="227" t="e">
        <f t="shared" si="3"/>
        <v>#DIV/0!</v>
      </c>
      <c r="AU47" s="227" t="e">
        <f t="shared" si="3"/>
        <v>#DIV/0!</v>
      </c>
      <c r="AV47" s="227" t="e">
        <f t="shared" si="3"/>
        <v>#DIV/0!</v>
      </c>
      <c r="AW47" s="227" t="e">
        <f t="shared" si="3"/>
        <v>#DIV/0!</v>
      </c>
      <c r="AX47" s="228" t="e">
        <f t="shared" si="3"/>
        <v>#DIV/0!</v>
      </c>
    </row>
    <row r="48" spans="2:50">
      <c r="B48" s="220">
        <v>38</v>
      </c>
      <c r="C48" s="61"/>
      <c r="D48" s="61"/>
      <c r="E48" s="61"/>
      <c r="F48" s="61"/>
      <c r="G48" s="61"/>
      <c r="H48" s="61"/>
      <c r="I48" s="61"/>
      <c r="J48" s="61"/>
      <c r="K48" s="61"/>
      <c r="L48" s="61"/>
      <c r="M48" s="61"/>
      <c r="N48" s="61"/>
      <c r="O48" s="61"/>
      <c r="P48" s="70"/>
      <c r="R48" s="220">
        <v>38</v>
      </c>
      <c r="S48" s="61"/>
      <c r="T48" s="61"/>
      <c r="U48" s="61"/>
      <c r="V48" s="61"/>
      <c r="W48" s="61"/>
      <c r="X48" s="61"/>
      <c r="Y48" s="61"/>
      <c r="Z48" s="61"/>
      <c r="AA48" s="61"/>
      <c r="AB48" s="61"/>
      <c r="AC48" s="61"/>
      <c r="AD48" s="61"/>
      <c r="AE48" s="61"/>
      <c r="AF48" s="70"/>
      <c r="AJ48" s="220">
        <v>38</v>
      </c>
      <c r="AK48" s="227" t="e">
        <f t="shared" si="3"/>
        <v>#DIV/0!</v>
      </c>
      <c r="AL48" s="227" t="e">
        <f t="shared" si="3"/>
        <v>#DIV/0!</v>
      </c>
      <c r="AM48" s="227" t="e">
        <f t="shared" si="3"/>
        <v>#DIV/0!</v>
      </c>
      <c r="AN48" s="227" t="e">
        <f t="shared" si="3"/>
        <v>#DIV/0!</v>
      </c>
      <c r="AO48" s="227" t="e">
        <f t="shared" si="3"/>
        <v>#DIV/0!</v>
      </c>
      <c r="AP48" s="227" t="e">
        <f t="shared" si="3"/>
        <v>#DIV/0!</v>
      </c>
      <c r="AQ48" s="227" t="e">
        <f t="shared" si="3"/>
        <v>#DIV/0!</v>
      </c>
      <c r="AR48" s="227" t="e">
        <f t="shared" si="3"/>
        <v>#DIV/0!</v>
      </c>
      <c r="AS48" s="227" t="e">
        <f t="shared" si="3"/>
        <v>#DIV/0!</v>
      </c>
      <c r="AT48" s="227" t="e">
        <f t="shared" si="3"/>
        <v>#DIV/0!</v>
      </c>
      <c r="AU48" s="227" t="e">
        <f t="shared" si="3"/>
        <v>#DIV/0!</v>
      </c>
      <c r="AV48" s="227" t="e">
        <f t="shared" si="3"/>
        <v>#DIV/0!</v>
      </c>
      <c r="AW48" s="227" t="e">
        <f t="shared" si="3"/>
        <v>#DIV/0!</v>
      </c>
      <c r="AX48" s="228" t="e">
        <f t="shared" si="3"/>
        <v>#DIV/0!</v>
      </c>
    </row>
    <row r="49" spans="2:50">
      <c r="B49" s="220">
        <v>39</v>
      </c>
      <c r="C49" s="61"/>
      <c r="D49" s="61"/>
      <c r="E49" s="61"/>
      <c r="F49" s="61"/>
      <c r="G49" s="61"/>
      <c r="H49" s="61"/>
      <c r="I49" s="61"/>
      <c r="J49" s="61"/>
      <c r="K49" s="61"/>
      <c r="L49" s="61"/>
      <c r="M49" s="61"/>
      <c r="N49" s="61"/>
      <c r="O49" s="61"/>
      <c r="P49" s="70"/>
      <c r="R49" s="220">
        <v>39</v>
      </c>
      <c r="S49" s="61"/>
      <c r="T49" s="61"/>
      <c r="U49" s="61"/>
      <c r="V49" s="61"/>
      <c r="W49" s="61"/>
      <c r="X49" s="61"/>
      <c r="Y49" s="61"/>
      <c r="Z49" s="61"/>
      <c r="AA49" s="61"/>
      <c r="AB49" s="61"/>
      <c r="AC49" s="61"/>
      <c r="AD49" s="61"/>
      <c r="AE49" s="61"/>
      <c r="AF49" s="70"/>
      <c r="AJ49" s="220">
        <v>39</v>
      </c>
      <c r="AK49" s="227" t="e">
        <f t="shared" si="3"/>
        <v>#DIV/0!</v>
      </c>
      <c r="AL49" s="227" t="e">
        <f t="shared" si="3"/>
        <v>#DIV/0!</v>
      </c>
      <c r="AM49" s="227" t="e">
        <f t="shared" si="3"/>
        <v>#DIV/0!</v>
      </c>
      <c r="AN49" s="227" t="e">
        <f t="shared" si="3"/>
        <v>#DIV/0!</v>
      </c>
      <c r="AO49" s="227" t="e">
        <f t="shared" si="3"/>
        <v>#DIV/0!</v>
      </c>
      <c r="AP49" s="227" t="e">
        <f t="shared" si="3"/>
        <v>#DIV/0!</v>
      </c>
      <c r="AQ49" s="227" t="e">
        <f t="shared" si="3"/>
        <v>#DIV/0!</v>
      </c>
      <c r="AR49" s="227" t="e">
        <f t="shared" si="3"/>
        <v>#DIV/0!</v>
      </c>
      <c r="AS49" s="227" t="e">
        <f t="shared" si="3"/>
        <v>#DIV/0!</v>
      </c>
      <c r="AT49" s="227" t="e">
        <f t="shared" si="3"/>
        <v>#DIV/0!</v>
      </c>
      <c r="AU49" s="227" t="e">
        <f t="shared" si="3"/>
        <v>#DIV/0!</v>
      </c>
      <c r="AV49" s="227" t="e">
        <f t="shared" si="3"/>
        <v>#DIV/0!</v>
      </c>
      <c r="AW49" s="227" t="e">
        <f t="shared" si="3"/>
        <v>#DIV/0!</v>
      </c>
      <c r="AX49" s="228" t="e">
        <f t="shared" si="3"/>
        <v>#DIV/0!</v>
      </c>
    </row>
    <row r="50" spans="2:50">
      <c r="B50" s="220">
        <v>40</v>
      </c>
      <c r="C50" s="61"/>
      <c r="D50" s="61"/>
      <c r="E50" s="61"/>
      <c r="F50" s="61"/>
      <c r="G50" s="61"/>
      <c r="H50" s="61"/>
      <c r="I50" s="61"/>
      <c r="J50" s="61"/>
      <c r="K50" s="61"/>
      <c r="L50" s="61"/>
      <c r="M50" s="61"/>
      <c r="N50" s="61"/>
      <c r="O50" s="61"/>
      <c r="P50" s="70"/>
      <c r="R50" s="220">
        <v>40</v>
      </c>
      <c r="S50" s="61"/>
      <c r="T50" s="61"/>
      <c r="U50" s="61"/>
      <c r="V50" s="61"/>
      <c r="W50" s="61"/>
      <c r="X50" s="61"/>
      <c r="Y50" s="61"/>
      <c r="Z50" s="61"/>
      <c r="AA50" s="61"/>
      <c r="AB50" s="61"/>
      <c r="AC50" s="61"/>
      <c r="AD50" s="61"/>
      <c r="AE50" s="61"/>
      <c r="AF50" s="70"/>
      <c r="AJ50" s="220">
        <v>40</v>
      </c>
      <c r="AK50" s="227" t="e">
        <f t="shared" si="3"/>
        <v>#DIV/0!</v>
      </c>
      <c r="AL50" s="227" t="e">
        <f t="shared" si="3"/>
        <v>#DIV/0!</v>
      </c>
      <c r="AM50" s="227" t="e">
        <f t="shared" si="3"/>
        <v>#DIV/0!</v>
      </c>
      <c r="AN50" s="227" t="e">
        <f t="shared" si="3"/>
        <v>#DIV/0!</v>
      </c>
      <c r="AO50" s="227" t="e">
        <f t="shared" si="3"/>
        <v>#DIV/0!</v>
      </c>
      <c r="AP50" s="227" t="e">
        <f t="shared" si="3"/>
        <v>#DIV/0!</v>
      </c>
      <c r="AQ50" s="227" t="e">
        <f t="shared" si="3"/>
        <v>#DIV/0!</v>
      </c>
      <c r="AR50" s="227" t="e">
        <f t="shared" si="3"/>
        <v>#DIV/0!</v>
      </c>
      <c r="AS50" s="227" t="e">
        <f t="shared" si="3"/>
        <v>#DIV/0!</v>
      </c>
      <c r="AT50" s="227" t="e">
        <f t="shared" si="3"/>
        <v>#DIV/0!</v>
      </c>
      <c r="AU50" s="227" t="e">
        <f t="shared" si="3"/>
        <v>#DIV/0!</v>
      </c>
      <c r="AV50" s="227" t="e">
        <f t="shared" si="3"/>
        <v>#DIV/0!</v>
      </c>
      <c r="AW50" s="227" t="e">
        <f t="shared" si="3"/>
        <v>#DIV/0!</v>
      </c>
      <c r="AX50" s="228" t="e">
        <f t="shared" si="3"/>
        <v>#DIV/0!</v>
      </c>
    </row>
    <row r="51" spans="2:50">
      <c r="B51" s="220">
        <v>41</v>
      </c>
      <c r="C51" s="61"/>
      <c r="D51" s="61"/>
      <c r="E51" s="61"/>
      <c r="F51" s="61"/>
      <c r="G51" s="61"/>
      <c r="H51" s="61"/>
      <c r="I51" s="61"/>
      <c r="J51" s="61"/>
      <c r="K51" s="61"/>
      <c r="L51" s="61"/>
      <c r="M51" s="61"/>
      <c r="N51" s="61"/>
      <c r="O51" s="61"/>
      <c r="P51" s="70"/>
      <c r="R51" s="220">
        <v>41</v>
      </c>
      <c r="S51" s="61"/>
      <c r="T51" s="61"/>
      <c r="U51" s="61"/>
      <c r="V51" s="61"/>
      <c r="W51" s="61"/>
      <c r="X51" s="61"/>
      <c r="Y51" s="61"/>
      <c r="Z51" s="61"/>
      <c r="AA51" s="61"/>
      <c r="AB51" s="61"/>
      <c r="AC51" s="61"/>
      <c r="AD51" s="61"/>
      <c r="AE51" s="61"/>
      <c r="AF51" s="70"/>
      <c r="AJ51" s="220">
        <v>41</v>
      </c>
      <c r="AK51" s="227" t="e">
        <f t="shared" si="3"/>
        <v>#DIV/0!</v>
      </c>
      <c r="AL51" s="227" t="e">
        <f t="shared" si="3"/>
        <v>#DIV/0!</v>
      </c>
      <c r="AM51" s="227" t="e">
        <f t="shared" si="3"/>
        <v>#DIV/0!</v>
      </c>
      <c r="AN51" s="227" t="e">
        <f t="shared" si="3"/>
        <v>#DIV/0!</v>
      </c>
      <c r="AO51" s="227" t="e">
        <f t="shared" si="3"/>
        <v>#DIV/0!</v>
      </c>
      <c r="AP51" s="227" t="e">
        <f t="shared" si="3"/>
        <v>#DIV/0!</v>
      </c>
      <c r="AQ51" s="227" t="e">
        <f t="shared" si="3"/>
        <v>#DIV/0!</v>
      </c>
      <c r="AR51" s="227" t="e">
        <f t="shared" si="3"/>
        <v>#DIV/0!</v>
      </c>
      <c r="AS51" s="227" t="e">
        <f t="shared" si="3"/>
        <v>#DIV/0!</v>
      </c>
      <c r="AT51" s="227" t="e">
        <f t="shared" si="3"/>
        <v>#DIV/0!</v>
      </c>
      <c r="AU51" s="227" t="e">
        <f t="shared" si="3"/>
        <v>#DIV/0!</v>
      </c>
      <c r="AV51" s="227" t="e">
        <f t="shared" si="3"/>
        <v>#DIV/0!</v>
      </c>
      <c r="AW51" s="227" t="e">
        <f t="shared" si="3"/>
        <v>#DIV/0!</v>
      </c>
      <c r="AX51" s="228" t="e">
        <f t="shared" si="3"/>
        <v>#DIV/0!</v>
      </c>
    </row>
    <row r="52" spans="2:50">
      <c r="B52" s="220">
        <v>42</v>
      </c>
      <c r="C52" s="61"/>
      <c r="D52" s="61"/>
      <c r="E52" s="61"/>
      <c r="F52" s="61"/>
      <c r="G52" s="61"/>
      <c r="H52" s="61"/>
      <c r="I52" s="61"/>
      <c r="J52" s="61"/>
      <c r="K52" s="61"/>
      <c r="L52" s="61"/>
      <c r="M52" s="61"/>
      <c r="N52" s="61"/>
      <c r="O52" s="61"/>
      <c r="P52" s="70"/>
      <c r="R52" s="220">
        <v>42</v>
      </c>
      <c r="S52" s="61"/>
      <c r="T52" s="61"/>
      <c r="U52" s="61"/>
      <c r="V52" s="61"/>
      <c r="W52" s="61"/>
      <c r="X52" s="61"/>
      <c r="Y52" s="61"/>
      <c r="Z52" s="61"/>
      <c r="AA52" s="61"/>
      <c r="AB52" s="61"/>
      <c r="AC52" s="61"/>
      <c r="AD52" s="61"/>
      <c r="AE52" s="61"/>
      <c r="AF52" s="70"/>
      <c r="AJ52" s="220">
        <v>42</v>
      </c>
      <c r="AK52" s="227" t="e">
        <f t="shared" si="3"/>
        <v>#DIV/0!</v>
      </c>
      <c r="AL52" s="227" t="e">
        <f t="shared" si="3"/>
        <v>#DIV/0!</v>
      </c>
      <c r="AM52" s="227" t="e">
        <f t="shared" si="3"/>
        <v>#DIV/0!</v>
      </c>
      <c r="AN52" s="227" t="e">
        <f t="shared" si="3"/>
        <v>#DIV/0!</v>
      </c>
      <c r="AO52" s="227" t="e">
        <f t="shared" si="3"/>
        <v>#DIV/0!</v>
      </c>
      <c r="AP52" s="227" t="e">
        <f t="shared" si="3"/>
        <v>#DIV/0!</v>
      </c>
      <c r="AQ52" s="227" t="e">
        <f t="shared" si="3"/>
        <v>#DIV/0!</v>
      </c>
      <c r="AR52" s="227" t="e">
        <f t="shared" si="3"/>
        <v>#DIV/0!</v>
      </c>
      <c r="AS52" s="227" t="e">
        <f t="shared" si="3"/>
        <v>#DIV/0!</v>
      </c>
      <c r="AT52" s="227" t="e">
        <f t="shared" si="3"/>
        <v>#DIV/0!</v>
      </c>
      <c r="AU52" s="227" t="e">
        <f t="shared" si="3"/>
        <v>#DIV/0!</v>
      </c>
      <c r="AV52" s="227" t="e">
        <f t="shared" si="3"/>
        <v>#DIV/0!</v>
      </c>
      <c r="AW52" s="227" t="e">
        <f t="shared" si="3"/>
        <v>#DIV/0!</v>
      </c>
      <c r="AX52" s="228" t="e">
        <f t="shared" si="3"/>
        <v>#DIV/0!</v>
      </c>
    </row>
    <row r="53" spans="2:50">
      <c r="B53" s="220">
        <v>43</v>
      </c>
      <c r="C53" s="61"/>
      <c r="D53" s="61"/>
      <c r="E53" s="61"/>
      <c r="F53" s="61"/>
      <c r="G53" s="61"/>
      <c r="H53" s="61"/>
      <c r="I53" s="61"/>
      <c r="J53" s="61"/>
      <c r="K53" s="61"/>
      <c r="L53" s="61"/>
      <c r="M53" s="61"/>
      <c r="N53" s="61"/>
      <c r="O53" s="61"/>
      <c r="P53" s="70"/>
      <c r="R53" s="220">
        <v>43</v>
      </c>
      <c r="S53" s="61"/>
      <c r="T53" s="61"/>
      <c r="U53" s="61"/>
      <c r="V53" s="61"/>
      <c r="W53" s="61"/>
      <c r="X53" s="61"/>
      <c r="Y53" s="61"/>
      <c r="Z53" s="61"/>
      <c r="AA53" s="61"/>
      <c r="AB53" s="61"/>
      <c r="AC53" s="61"/>
      <c r="AD53" s="61"/>
      <c r="AE53" s="61"/>
      <c r="AF53" s="70"/>
      <c r="AJ53" s="220">
        <v>43</v>
      </c>
      <c r="AK53" s="227" t="e">
        <f t="shared" si="3"/>
        <v>#DIV/0!</v>
      </c>
      <c r="AL53" s="227" t="e">
        <f t="shared" si="3"/>
        <v>#DIV/0!</v>
      </c>
      <c r="AM53" s="227" t="e">
        <f t="shared" si="3"/>
        <v>#DIV/0!</v>
      </c>
      <c r="AN53" s="227" t="e">
        <f t="shared" si="3"/>
        <v>#DIV/0!</v>
      </c>
      <c r="AO53" s="227" t="e">
        <f t="shared" si="3"/>
        <v>#DIV/0!</v>
      </c>
      <c r="AP53" s="227" t="e">
        <f t="shared" si="3"/>
        <v>#DIV/0!</v>
      </c>
      <c r="AQ53" s="227" t="e">
        <f t="shared" si="3"/>
        <v>#DIV/0!</v>
      </c>
      <c r="AR53" s="227" t="e">
        <f t="shared" si="3"/>
        <v>#DIV/0!</v>
      </c>
      <c r="AS53" s="227" t="e">
        <f t="shared" si="3"/>
        <v>#DIV/0!</v>
      </c>
      <c r="AT53" s="227" t="e">
        <f t="shared" si="3"/>
        <v>#DIV/0!</v>
      </c>
      <c r="AU53" s="227" t="e">
        <f t="shared" si="3"/>
        <v>#DIV/0!</v>
      </c>
      <c r="AV53" s="227" t="e">
        <f t="shared" si="3"/>
        <v>#DIV/0!</v>
      </c>
      <c r="AW53" s="227" t="e">
        <f t="shared" si="3"/>
        <v>#DIV/0!</v>
      </c>
      <c r="AX53" s="228" t="e">
        <f t="shared" si="3"/>
        <v>#DIV/0!</v>
      </c>
    </row>
    <row r="54" spans="2:50">
      <c r="B54" s="220">
        <v>44</v>
      </c>
      <c r="C54" s="61"/>
      <c r="D54" s="61"/>
      <c r="E54" s="61"/>
      <c r="F54" s="61"/>
      <c r="G54" s="61"/>
      <c r="H54" s="61"/>
      <c r="I54" s="61"/>
      <c r="J54" s="61"/>
      <c r="K54" s="61"/>
      <c r="L54" s="61"/>
      <c r="M54" s="61"/>
      <c r="N54" s="61"/>
      <c r="O54" s="61"/>
      <c r="P54" s="70"/>
      <c r="R54" s="220">
        <v>44</v>
      </c>
      <c r="S54" s="61"/>
      <c r="T54" s="61"/>
      <c r="U54" s="61"/>
      <c r="V54" s="61"/>
      <c r="W54" s="61"/>
      <c r="X54" s="61"/>
      <c r="Y54" s="61"/>
      <c r="Z54" s="61"/>
      <c r="AA54" s="61"/>
      <c r="AB54" s="61"/>
      <c r="AC54" s="61"/>
      <c r="AD54" s="61"/>
      <c r="AE54" s="61"/>
      <c r="AF54" s="70"/>
      <c r="AJ54" s="220">
        <v>44</v>
      </c>
      <c r="AK54" s="227" t="e">
        <f t="shared" si="3"/>
        <v>#DIV/0!</v>
      </c>
      <c r="AL54" s="227" t="e">
        <f t="shared" si="3"/>
        <v>#DIV/0!</v>
      </c>
      <c r="AM54" s="227" t="e">
        <f t="shared" si="3"/>
        <v>#DIV/0!</v>
      </c>
      <c r="AN54" s="227" t="e">
        <f t="shared" si="3"/>
        <v>#DIV/0!</v>
      </c>
      <c r="AO54" s="227" t="e">
        <f t="shared" si="3"/>
        <v>#DIV/0!</v>
      </c>
      <c r="AP54" s="227" t="e">
        <f t="shared" si="3"/>
        <v>#DIV/0!</v>
      </c>
      <c r="AQ54" s="227" t="e">
        <f t="shared" si="3"/>
        <v>#DIV/0!</v>
      </c>
      <c r="AR54" s="227" t="e">
        <f t="shared" si="3"/>
        <v>#DIV/0!</v>
      </c>
      <c r="AS54" s="227" t="e">
        <f t="shared" si="3"/>
        <v>#DIV/0!</v>
      </c>
      <c r="AT54" s="227" t="e">
        <f t="shared" si="3"/>
        <v>#DIV/0!</v>
      </c>
      <c r="AU54" s="227" t="e">
        <f t="shared" si="3"/>
        <v>#DIV/0!</v>
      </c>
      <c r="AV54" s="227" t="e">
        <f t="shared" si="3"/>
        <v>#DIV/0!</v>
      </c>
      <c r="AW54" s="227" t="e">
        <f t="shared" si="3"/>
        <v>#DIV/0!</v>
      </c>
      <c r="AX54" s="228" t="e">
        <f t="shared" si="3"/>
        <v>#DIV/0!</v>
      </c>
    </row>
    <row r="55" spans="2:50">
      <c r="B55" s="220">
        <v>45</v>
      </c>
      <c r="C55" s="61"/>
      <c r="D55" s="61"/>
      <c r="E55" s="61"/>
      <c r="F55" s="61"/>
      <c r="G55" s="61"/>
      <c r="H55" s="61"/>
      <c r="I55" s="61"/>
      <c r="J55" s="61"/>
      <c r="K55" s="61"/>
      <c r="L55" s="61"/>
      <c r="M55" s="61"/>
      <c r="N55" s="61"/>
      <c r="O55" s="61"/>
      <c r="P55" s="70"/>
      <c r="R55" s="220">
        <v>45</v>
      </c>
      <c r="S55" s="61"/>
      <c r="T55" s="61"/>
      <c r="U55" s="61"/>
      <c r="V55" s="61"/>
      <c r="W55" s="61"/>
      <c r="X55" s="61"/>
      <c r="Y55" s="61"/>
      <c r="Z55" s="61"/>
      <c r="AA55" s="61"/>
      <c r="AB55" s="61"/>
      <c r="AC55" s="61"/>
      <c r="AD55" s="61"/>
      <c r="AE55" s="61"/>
      <c r="AF55" s="70"/>
      <c r="AJ55" s="220">
        <v>45</v>
      </c>
      <c r="AK55" s="227" t="e">
        <f t="shared" si="3"/>
        <v>#DIV/0!</v>
      </c>
      <c r="AL55" s="227" t="e">
        <f t="shared" si="3"/>
        <v>#DIV/0!</v>
      </c>
      <c r="AM55" s="227" t="e">
        <f t="shared" si="3"/>
        <v>#DIV/0!</v>
      </c>
      <c r="AN55" s="227" t="e">
        <f t="shared" si="3"/>
        <v>#DIV/0!</v>
      </c>
      <c r="AO55" s="227" t="e">
        <f t="shared" si="3"/>
        <v>#DIV/0!</v>
      </c>
      <c r="AP55" s="227" t="e">
        <f t="shared" si="3"/>
        <v>#DIV/0!</v>
      </c>
      <c r="AQ55" s="227" t="e">
        <f t="shared" si="3"/>
        <v>#DIV/0!</v>
      </c>
      <c r="AR55" s="227" t="e">
        <f t="shared" si="3"/>
        <v>#DIV/0!</v>
      </c>
      <c r="AS55" s="227" t="e">
        <f t="shared" si="3"/>
        <v>#DIV/0!</v>
      </c>
      <c r="AT55" s="227" t="e">
        <f t="shared" si="3"/>
        <v>#DIV/0!</v>
      </c>
      <c r="AU55" s="227" t="e">
        <f t="shared" si="3"/>
        <v>#DIV/0!</v>
      </c>
      <c r="AV55" s="227" t="e">
        <f t="shared" si="3"/>
        <v>#DIV/0!</v>
      </c>
      <c r="AW55" s="227" t="e">
        <f t="shared" si="3"/>
        <v>#DIV/0!</v>
      </c>
      <c r="AX55" s="228" t="e">
        <f t="shared" si="3"/>
        <v>#DIV/0!</v>
      </c>
    </row>
    <row r="56" spans="2:50">
      <c r="B56" s="220">
        <v>46</v>
      </c>
      <c r="C56" s="61"/>
      <c r="D56" s="61"/>
      <c r="E56" s="61"/>
      <c r="F56" s="61"/>
      <c r="G56" s="61"/>
      <c r="H56" s="61"/>
      <c r="I56" s="61"/>
      <c r="J56" s="61"/>
      <c r="K56" s="61"/>
      <c r="L56" s="61"/>
      <c r="M56" s="61"/>
      <c r="N56" s="61"/>
      <c r="O56" s="61"/>
      <c r="P56" s="70"/>
      <c r="R56" s="220">
        <v>46</v>
      </c>
      <c r="S56" s="61"/>
      <c r="T56" s="61"/>
      <c r="U56" s="61"/>
      <c r="V56" s="61"/>
      <c r="W56" s="61"/>
      <c r="X56" s="61"/>
      <c r="Y56" s="61"/>
      <c r="Z56" s="61"/>
      <c r="AA56" s="61"/>
      <c r="AB56" s="61"/>
      <c r="AC56" s="61"/>
      <c r="AD56" s="61"/>
      <c r="AE56" s="61"/>
      <c r="AF56" s="70"/>
      <c r="AJ56" s="220">
        <v>46</v>
      </c>
      <c r="AK56" s="227" t="e">
        <f t="shared" si="3"/>
        <v>#DIV/0!</v>
      </c>
      <c r="AL56" s="227" t="e">
        <f t="shared" si="3"/>
        <v>#DIV/0!</v>
      </c>
      <c r="AM56" s="227" t="e">
        <f t="shared" si="3"/>
        <v>#DIV/0!</v>
      </c>
      <c r="AN56" s="227" t="e">
        <f t="shared" si="3"/>
        <v>#DIV/0!</v>
      </c>
      <c r="AO56" s="227" t="e">
        <f t="shared" si="3"/>
        <v>#DIV/0!</v>
      </c>
      <c r="AP56" s="227" t="e">
        <f t="shared" si="3"/>
        <v>#DIV/0!</v>
      </c>
      <c r="AQ56" s="227" t="e">
        <f t="shared" si="3"/>
        <v>#DIV/0!</v>
      </c>
      <c r="AR56" s="227" t="e">
        <f t="shared" si="3"/>
        <v>#DIV/0!</v>
      </c>
      <c r="AS56" s="227" t="e">
        <f t="shared" si="3"/>
        <v>#DIV/0!</v>
      </c>
      <c r="AT56" s="227" t="e">
        <f t="shared" si="3"/>
        <v>#DIV/0!</v>
      </c>
      <c r="AU56" s="227" t="e">
        <f t="shared" si="3"/>
        <v>#DIV/0!</v>
      </c>
      <c r="AV56" s="227" t="e">
        <f t="shared" si="3"/>
        <v>#DIV/0!</v>
      </c>
      <c r="AW56" s="227" t="e">
        <f t="shared" si="3"/>
        <v>#DIV/0!</v>
      </c>
      <c r="AX56" s="228" t="e">
        <f t="shared" si="3"/>
        <v>#DIV/0!</v>
      </c>
    </row>
    <row r="57" spans="2:50">
      <c r="B57" s="220">
        <v>47</v>
      </c>
      <c r="C57" s="61"/>
      <c r="D57" s="61"/>
      <c r="E57" s="61"/>
      <c r="F57" s="61"/>
      <c r="G57" s="61"/>
      <c r="H57" s="61"/>
      <c r="I57" s="61"/>
      <c r="J57" s="61"/>
      <c r="K57" s="61"/>
      <c r="L57" s="61"/>
      <c r="M57" s="61"/>
      <c r="N57" s="61"/>
      <c r="O57" s="61"/>
      <c r="P57" s="70"/>
      <c r="R57" s="220">
        <v>47</v>
      </c>
      <c r="S57" s="61"/>
      <c r="T57" s="61"/>
      <c r="U57" s="61"/>
      <c r="V57" s="61"/>
      <c r="W57" s="61"/>
      <c r="X57" s="61"/>
      <c r="Y57" s="61"/>
      <c r="Z57" s="61"/>
      <c r="AA57" s="61"/>
      <c r="AB57" s="61"/>
      <c r="AC57" s="61"/>
      <c r="AD57" s="61"/>
      <c r="AE57" s="61"/>
      <c r="AF57" s="70"/>
      <c r="AJ57" s="220">
        <v>47</v>
      </c>
      <c r="AK57" s="227" t="e">
        <f t="shared" si="3"/>
        <v>#DIV/0!</v>
      </c>
      <c r="AL57" s="227" t="e">
        <f t="shared" si="3"/>
        <v>#DIV/0!</v>
      </c>
      <c r="AM57" s="227" t="e">
        <f t="shared" si="3"/>
        <v>#DIV/0!</v>
      </c>
      <c r="AN57" s="227" t="e">
        <f t="shared" si="3"/>
        <v>#DIV/0!</v>
      </c>
      <c r="AO57" s="227" t="e">
        <f t="shared" si="3"/>
        <v>#DIV/0!</v>
      </c>
      <c r="AP57" s="227" t="e">
        <f t="shared" si="3"/>
        <v>#DIV/0!</v>
      </c>
      <c r="AQ57" s="227" t="e">
        <f t="shared" si="3"/>
        <v>#DIV/0!</v>
      </c>
      <c r="AR57" s="227" t="e">
        <f t="shared" si="3"/>
        <v>#DIV/0!</v>
      </c>
      <c r="AS57" s="227" t="e">
        <f t="shared" si="3"/>
        <v>#DIV/0!</v>
      </c>
      <c r="AT57" s="227" t="e">
        <f t="shared" si="3"/>
        <v>#DIV/0!</v>
      </c>
      <c r="AU57" s="227" t="e">
        <f t="shared" si="3"/>
        <v>#DIV/0!</v>
      </c>
      <c r="AV57" s="227" t="e">
        <f t="shared" si="3"/>
        <v>#DIV/0!</v>
      </c>
      <c r="AW57" s="227" t="e">
        <f t="shared" si="3"/>
        <v>#DIV/0!</v>
      </c>
      <c r="AX57" s="228" t="e">
        <f t="shared" si="3"/>
        <v>#DIV/0!</v>
      </c>
    </row>
    <row r="58" spans="2:50">
      <c r="B58" s="224">
        <v>48</v>
      </c>
      <c r="C58" s="68"/>
      <c r="D58" s="68"/>
      <c r="E58" s="68"/>
      <c r="F58" s="68"/>
      <c r="G58" s="68"/>
      <c r="H58" s="68"/>
      <c r="I58" s="68"/>
      <c r="J58" s="68"/>
      <c r="K58" s="68"/>
      <c r="L58" s="68"/>
      <c r="M58" s="68"/>
      <c r="N58" s="68"/>
      <c r="O58" s="68"/>
      <c r="P58" s="69"/>
      <c r="R58" s="224">
        <v>48</v>
      </c>
      <c r="S58" s="68"/>
      <c r="T58" s="68"/>
      <c r="U58" s="68"/>
      <c r="V58" s="68"/>
      <c r="W58" s="68"/>
      <c r="X58" s="68"/>
      <c r="Y58" s="68"/>
      <c r="Z58" s="68"/>
      <c r="AA58" s="68"/>
      <c r="AB58" s="68"/>
      <c r="AC58" s="68"/>
      <c r="AD58" s="68"/>
      <c r="AE58" s="68"/>
      <c r="AF58" s="69"/>
      <c r="AJ58" s="224">
        <v>48</v>
      </c>
      <c r="AK58" s="225" t="e">
        <f t="shared" si="3"/>
        <v>#DIV/0!</v>
      </c>
      <c r="AL58" s="225" t="e">
        <f t="shared" si="3"/>
        <v>#DIV/0!</v>
      </c>
      <c r="AM58" s="225" t="e">
        <f t="shared" si="3"/>
        <v>#DIV/0!</v>
      </c>
      <c r="AN58" s="225" t="e">
        <f t="shared" si="3"/>
        <v>#DIV/0!</v>
      </c>
      <c r="AO58" s="225" t="e">
        <f t="shared" si="3"/>
        <v>#DIV/0!</v>
      </c>
      <c r="AP58" s="225" t="e">
        <f t="shared" si="3"/>
        <v>#DIV/0!</v>
      </c>
      <c r="AQ58" s="225" t="e">
        <f t="shared" si="3"/>
        <v>#DIV/0!</v>
      </c>
      <c r="AR58" s="225" t="e">
        <f t="shared" si="3"/>
        <v>#DIV/0!</v>
      </c>
      <c r="AS58" s="225" t="e">
        <f t="shared" si="3"/>
        <v>#DIV/0!</v>
      </c>
      <c r="AT58" s="225" t="e">
        <f t="shared" si="3"/>
        <v>#DIV/0!</v>
      </c>
      <c r="AU58" s="225" t="e">
        <f t="shared" si="3"/>
        <v>#DIV/0!</v>
      </c>
      <c r="AV58" s="225" t="e">
        <f t="shared" si="3"/>
        <v>#DIV/0!</v>
      </c>
      <c r="AW58" s="225" t="e">
        <f t="shared" si="3"/>
        <v>#DIV/0!</v>
      </c>
      <c r="AX58" s="226" t="e">
        <f t="shared" si="3"/>
        <v>#DIV/0!</v>
      </c>
    </row>
    <row r="59" spans="2:50" s="229" customFormat="1"/>
    <row r="71" spans="2:36" s="229" customFormat="1"/>
    <row r="72" spans="2:36" ht="15.6">
      <c r="B72" s="219" t="s">
        <v>268</v>
      </c>
      <c r="R72" s="219" t="s">
        <v>269</v>
      </c>
      <c r="AJ72" s="219" t="s">
        <v>272</v>
      </c>
    </row>
    <row r="73" spans="2:36" hidden="1"/>
    <row r="74" spans="2:36" hidden="1"/>
    <row r="75" spans="2:36" hidden="1"/>
    <row r="76" spans="2:36" hidden="1"/>
    <row r="77" spans="2:36" hidden="1"/>
    <row r="78" spans="2:36" hidden="1"/>
    <row r="79" spans="2:36" hidden="1"/>
    <row r="80" spans="2:36" hidden="1"/>
    <row r="81" hidden="1"/>
    <row r="82" hidden="1"/>
    <row r="83" hidden="1"/>
    <row r="84" hidden="1"/>
    <row r="85" hidden="1"/>
    <row r="86" hidden="1"/>
    <row r="87" hidden="1"/>
    <row r="88" hidden="1"/>
    <row r="89" hidden="1"/>
    <row r="90" hidden="1"/>
    <row r="91" hidden="1"/>
    <row r="92" hidden="1"/>
    <row r="93" hidden="1"/>
    <row r="94" hidden="1"/>
    <row r="95" hidden="1"/>
    <row r="96" hidden="1"/>
    <row r="97" spans="2:50" hidden="1"/>
    <row r="98" spans="2:50" hidden="1"/>
    <row r="99" spans="2:50" hidden="1"/>
    <row r="100" spans="2:50" hidden="1"/>
    <row r="101" spans="2:50" hidden="1"/>
    <row r="102" spans="2:50" hidden="1"/>
    <row r="103" spans="2:50" hidden="1"/>
    <row r="104" spans="2:50" hidden="1"/>
    <row r="105" spans="2:50" hidden="1"/>
    <row r="106" spans="2:50" hidden="1"/>
    <row r="107" spans="2:50">
      <c r="B107" s="499" t="s">
        <v>270</v>
      </c>
      <c r="C107" s="500"/>
      <c r="D107" s="500"/>
      <c r="E107" s="500"/>
      <c r="F107" s="500"/>
      <c r="G107" s="500"/>
      <c r="H107" s="500"/>
      <c r="I107" s="500"/>
      <c r="J107" s="500"/>
      <c r="K107" s="500"/>
      <c r="L107" s="500"/>
      <c r="M107" s="500"/>
      <c r="N107" s="500"/>
      <c r="O107" s="500"/>
      <c r="P107" s="501"/>
      <c r="R107" s="499" t="s">
        <v>271</v>
      </c>
      <c r="S107" s="500"/>
      <c r="T107" s="500"/>
      <c r="U107" s="500"/>
      <c r="V107" s="500"/>
      <c r="W107" s="500"/>
      <c r="X107" s="500"/>
      <c r="Y107" s="500"/>
      <c r="Z107" s="500"/>
      <c r="AA107" s="500"/>
      <c r="AB107" s="500"/>
      <c r="AC107" s="500"/>
      <c r="AD107" s="500"/>
      <c r="AE107" s="500"/>
      <c r="AF107" s="501"/>
      <c r="AJ107" s="499" t="s">
        <v>10</v>
      </c>
      <c r="AK107" s="500"/>
      <c r="AL107" s="500"/>
      <c r="AM107" s="500"/>
      <c r="AN107" s="500"/>
      <c r="AO107" s="500"/>
      <c r="AP107" s="500"/>
      <c r="AQ107" s="500"/>
      <c r="AR107" s="500"/>
      <c r="AS107" s="500"/>
      <c r="AT107" s="500"/>
      <c r="AU107" s="500"/>
      <c r="AV107" s="500"/>
      <c r="AW107" s="500"/>
      <c r="AX107" s="501"/>
    </row>
    <row r="108" spans="2:50">
      <c r="B108" s="498"/>
      <c r="C108" s="498" t="str">
        <f>IF(intervencao1=0,"Do not fill",intervencao1)</f>
        <v>PET-CT</v>
      </c>
      <c r="D108" s="498" t="str">
        <f>IF(intervencao2=0,"Do not fill",intervencao2)</f>
        <v>Do not fill</v>
      </c>
      <c r="E108" s="498" t="str">
        <f>IF(intervencao3=0,"Do not fill",intervencao3)</f>
        <v>Do not fill</v>
      </c>
      <c r="F108" s="498" t="str">
        <f>IF(intervencao4=0,"Do not fill",intervencao4)</f>
        <v>Do not fill</v>
      </c>
      <c r="G108" s="498" t="str">
        <f>IF(comparador1=0,"Do not fill",comparador1)</f>
        <v>CT scan + scintigraphy</v>
      </c>
      <c r="H108" s="498" t="str">
        <f>IF(comparador2=0,"Do not fill",comparador2)</f>
        <v>Do not fill</v>
      </c>
      <c r="I108" s="498" t="str">
        <f>IF(comparador3=0,"Do not fill",comparador3)</f>
        <v>Do not fill</v>
      </c>
      <c r="J108" s="498" t="str">
        <f>IF(comparador4=0,"Do not fill",comparador4)</f>
        <v>Do not fill</v>
      </c>
      <c r="K108" s="498" t="str">
        <f>IF(comparador5=0,"Do not fill",comparador5)</f>
        <v>Do not fill</v>
      </c>
      <c r="L108" s="498" t="str">
        <f>IF(comparador6=0,"Do not fill",comparador6)</f>
        <v>Do not fill</v>
      </c>
      <c r="M108" s="498" t="str">
        <f>IF(comparador7=0,"Do not fill",comparador7)</f>
        <v>Do not fill</v>
      </c>
      <c r="N108" s="498" t="str">
        <f>IF(comparador8=0,"Do not fill",comparador8)</f>
        <v>Do not fill</v>
      </c>
      <c r="O108" s="498" t="str">
        <f>IF(comparador9=0,"Do not fill",comparador9)</f>
        <v>Do not fill</v>
      </c>
      <c r="P108" s="498" t="str">
        <f>IF(comparador10=0,"Do not fill",comparador10)</f>
        <v>Do not fill</v>
      </c>
      <c r="R108" s="498"/>
      <c r="S108" s="498" t="str">
        <f>IF(intervencao1=0,"Do not fill",intervencao1)</f>
        <v>PET-CT</v>
      </c>
      <c r="T108" s="498" t="str">
        <f>IF(intervencao2=0,"Do not fill",intervencao2)</f>
        <v>Do not fill</v>
      </c>
      <c r="U108" s="498" t="str">
        <f>IF(intervencao3=0,"Do not fill",intervencao3)</f>
        <v>Do not fill</v>
      </c>
      <c r="V108" s="498" t="str">
        <f>IF(intervencao4=0,"Do not fill",intervencao4)</f>
        <v>Do not fill</v>
      </c>
      <c r="W108" s="498" t="str">
        <f>IF(comparador1=0,"Do not fill",comparador1)</f>
        <v>CT scan + scintigraphy</v>
      </c>
      <c r="X108" s="498" t="str">
        <f>IF(comparador2=0,"Do not fill",comparador2)</f>
        <v>Do not fill</v>
      </c>
      <c r="Y108" s="498" t="str">
        <f>IF(comparador3=0,"Do not fill",comparador3)</f>
        <v>Do not fill</v>
      </c>
      <c r="Z108" s="498" t="str">
        <f>IF(comparador4=0,"Do not fill",comparador4)</f>
        <v>Do not fill</v>
      </c>
      <c r="AA108" s="498" t="str">
        <f>IF(comparador5=0,"Do not fill",comparador5)</f>
        <v>Do not fill</v>
      </c>
      <c r="AB108" s="498" t="str">
        <f>IF(comparador6=0,"Do not fill",comparador6)</f>
        <v>Do not fill</v>
      </c>
      <c r="AC108" s="498" t="str">
        <f>IF(comparador7=0,"Do not fill",comparador7)</f>
        <v>Do not fill</v>
      </c>
      <c r="AD108" s="498" t="str">
        <f>IF(comparador8=0,"Do not fill",comparador8)</f>
        <v>Do not fill</v>
      </c>
      <c r="AE108" s="498" t="str">
        <f>IF(comparador9=0,"Do not fill",comparador9)</f>
        <v>Do not fill</v>
      </c>
      <c r="AF108" s="498" t="str">
        <f>IF(comparador10=0,"Do not fill",comparador10)</f>
        <v>Do not fill</v>
      </c>
      <c r="AJ108" s="220"/>
      <c r="AK108" s="221" t="str">
        <f>IF(intervencao1=0,"Do not fill",intervencao1)</f>
        <v>PET-CT</v>
      </c>
      <c r="AL108" s="221" t="str">
        <f>IF(intervencao2=0,"Do not fill",intervencao2)</f>
        <v>Do not fill</v>
      </c>
      <c r="AM108" s="221" t="str">
        <f>IF(intervencao3=0,"Do not fill",intervencao3)</f>
        <v>Do not fill</v>
      </c>
      <c r="AN108" s="221" t="str">
        <f>IF(intervencao4=0,"Do not fill",intervencao4)</f>
        <v>Do not fill</v>
      </c>
      <c r="AO108" s="221" t="str">
        <f>IF(comparador1=0,"Do not fill",comparador1)</f>
        <v>CT scan + scintigraphy</v>
      </c>
      <c r="AP108" s="221" t="str">
        <f>IF(comparador2=0,"Do not fill",comparador2)</f>
        <v>Do not fill</v>
      </c>
      <c r="AQ108" s="221" t="str">
        <f>IF(comparador3=0,"Do not fill",comparador3)</f>
        <v>Do not fill</v>
      </c>
      <c r="AR108" s="221" t="str">
        <f>IF(comparador4=0,"Do not fill",comparador4)</f>
        <v>Do not fill</v>
      </c>
      <c r="AS108" s="221" t="str">
        <f>IF(comparador5=0,"Do not fill",comparador5)</f>
        <v>Do not fill</v>
      </c>
      <c r="AT108" s="221" t="str">
        <f>IF(comparador6=0,"Do not fill",comparador6)</f>
        <v>Do not fill</v>
      </c>
      <c r="AU108" s="221" t="str">
        <f>IF(comparador7=0,"Do not fill",comparador7)</f>
        <v>Do not fill</v>
      </c>
      <c r="AV108" s="221" t="str">
        <f>IF(comparador8=0,"Do not fill",comparador8)</f>
        <v>Do not fill</v>
      </c>
      <c r="AW108" s="221" t="str">
        <f>IF(comparador9=0,"Do not fill",comparador9)</f>
        <v>Do not fill</v>
      </c>
      <c r="AX108" s="222" t="str">
        <f>IF(comparador10=0,"Do not fill",comparador10)</f>
        <v>Do not fill</v>
      </c>
    </row>
    <row r="109" spans="2:50">
      <c r="B109" s="468"/>
      <c r="C109" s="468"/>
      <c r="D109" s="468"/>
      <c r="E109" s="468"/>
      <c r="F109" s="468"/>
      <c r="G109" s="468"/>
      <c r="H109" s="468"/>
      <c r="I109" s="468"/>
      <c r="J109" s="468"/>
      <c r="K109" s="468"/>
      <c r="L109" s="468"/>
      <c r="M109" s="468"/>
      <c r="N109" s="468"/>
      <c r="O109" s="468"/>
      <c r="P109" s="468"/>
      <c r="R109" s="468"/>
      <c r="S109" s="468"/>
      <c r="T109" s="468"/>
      <c r="U109" s="468"/>
      <c r="V109" s="468"/>
      <c r="W109" s="468"/>
      <c r="X109" s="468"/>
      <c r="Y109" s="468"/>
      <c r="Z109" s="468"/>
      <c r="AA109" s="468"/>
      <c r="AB109" s="468"/>
      <c r="AC109" s="468"/>
      <c r="AD109" s="468"/>
      <c r="AE109" s="468"/>
      <c r="AF109" s="468"/>
      <c r="AJ109" s="220" t="s">
        <v>9</v>
      </c>
      <c r="AK109" s="223" t="e">
        <f>LN(2)/'Time on treatment'!$D$113</f>
        <v>#DIV/0!</v>
      </c>
      <c r="AL109" s="223" t="e">
        <f>LN(2)/'Time on treatment'!$D$114</f>
        <v>#DIV/0!</v>
      </c>
      <c r="AM109" s="223" t="e">
        <f>LN(2)/'Time on treatment'!$D$115</f>
        <v>#DIV/0!</v>
      </c>
      <c r="AN109" s="223" t="e">
        <f>LN(2)/'Time on treatment'!$D$116</f>
        <v>#DIV/0!</v>
      </c>
      <c r="AO109" s="223" t="e">
        <f>LN(2)/'Time on treatment'!$D$118</f>
        <v>#DIV/0!</v>
      </c>
      <c r="AP109" s="223" t="e">
        <f>LN(2)/'Time on treatment'!$D$119</f>
        <v>#DIV/0!</v>
      </c>
      <c r="AQ109" s="223" t="e">
        <f>LN(2)/'Time on treatment'!$D$120</f>
        <v>#DIV/0!</v>
      </c>
      <c r="AR109" s="223" t="e">
        <f>LN(2)/'Time on treatment'!$D$121</f>
        <v>#DIV/0!</v>
      </c>
      <c r="AS109" s="223" t="e">
        <f>LN(2)/'Time on treatment'!$D$122</f>
        <v>#DIV/0!</v>
      </c>
      <c r="AT109" s="223" t="e">
        <f>LN(2)/'Time on treatment'!$D$123</f>
        <v>#DIV/0!</v>
      </c>
      <c r="AU109" s="223" t="e">
        <f>LN(2)/'Time on treatment'!$D$124</f>
        <v>#DIV/0!</v>
      </c>
      <c r="AV109" s="223" t="e">
        <f>LN(2)/'Time on treatment'!$D$125</f>
        <v>#DIV/0!</v>
      </c>
      <c r="AW109" s="223" t="e">
        <f>LN(2)/'Time on treatment'!$D$126</f>
        <v>#DIV/0!</v>
      </c>
      <c r="AX109" s="223" t="e">
        <f>LN(2)/'Time on treatment'!$D$127</f>
        <v>#DIV/0!</v>
      </c>
    </row>
    <row r="110" spans="2:50">
      <c r="B110" s="224">
        <v>0</v>
      </c>
      <c r="C110" s="68"/>
      <c r="D110" s="68"/>
      <c r="E110" s="68"/>
      <c r="F110" s="68"/>
      <c r="G110" s="68"/>
      <c r="H110" s="68"/>
      <c r="I110" s="68"/>
      <c r="J110" s="68"/>
      <c r="K110" s="68"/>
      <c r="L110" s="68"/>
      <c r="M110" s="68"/>
      <c r="N110" s="68"/>
      <c r="O110" s="68"/>
      <c r="P110" s="68"/>
      <c r="R110" s="224">
        <v>0</v>
      </c>
      <c r="S110" s="68"/>
      <c r="T110" s="68"/>
      <c r="U110" s="68"/>
      <c r="V110" s="68"/>
      <c r="W110" s="68"/>
      <c r="X110" s="68"/>
      <c r="Y110" s="68"/>
      <c r="Z110" s="68"/>
      <c r="AA110" s="68"/>
      <c r="AB110" s="68"/>
      <c r="AC110" s="68"/>
      <c r="AD110" s="68"/>
      <c r="AE110" s="68"/>
      <c r="AF110" s="68"/>
      <c r="AJ110" s="224">
        <v>0</v>
      </c>
      <c r="AK110" s="225" t="e">
        <f t="shared" ref="AK110:AX110" si="4">EXP(-AK$109*$AJ110)</f>
        <v>#DIV/0!</v>
      </c>
      <c r="AL110" s="225" t="e">
        <f t="shared" si="4"/>
        <v>#DIV/0!</v>
      </c>
      <c r="AM110" s="225" t="e">
        <f t="shared" si="4"/>
        <v>#DIV/0!</v>
      </c>
      <c r="AN110" s="225" t="e">
        <f t="shared" si="4"/>
        <v>#DIV/0!</v>
      </c>
      <c r="AO110" s="225" t="e">
        <f t="shared" si="4"/>
        <v>#DIV/0!</v>
      </c>
      <c r="AP110" s="225" t="e">
        <f t="shared" si="4"/>
        <v>#DIV/0!</v>
      </c>
      <c r="AQ110" s="225" t="e">
        <f t="shared" si="4"/>
        <v>#DIV/0!</v>
      </c>
      <c r="AR110" s="225" t="e">
        <f t="shared" si="4"/>
        <v>#DIV/0!</v>
      </c>
      <c r="AS110" s="225" t="e">
        <f t="shared" si="4"/>
        <v>#DIV/0!</v>
      </c>
      <c r="AT110" s="225" t="e">
        <f t="shared" si="4"/>
        <v>#DIV/0!</v>
      </c>
      <c r="AU110" s="225" t="e">
        <f t="shared" si="4"/>
        <v>#DIV/0!</v>
      </c>
      <c r="AV110" s="225" t="e">
        <f t="shared" si="4"/>
        <v>#DIV/0!</v>
      </c>
      <c r="AW110" s="225" t="e">
        <f t="shared" si="4"/>
        <v>#DIV/0!</v>
      </c>
      <c r="AX110" s="226" t="e">
        <f t="shared" si="4"/>
        <v>#DIV/0!</v>
      </c>
    </row>
    <row r="111" spans="2:50">
      <c r="B111" s="220">
        <v>1</v>
      </c>
      <c r="C111" s="61"/>
      <c r="D111" s="61"/>
      <c r="E111" s="61"/>
      <c r="F111" s="61"/>
      <c r="G111" s="61"/>
      <c r="H111" s="61"/>
      <c r="I111" s="61"/>
      <c r="J111" s="61"/>
      <c r="K111" s="61"/>
      <c r="L111" s="61"/>
      <c r="M111" s="61"/>
      <c r="N111" s="61"/>
      <c r="O111" s="61"/>
      <c r="P111" s="61"/>
      <c r="R111" s="220">
        <v>1</v>
      </c>
      <c r="S111" s="61"/>
      <c r="T111" s="61"/>
      <c r="U111" s="61"/>
      <c r="V111" s="61"/>
      <c r="W111" s="61"/>
      <c r="X111" s="61"/>
      <c r="Y111" s="61"/>
      <c r="Z111" s="61"/>
      <c r="AA111" s="61"/>
      <c r="AB111" s="61"/>
      <c r="AC111" s="61"/>
      <c r="AD111" s="61"/>
      <c r="AE111" s="61"/>
      <c r="AF111" s="61"/>
      <c r="AJ111" s="220">
        <v>1</v>
      </c>
      <c r="AK111" s="225" t="e">
        <f t="shared" ref="AK111:AX158" si="5">EXP(-AK$109*$AJ111)</f>
        <v>#DIV/0!</v>
      </c>
      <c r="AL111" s="225" t="e">
        <f t="shared" si="5"/>
        <v>#DIV/0!</v>
      </c>
      <c r="AM111" s="225" t="e">
        <f t="shared" si="5"/>
        <v>#DIV/0!</v>
      </c>
      <c r="AN111" s="225" t="e">
        <f t="shared" si="5"/>
        <v>#DIV/0!</v>
      </c>
      <c r="AO111" s="225" t="e">
        <f t="shared" si="5"/>
        <v>#DIV/0!</v>
      </c>
      <c r="AP111" s="225" t="e">
        <f t="shared" si="5"/>
        <v>#DIV/0!</v>
      </c>
      <c r="AQ111" s="225" t="e">
        <f t="shared" si="5"/>
        <v>#DIV/0!</v>
      </c>
      <c r="AR111" s="225" t="e">
        <f t="shared" si="5"/>
        <v>#DIV/0!</v>
      </c>
      <c r="AS111" s="225" t="e">
        <f t="shared" si="5"/>
        <v>#DIV/0!</v>
      </c>
      <c r="AT111" s="225" t="e">
        <f t="shared" si="5"/>
        <v>#DIV/0!</v>
      </c>
      <c r="AU111" s="225" t="e">
        <f t="shared" si="5"/>
        <v>#DIV/0!</v>
      </c>
      <c r="AV111" s="225" t="e">
        <f t="shared" si="5"/>
        <v>#DIV/0!</v>
      </c>
      <c r="AW111" s="225" t="e">
        <f t="shared" si="5"/>
        <v>#DIV/0!</v>
      </c>
      <c r="AX111" s="226" t="e">
        <f t="shared" si="5"/>
        <v>#DIV/0!</v>
      </c>
    </row>
    <row r="112" spans="2:50">
      <c r="B112" s="220">
        <v>2</v>
      </c>
      <c r="C112" s="61"/>
      <c r="D112" s="61"/>
      <c r="E112" s="61"/>
      <c r="F112" s="61"/>
      <c r="G112" s="61"/>
      <c r="H112" s="61"/>
      <c r="I112" s="61"/>
      <c r="J112" s="61"/>
      <c r="K112" s="61"/>
      <c r="L112" s="61"/>
      <c r="M112" s="61"/>
      <c r="N112" s="61"/>
      <c r="O112" s="61"/>
      <c r="P112" s="61"/>
      <c r="R112" s="220">
        <v>2</v>
      </c>
      <c r="S112" s="68"/>
      <c r="T112" s="68"/>
      <c r="U112" s="68"/>
      <c r="V112" s="68"/>
      <c r="W112" s="68"/>
      <c r="X112" s="68"/>
      <c r="Y112" s="68"/>
      <c r="Z112" s="68"/>
      <c r="AA112" s="68"/>
      <c r="AB112" s="68"/>
      <c r="AC112" s="68"/>
      <c r="AD112" s="68"/>
      <c r="AE112" s="68"/>
      <c r="AF112" s="68"/>
      <c r="AJ112" s="220">
        <v>2</v>
      </c>
      <c r="AK112" s="225" t="e">
        <f t="shared" si="5"/>
        <v>#DIV/0!</v>
      </c>
      <c r="AL112" s="225" t="e">
        <f t="shared" si="5"/>
        <v>#DIV/0!</v>
      </c>
      <c r="AM112" s="225" t="e">
        <f t="shared" si="5"/>
        <v>#DIV/0!</v>
      </c>
      <c r="AN112" s="225" t="e">
        <f t="shared" si="5"/>
        <v>#DIV/0!</v>
      </c>
      <c r="AO112" s="225" t="e">
        <f t="shared" si="5"/>
        <v>#DIV/0!</v>
      </c>
      <c r="AP112" s="225" t="e">
        <f t="shared" si="5"/>
        <v>#DIV/0!</v>
      </c>
      <c r="AQ112" s="225" t="e">
        <f t="shared" si="5"/>
        <v>#DIV/0!</v>
      </c>
      <c r="AR112" s="225" t="e">
        <f t="shared" si="5"/>
        <v>#DIV/0!</v>
      </c>
      <c r="AS112" s="225" t="e">
        <f t="shared" si="5"/>
        <v>#DIV/0!</v>
      </c>
      <c r="AT112" s="225" t="e">
        <f t="shared" si="5"/>
        <v>#DIV/0!</v>
      </c>
      <c r="AU112" s="225" t="e">
        <f t="shared" si="5"/>
        <v>#DIV/0!</v>
      </c>
      <c r="AV112" s="225" t="e">
        <f t="shared" si="5"/>
        <v>#DIV/0!</v>
      </c>
      <c r="AW112" s="225" t="e">
        <f t="shared" si="5"/>
        <v>#DIV/0!</v>
      </c>
      <c r="AX112" s="226" t="e">
        <f t="shared" si="5"/>
        <v>#DIV/0!</v>
      </c>
    </row>
    <row r="113" spans="2:50">
      <c r="B113" s="220">
        <v>3</v>
      </c>
      <c r="C113" s="61"/>
      <c r="D113" s="61"/>
      <c r="E113" s="61"/>
      <c r="F113" s="61"/>
      <c r="G113" s="61"/>
      <c r="H113" s="61"/>
      <c r="I113" s="61"/>
      <c r="J113" s="61"/>
      <c r="K113" s="61"/>
      <c r="L113" s="61"/>
      <c r="M113" s="61"/>
      <c r="N113" s="61"/>
      <c r="O113" s="61"/>
      <c r="P113" s="61"/>
      <c r="R113" s="220">
        <v>3</v>
      </c>
      <c r="S113" s="61"/>
      <c r="T113" s="61"/>
      <c r="U113" s="61"/>
      <c r="V113" s="61"/>
      <c r="W113" s="61"/>
      <c r="X113" s="61"/>
      <c r="Y113" s="61"/>
      <c r="Z113" s="61"/>
      <c r="AA113" s="61"/>
      <c r="AB113" s="61"/>
      <c r="AC113" s="61"/>
      <c r="AD113" s="61"/>
      <c r="AE113" s="61"/>
      <c r="AF113" s="61"/>
      <c r="AJ113" s="220">
        <v>3</v>
      </c>
      <c r="AK113" s="225" t="e">
        <f t="shared" si="5"/>
        <v>#DIV/0!</v>
      </c>
      <c r="AL113" s="225" t="e">
        <f t="shared" si="5"/>
        <v>#DIV/0!</v>
      </c>
      <c r="AM113" s="225" t="e">
        <f t="shared" si="5"/>
        <v>#DIV/0!</v>
      </c>
      <c r="AN113" s="225" t="e">
        <f t="shared" si="5"/>
        <v>#DIV/0!</v>
      </c>
      <c r="AO113" s="225" t="e">
        <f t="shared" si="5"/>
        <v>#DIV/0!</v>
      </c>
      <c r="AP113" s="225" t="e">
        <f t="shared" si="5"/>
        <v>#DIV/0!</v>
      </c>
      <c r="AQ113" s="225" t="e">
        <f t="shared" si="5"/>
        <v>#DIV/0!</v>
      </c>
      <c r="AR113" s="225" t="e">
        <f t="shared" si="5"/>
        <v>#DIV/0!</v>
      </c>
      <c r="AS113" s="225" t="e">
        <f t="shared" si="5"/>
        <v>#DIV/0!</v>
      </c>
      <c r="AT113" s="225" t="e">
        <f t="shared" si="5"/>
        <v>#DIV/0!</v>
      </c>
      <c r="AU113" s="225" t="e">
        <f t="shared" si="5"/>
        <v>#DIV/0!</v>
      </c>
      <c r="AV113" s="225" t="e">
        <f t="shared" si="5"/>
        <v>#DIV/0!</v>
      </c>
      <c r="AW113" s="225" t="e">
        <f t="shared" si="5"/>
        <v>#DIV/0!</v>
      </c>
      <c r="AX113" s="226" t="e">
        <f t="shared" si="5"/>
        <v>#DIV/0!</v>
      </c>
    </row>
    <row r="114" spans="2:50">
      <c r="B114" s="220">
        <v>4</v>
      </c>
      <c r="C114" s="68"/>
      <c r="D114" s="68"/>
      <c r="E114" s="68"/>
      <c r="F114" s="68"/>
      <c r="G114" s="68"/>
      <c r="H114" s="68"/>
      <c r="I114" s="68"/>
      <c r="J114" s="68"/>
      <c r="K114" s="68"/>
      <c r="L114" s="68"/>
      <c r="M114" s="68"/>
      <c r="N114" s="68"/>
      <c r="O114" s="68"/>
      <c r="P114" s="68"/>
      <c r="R114" s="220">
        <v>4</v>
      </c>
      <c r="S114" s="68"/>
      <c r="T114" s="68"/>
      <c r="U114" s="68"/>
      <c r="V114" s="68"/>
      <c r="W114" s="68"/>
      <c r="X114" s="68"/>
      <c r="Y114" s="68"/>
      <c r="Z114" s="68"/>
      <c r="AA114" s="68"/>
      <c r="AB114" s="68"/>
      <c r="AC114" s="68"/>
      <c r="AD114" s="68"/>
      <c r="AE114" s="68"/>
      <c r="AF114" s="68"/>
      <c r="AJ114" s="220">
        <v>4</v>
      </c>
      <c r="AK114" s="225" t="e">
        <f t="shared" si="5"/>
        <v>#DIV/0!</v>
      </c>
      <c r="AL114" s="225" t="e">
        <f t="shared" si="5"/>
        <v>#DIV/0!</v>
      </c>
      <c r="AM114" s="225" t="e">
        <f t="shared" si="5"/>
        <v>#DIV/0!</v>
      </c>
      <c r="AN114" s="225" t="e">
        <f t="shared" si="5"/>
        <v>#DIV/0!</v>
      </c>
      <c r="AO114" s="225" t="e">
        <f t="shared" si="5"/>
        <v>#DIV/0!</v>
      </c>
      <c r="AP114" s="225" t="e">
        <f t="shared" si="5"/>
        <v>#DIV/0!</v>
      </c>
      <c r="AQ114" s="225" t="e">
        <f t="shared" si="5"/>
        <v>#DIV/0!</v>
      </c>
      <c r="AR114" s="225" t="e">
        <f t="shared" si="5"/>
        <v>#DIV/0!</v>
      </c>
      <c r="AS114" s="225" t="e">
        <f t="shared" si="5"/>
        <v>#DIV/0!</v>
      </c>
      <c r="AT114" s="225" t="e">
        <f t="shared" si="5"/>
        <v>#DIV/0!</v>
      </c>
      <c r="AU114" s="225" t="e">
        <f t="shared" si="5"/>
        <v>#DIV/0!</v>
      </c>
      <c r="AV114" s="225" t="e">
        <f t="shared" si="5"/>
        <v>#DIV/0!</v>
      </c>
      <c r="AW114" s="225" t="e">
        <f t="shared" si="5"/>
        <v>#DIV/0!</v>
      </c>
      <c r="AX114" s="226" t="e">
        <f t="shared" si="5"/>
        <v>#DIV/0!</v>
      </c>
    </row>
    <row r="115" spans="2:50">
      <c r="B115" s="220">
        <v>5</v>
      </c>
      <c r="C115" s="61"/>
      <c r="D115" s="61"/>
      <c r="E115" s="61"/>
      <c r="F115" s="61"/>
      <c r="G115" s="61"/>
      <c r="H115" s="61"/>
      <c r="I115" s="61"/>
      <c r="J115" s="61"/>
      <c r="K115" s="61"/>
      <c r="L115" s="61"/>
      <c r="M115" s="61"/>
      <c r="N115" s="61"/>
      <c r="O115" s="61"/>
      <c r="P115" s="61"/>
      <c r="R115" s="220">
        <v>5</v>
      </c>
      <c r="S115" s="61"/>
      <c r="T115" s="61"/>
      <c r="U115" s="61"/>
      <c r="V115" s="61"/>
      <c r="W115" s="61"/>
      <c r="X115" s="61"/>
      <c r="Y115" s="61"/>
      <c r="Z115" s="61"/>
      <c r="AA115" s="61"/>
      <c r="AB115" s="61"/>
      <c r="AC115" s="61"/>
      <c r="AD115" s="61"/>
      <c r="AE115" s="61"/>
      <c r="AF115" s="61"/>
      <c r="AJ115" s="220">
        <v>5</v>
      </c>
      <c r="AK115" s="225" t="e">
        <f t="shared" si="5"/>
        <v>#DIV/0!</v>
      </c>
      <c r="AL115" s="225" t="e">
        <f t="shared" si="5"/>
        <v>#DIV/0!</v>
      </c>
      <c r="AM115" s="225" t="e">
        <f t="shared" si="5"/>
        <v>#DIV/0!</v>
      </c>
      <c r="AN115" s="225" t="e">
        <f t="shared" si="5"/>
        <v>#DIV/0!</v>
      </c>
      <c r="AO115" s="225" t="e">
        <f t="shared" si="5"/>
        <v>#DIV/0!</v>
      </c>
      <c r="AP115" s="225" t="e">
        <f t="shared" si="5"/>
        <v>#DIV/0!</v>
      </c>
      <c r="AQ115" s="225" t="e">
        <f t="shared" si="5"/>
        <v>#DIV/0!</v>
      </c>
      <c r="AR115" s="225" t="e">
        <f t="shared" si="5"/>
        <v>#DIV/0!</v>
      </c>
      <c r="AS115" s="225" t="e">
        <f t="shared" si="5"/>
        <v>#DIV/0!</v>
      </c>
      <c r="AT115" s="225" t="e">
        <f t="shared" si="5"/>
        <v>#DIV/0!</v>
      </c>
      <c r="AU115" s="225" t="e">
        <f t="shared" si="5"/>
        <v>#DIV/0!</v>
      </c>
      <c r="AV115" s="225" t="e">
        <f t="shared" si="5"/>
        <v>#DIV/0!</v>
      </c>
      <c r="AW115" s="225" t="e">
        <f t="shared" si="5"/>
        <v>#DIV/0!</v>
      </c>
      <c r="AX115" s="226" t="e">
        <f t="shared" si="5"/>
        <v>#DIV/0!</v>
      </c>
    </row>
    <row r="116" spans="2:50">
      <c r="B116" s="220">
        <v>6</v>
      </c>
      <c r="C116" s="61"/>
      <c r="D116" s="61"/>
      <c r="E116" s="61"/>
      <c r="F116" s="61"/>
      <c r="G116" s="61"/>
      <c r="H116" s="61"/>
      <c r="I116" s="61"/>
      <c r="J116" s="61"/>
      <c r="K116" s="61"/>
      <c r="L116" s="61"/>
      <c r="M116" s="61"/>
      <c r="N116" s="61"/>
      <c r="O116" s="61"/>
      <c r="P116" s="61"/>
      <c r="R116" s="220">
        <v>6</v>
      </c>
      <c r="S116" s="68"/>
      <c r="T116" s="68"/>
      <c r="U116" s="68"/>
      <c r="V116" s="68"/>
      <c r="W116" s="68"/>
      <c r="X116" s="68"/>
      <c r="Y116" s="68"/>
      <c r="Z116" s="68"/>
      <c r="AA116" s="68"/>
      <c r="AB116" s="68"/>
      <c r="AC116" s="68"/>
      <c r="AD116" s="68"/>
      <c r="AE116" s="68"/>
      <c r="AF116" s="68"/>
      <c r="AJ116" s="220">
        <v>6</v>
      </c>
      <c r="AK116" s="225" t="e">
        <f t="shared" si="5"/>
        <v>#DIV/0!</v>
      </c>
      <c r="AL116" s="225" t="e">
        <f t="shared" si="5"/>
        <v>#DIV/0!</v>
      </c>
      <c r="AM116" s="225" t="e">
        <f t="shared" si="5"/>
        <v>#DIV/0!</v>
      </c>
      <c r="AN116" s="225" t="e">
        <f t="shared" si="5"/>
        <v>#DIV/0!</v>
      </c>
      <c r="AO116" s="225" t="e">
        <f t="shared" si="5"/>
        <v>#DIV/0!</v>
      </c>
      <c r="AP116" s="225" t="e">
        <f t="shared" si="5"/>
        <v>#DIV/0!</v>
      </c>
      <c r="AQ116" s="225" t="e">
        <f t="shared" si="5"/>
        <v>#DIV/0!</v>
      </c>
      <c r="AR116" s="225" t="e">
        <f t="shared" si="5"/>
        <v>#DIV/0!</v>
      </c>
      <c r="AS116" s="225" t="e">
        <f t="shared" si="5"/>
        <v>#DIV/0!</v>
      </c>
      <c r="AT116" s="225" t="e">
        <f t="shared" si="5"/>
        <v>#DIV/0!</v>
      </c>
      <c r="AU116" s="225" t="e">
        <f t="shared" si="5"/>
        <v>#DIV/0!</v>
      </c>
      <c r="AV116" s="225" t="e">
        <f t="shared" si="5"/>
        <v>#DIV/0!</v>
      </c>
      <c r="AW116" s="225" t="e">
        <f t="shared" si="5"/>
        <v>#DIV/0!</v>
      </c>
      <c r="AX116" s="226" t="e">
        <f t="shared" si="5"/>
        <v>#DIV/0!</v>
      </c>
    </row>
    <row r="117" spans="2:50">
      <c r="B117" s="220">
        <v>7</v>
      </c>
      <c r="C117" s="61"/>
      <c r="D117" s="61"/>
      <c r="E117" s="61"/>
      <c r="F117" s="61"/>
      <c r="G117" s="61"/>
      <c r="H117" s="61"/>
      <c r="I117" s="61"/>
      <c r="J117" s="61"/>
      <c r="K117" s="61"/>
      <c r="L117" s="61"/>
      <c r="M117" s="61"/>
      <c r="N117" s="61"/>
      <c r="O117" s="61"/>
      <c r="P117" s="61"/>
      <c r="R117" s="220">
        <v>7</v>
      </c>
      <c r="S117" s="61"/>
      <c r="T117" s="61"/>
      <c r="U117" s="61"/>
      <c r="V117" s="61"/>
      <c r="W117" s="61"/>
      <c r="X117" s="61"/>
      <c r="Y117" s="61"/>
      <c r="Z117" s="61"/>
      <c r="AA117" s="61"/>
      <c r="AB117" s="61"/>
      <c r="AC117" s="61"/>
      <c r="AD117" s="61"/>
      <c r="AE117" s="61"/>
      <c r="AF117" s="61"/>
      <c r="AJ117" s="220">
        <v>7</v>
      </c>
      <c r="AK117" s="225" t="e">
        <f t="shared" si="5"/>
        <v>#DIV/0!</v>
      </c>
      <c r="AL117" s="225" t="e">
        <f t="shared" si="5"/>
        <v>#DIV/0!</v>
      </c>
      <c r="AM117" s="225" t="e">
        <f t="shared" si="5"/>
        <v>#DIV/0!</v>
      </c>
      <c r="AN117" s="225" t="e">
        <f t="shared" si="5"/>
        <v>#DIV/0!</v>
      </c>
      <c r="AO117" s="225" t="e">
        <f t="shared" si="5"/>
        <v>#DIV/0!</v>
      </c>
      <c r="AP117" s="225" t="e">
        <f t="shared" si="5"/>
        <v>#DIV/0!</v>
      </c>
      <c r="AQ117" s="225" t="e">
        <f t="shared" si="5"/>
        <v>#DIV/0!</v>
      </c>
      <c r="AR117" s="225" t="e">
        <f t="shared" si="5"/>
        <v>#DIV/0!</v>
      </c>
      <c r="AS117" s="225" t="e">
        <f t="shared" si="5"/>
        <v>#DIV/0!</v>
      </c>
      <c r="AT117" s="225" t="e">
        <f t="shared" si="5"/>
        <v>#DIV/0!</v>
      </c>
      <c r="AU117" s="225" t="e">
        <f t="shared" si="5"/>
        <v>#DIV/0!</v>
      </c>
      <c r="AV117" s="225" t="e">
        <f t="shared" si="5"/>
        <v>#DIV/0!</v>
      </c>
      <c r="AW117" s="225" t="e">
        <f t="shared" si="5"/>
        <v>#DIV/0!</v>
      </c>
      <c r="AX117" s="226" t="e">
        <f t="shared" si="5"/>
        <v>#DIV/0!</v>
      </c>
    </row>
    <row r="118" spans="2:50">
      <c r="B118" s="220">
        <v>8</v>
      </c>
      <c r="C118" s="68"/>
      <c r="D118" s="68"/>
      <c r="E118" s="68"/>
      <c r="F118" s="68"/>
      <c r="G118" s="68"/>
      <c r="H118" s="68"/>
      <c r="I118" s="68"/>
      <c r="J118" s="68"/>
      <c r="K118" s="68"/>
      <c r="L118" s="68"/>
      <c r="M118" s="68"/>
      <c r="N118" s="68"/>
      <c r="O118" s="68"/>
      <c r="P118" s="68"/>
      <c r="R118" s="220">
        <v>8</v>
      </c>
      <c r="S118" s="68"/>
      <c r="T118" s="68"/>
      <c r="U118" s="68"/>
      <c r="V118" s="68"/>
      <c r="W118" s="68"/>
      <c r="X118" s="68"/>
      <c r="Y118" s="68"/>
      <c r="Z118" s="68"/>
      <c r="AA118" s="68"/>
      <c r="AB118" s="68"/>
      <c r="AC118" s="68"/>
      <c r="AD118" s="68"/>
      <c r="AE118" s="68"/>
      <c r="AF118" s="68"/>
      <c r="AJ118" s="220">
        <v>8</v>
      </c>
      <c r="AK118" s="225" t="e">
        <f t="shared" si="5"/>
        <v>#DIV/0!</v>
      </c>
      <c r="AL118" s="225" t="e">
        <f t="shared" si="5"/>
        <v>#DIV/0!</v>
      </c>
      <c r="AM118" s="225" t="e">
        <f t="shared" si="5"/>
        <v>#DIV/0!</v>
      </c>
      <c r="AN118" s="225" t="e">
        <f t="shared" si="5"/>
        <v>#DIV/0!</v>
      </c>
      <c r="AO118" s="225" t="e">
        <f t="shared" si="5"/>
        <v>#DIV/0!</v>
      </c>
      <c r="AP118" s="225" t="e">
        <f t="shared" si="5"/>
        <v>#DIV/0!</v>
      </c>
      <c r="AQ118" s="225" t="e">
        <f t="shared" si="5"/>
        <v>#DIV/0!</v>
      </c>
      <c r="AR118" s="225" t="e">
        <f t="shared" si="5"/>
        <v>#DIV/0!</v>
      </c>
      <c r="AS118" s="225" t="e">
        <f t="shared" si="5"/>
        <v>#DIV/0!</v>
      </c>
      <c r="AT118" s="225" t="e">
        <f t="shared" si="5"/>
        <v>#DIV/0!</v>
      </c>
      <c r="AU118" s="225" t="e">
        <f t="shared" si="5"/>
        <v>#DIV/0!</v>
      </c>
      <c r="AV118" s="225" t="e">
        <f t="shared" si="5"/>
        <v>#DIV/0!</v>
      </c>
      <c r="AW118" s="225" t="e">
        <f t="shared" si="5"/>
        <v>#DIV/0!</v>
      </c>
      <c r="AX118" s="226" t="e">
        <f t="shared" si="5"/>
        <v>#DIV/0!</v>
      </c>
    </row>
    <row r="119" spans="2:50">
      <c r="B119" s="220">
        <v>9</v>
      </c>
      <c r="C119" s="61"/>
      <c r="D119" s="61"/>
      <c r="E119" s="61"/>
      <c r="F119" s="61"/>
      <c r="G119" s="61"/>
      <c r="H119" s="61"/>
      <c r="I119" s="61"/>
      <c r="J119" s="61"/>
      <c r="K119" s="61"/>
      <c r="L119" s="61"/>
      <c r="M119" s="61"/>
      <c r="N119" s="61"/>
      <c r="O119" s="61"/>
      <c r="P119" s="61"/>
      <c r="R119" s="220">
        <v>9</v>
      </c>
      <c r="S119" s="61"/>
      <c r="T119" s="61"/>
      <c r="U119" s="61"/>
      <c r="V119" s="61"/>
      <c r="W119" s="61"/>
      <c r="X119" s="61"/>
      <c r="Y119" s="61"/>
      <c r="Z119" s="61"/>
      <c r="AA119" s="61"/>
      <c r="AB119" s="61"/>
      <c r="AC119" s="61"/>
      <c r="AD119" s="61"/>
      <c r="AE119" s="61"/>
      <c r="AF119" s="61"/>
      <c r="AJ119" s="220">
        <v>9</v>
      </c>
      <c r="AK119" s="225" t="e">
        <f t="shared" si="5"/>
        <v>#DIV/0!</v>
      </c>
      <c r="AL119" s="225" t="e">
        <f t="shared" si="5"/>
        <v>#DIV/0!</v>
      </c>
      <c r="AM119" s="225" t="e">
        <f t="shared" si="5"/>
        <v>#DIV/0!</v>
      </c>
      <c r="AN119" s="225" t="e">
        <f t="shared" si="5"/>
        <v>#DIV/0!</v>
      </c>
      <c r="AO119" s="225" t="e">
        <f t="shared" si="5"/>
        <v>#DIV/0!</v>
      </c>
      <c r="AP119" s="225" t="e">
        <f t="shared" si="5"/>
        <v>#DIV/0!</v>
      </c>
      <c r="AQ119" s="225" t="e">
        <f t="shared" si="5"/>
        <v>#DIV/0!</v>
      </c>
      <c r="AR119" s="225" t="e">
        <f t="shared" si="5"/>
        <v>#DIV/0!</v>
      </c>
      <c r="AS119" s="225" t="e">
        <f t="shared" si="5"/>
        <v>#DIV/0!</v>
      </c>
      <c r="AT119" s="225" t="e">
        <f t="shared" si="5"/>
        <v>#DIV/0!</v>
      </c>
      <c r="AU119" s="225" t="e">
        <f t="shared" si="5"/>
        <v>#DIV/0!</v>
      </c>
      <c r="AV119" s="225" t="e">
        <f t="shared" si="5"/>
        <v>#DIV/0!</v>
      </c>
      <c r="AW119" s="225" t="e">
        <f t="shared" si="5"/>
        <v>#DIV/0!</v>
      </c>
      <c r="AX119" s="226" t="e">
        <f t="shared" si="5"/>
        <v>#DIV/0!</v>
      </c>
    </row>
    <row r="120" spans="2:50">
      <c r="B120" s="220">
        <v>10</v>
      </c>
      <c r="C120" s="61"/>
      <c r="D120" s="61"/>
      <c r="E120" s="61"/>
      <c r="F120" s="61"/>
      <c r="G120" s="61"/>
      <c r="H120" s="61"/>
      <c r="I120" s="61"/>
      <c r="J120" s="61"/>
      <c r="K120" s="61"/>
      <c r="L120" s="61"/>
      <c r="M120" s="61"/>
      <c r="N120" s="61"/>
      <c r="O120" s="61"/>
      <c r="P120" s="61"/>
      <c r="R120" s="220">
        <v>10</v>
      </c>
      <c r="S120" s="68"/>
      <c r="T120" s="68"/>
      <c r="U120" s="68"/>
      <c r="V120" s="68"/>
      <c r="W120" s="68"/>
      <c r="X120" s="68"/>
      <c r="Y120" s="68"/>
      <c r="Z120" s="68"/>
      <c r="AA120" s="68"/>
      <c r="AB120" s="68"/>
      <c r="AC120" s="68"/>
      <c r="AD120" s="68"/>
      <c r="AE120" s="68"/>
      <c r="AF120" s="68"/>
      <c r="AJ120" s="220">
        <v>10</v>
      </c>
      <c r="AK120" s="225" t="e">
        <f t="shared" si="5"/>
        <v>#DIV/0!</v>
      </c>
      <c r="AL120" s="225" t="e">
        <f t="shared" si="5"/>
        <v>#DIV/0!</v>
      </c>
      <c r="AM120" s="225" t="e">
        <f t="shared" si="5"/>
        <v>#DIV/0!</v>
      </c>
      <c r="AN120" s="225" t="e">
        <f t="shared" si="5"/>
        <v>#DIV/0!</v>
      </c>
      <c r="AO120" s="225" t="e">
        <f t="shared" si="5"/>
        <v>#DIV/0!</v>
      </c>
      <c r="AP120" s="225" t="e">
        <f t="shared" si="5"/>
        <v>#DIV/0!</v>
      </c>
      <c r="AQ120" s="225" t="e">
        <f t="shared" si="5"/>
        <v>#DIV/0!</v>
      </c>
      <c r="AR120" s="225" t="e">
        <f t="shared" si="5"/>
        <v>#DIV/0!</v>
      </c>
      <c r="AS120" s="225" t="e">
        <f t="shared" si="5"/>
        <v>#DIV/0!</v>
      </c>
      <c r="AT120" s="225" t="e">
        <f t="shared" si="5"/>
        <v>#DIV/0!</v>
      </c>
      <c r="AU120" s="225" t="e">
        <f t="shared" si="5"/>
        <v>#DIV/0!</v>
      </c>
      <c r="AV120" s="225" t="e">
        <f t="shared" si="5"/>
        <v>#DIV/0!</v>
      </c>
      <c r="AW120" s="225" t="e">
        <f t="shared" si="5"/>
        <v>#DIV/0!</v>
      </c>
      <c r="AX120" s="226" t="e">
        <f t="shared" si="5"/>
        <v>#DIV/0!</v>
      </c>
    </row>
    <row r="121" spans="2:50">
      <c r="B121" s="224">
        <v>11</v>
      </c>
      <c r="C121" s="61"/>
      <c r="D121" s="61"/>
      <c r="E121" s="61"/>
      <c r="F121" s="61"/>
      <c r="G121" s="61"/>
      <c r="H121" s="61"/>
      <c r="I121" s="61"/>
      <c r="J121" s="61"/>
      <c r="K121" s="61"/>
      <c r="L121" s="61"/>
      <c r="M121" s="61"/>
      <c r="N121" s="61"/>
      <c r="O121" s="61"/>
      <c r="P121" s="61"/>
      <c r="R121" s="224">
        <v>11</v>
      </c>
      <c r="S121" s="61"/>
      <c r="T121" s="61"/>
      <c r="U121" s="61"/>
      <c r="V121" s="61"/>
      <c r="W121" s="61"/>
      <c r="X121" s="61"/>
      <c r="Y121" s="61"/>
      <c r="Z121" s="61"/>
      <c r="AA121" s="61"/>
      <c r="AB121" s="61"/>
      <c r="AC121" s="61"/>
      <c r="AD121" s="61"/>
      <c r="AE121" s="61"/>
      <c r="AF121" s="61"/>
      <c r="AJ121" s="224">
        <v>11</v>
      </c>
      <c r="AK121" s="225" t="e">
        <f t="shared" si="5"/>
        <v>#DIV/0!</v>
      </c>
      <c r="AL121" s="225" t="e">
        <f t="shared" si="5"/>
        <v>#DIV/0!</v>
      </c>
      <c r="AM121" s="225" t="e">
        <f t="shared" si="5"/>
        <v>#DIV/0!</v>
      </c>
      <c r="AN121" s="225" t="e">
        <f t="shared" si="5"/>
        <v>#DIV/0!</v>
      </c>
      <c r="AO121" s="225" t="e">
        <f t="shared" si="5"/>
        <v>#DIV/0!</v>
      </c>
      <c r="AP121" s="225" t="e">
        <f t="shared" si="5"/>
        <v>#DIV/0!</v>
      </c>
      <c r="AQ121" s="225" t="e">
        <f t="shared" si="5"/>
        <v>#DIV/0!</v>
      </c>
      <c r="AR121" s="225" t="e">
        <f t="shared" si="5"/>
        <v>#DIV/0!</v>
      </c>
      <c r="AS121" s="225" t="e">
        <f t="shared" si="5"/>
        <v>#DIV/0!</v>
      </c>
      <c r="AT121" s="225" t="e">
        <f t="shared" si="5"/>
        <v>#DIV/0!</v>
      </c>
      <c r="AU121" s="225" t="e">
        <f t="shared" si="5"/>
        <v>#DIV/0!</v>
      </c>
      <c r="AV121" s="225" t="e">
        <f t="shared" si="5"/>
        <v>#DIV/0!</v>
      </c>
      <c r="AW121" s="225" t="e">
        <f t="shared" si="5"/>
        <v>#DIV/0!</v>
      </c>
      <c r="AX121" s="226" t="e">
        <f t="shared" si="5"/>
        <v>#DIV/0!</v>
      </c>
    </row>
    <row r="122" spans="2:50">
      <c r="B122" s="224">
        <v>12</v>
      </c>
      <c r="C122" s="68"/>
      <c r="D122" s="68"/>
      <c r="E122" s="68"/>
      <c r="F122" s="68"/>
      <c r="G122" s="68"/>
      <c r="H122" s="68"/>
      <c r="I122" s="68"/>
      <c r="J122" s="68"/>
      <c r="K122" s="68"/>
      <c r="L122" s="68"/>
      <c r="M122" s="68"/>
      <c r="N122" s="68"/>
      <c r="O122" s="68"/>
      <c r="P122" s="68"/>
      <c r="Q122" s="229"/>
      <c r="R122" s="224">
        <v>12</v>
      </c>
      <c r="S122" s="68"/>
      <c r="T122" s="68"/>
      <c r="U122" s="68"/>
      <c r="V122" s="68"/>
      <c r="W122" s="68"/>
      <c r="X122" s="68"/>
      <c r="Y122" s="68"/>
      <c r="Z122" s="68"/>
      <c r="AA122" s="68"/>
      <c r="AB122" s="68"/>
      <c r="AC122" s="68"/>
      <c r="AD122" s="68"/>
      <c r="AE122" s="68"/>
      <c r="AF122" s="68"/>
      <c r="AG122" s="229"/>
      <c r="AH122" s="229"/>
      <c r="AI122" s="229"/>
      <c r="AJ122" s="224">
        <v>12</v>
      </c>
      <c r="AK122" s="225" t="e">
        <f t="shared" si="5"/>
        <v>#DIV/0!</v>
      </c>
      <c r="AL122" s="225" t="e">
        <f t="shared" si="5"/>
        <v>#DIV/0!</v>
      </c>
      <c r="AM122" s="225" t="e">
        <f t="shared" si="5"/>
        <v>#DIV/0!</v>
      </c>
      <c r="AN122" s="225" t="e">
        <f t="shared" si="5"/>
        <v>#DIV/0!</v>
      </c>
      <c r="AO122" s="225" t="e">
        <f t="shared" si="5"/>
        <v>#DIV/0!</v>
      </c>
      <c r="AP122" s="225" t="e">
        <f t="shared" ref="AP122:AX150" si="6">EXP(-AP$109*$AJ122)</f>
        <v>#DIV/0!</v>
      </c>
      <c r="AQ122" s="225" t="e">
        <f t="shared" si="6"/>
        <v>#DIV/0!</v>
      </c>
      <c r="AR122" s="225" t="e">
        <f t="shared" si="6"/>
        <v>#DIV/0!</v>
      </c>
      <c r="AS122" s="225" t="e">
        <f t="shared" si="6"/>
        <v>#DIV/0!</v>
      </c>
      <c r="AT122" s="225" t="e">
        <f t="shared" si="6"/>
        <v>#DIV/0!</v>
      </c>
      <c r="AU122" s="225" t="e">
        <f t="shared" si="6"/>
        <v>#DIV/0!</v>
      </c>
      <c r="AV122" s="225" t="e">
        <f t="shared" si="6"/>
        <v>#DIV/0!</v>
      </c>
      <c r="AW122" s="225" t="e">
        <f t="shared" si="6"/>
        <v>#DIV/0!</v>
      </c>
      <c r="AX122" s="226" t="e">
        <f t="shared" si="6"/>
        <v>#DIV/0!</v>
      </c>
    </row>
    <row r="123" spans="2:50">
      <c r="B123" s="220">
        <v>13</v>
      </c>
      <c r="C123" s="61"/>
      <c r="D123" s="61"/>
      <c r="E123" s="61"/>
      <c r="F123" s="61"/>
      <c r="G123" s="61"/>
      <c r="H123" s="61"/>
      <c r="I123" s="61"/>
      <c r="J123" s="61"/>
      <c r="K123" s="61"/>
      <c r="L123" s="61"/>
      <c r="M123" s="61"/>
      <c r="N123" s="61"/>
      <c r="O123" s="61"/>
      <c r="P123" s="61"/>
      <c r="R123" s="220">
        <v>13</v>
      </c>
      <c r="S123" s="61"/>
      <c r="T123" s="61"/>
      <c r="U123" s="61"/>
      <c r="V123" s="61"/>
      <c r="W123" s="61"/>
      <c r="X123" s="61"/>
      <c r="Y123" s="61"/>
      <c r="Z123" s="61"/>
      <c r="AA123" s="61"/>
      <c r="AB123" s="61"/>
      <c r="AC123" s="61"/>
      <c r="AD123" s="61"/>
      <c r="AE123" s="61"/>
      <c r="AF123" s="61"/>
      <c r="AJ123" s="220">
        <v>13</v>
      </c>
      <c r="AK123" s="225" t="e">
        <f t="shared" si="5"/>
        <v>#DIV/0!</v>
      </c>
      <c r="AL123" s="225" t="e">
        <f t="shared" si="5"/>
        <v>#DIV/0!</v>
      </c>
      <c r="AM123" s="225" t="e">
        <f t="shared" ref="AM123:AR158" si="7">EXP(-AM$109*$AJ123)</f>
        <v>#DIV/0!</v>
      </c>
      <c r="AN123" s="225" t="e">
        <f t="shared" si="7"/>
        <v>#DIV/0!</v>
      </c>
      <c r="AO123" s="225" t="e">
        <f t="shared" si="7"/>
        <v>#DIV/0!</v>
      </c>
      <c r="AP123" s="225" t="e">
        <f t="shared" si="6"/>
        <v>#DIV/0!</v>
      </c>
      <c r="AQ123" s="225" t="e">
        <f t="shared" si="6"/>
        <v>#DIV/0!</v>
      </c>
      <c r="AR123" s="225" t="e">
        <f t="shared" si="6"/>
        <v>#DIV/0!</v>
      </c>
      <c r="AS123" s="225" t="e">
        <f t="shared" si="6"/>
        <v>#DIV/0!</v>
      </c>
      <c r="AT123" s="225" t="e">
        <f t="shared" si="6"/>
        <v>#DIV/0!</v>
      </c>
      <c r="AU123" s="225" t="e">
        <f t="shared" si="6"/>
        <v>#DIV/0!</v>
      </c>
      <c r="AV123" s="225" t="e">
        <f t="shared" si="6"/>
        <v>#DIV/0!</v>
      </c>
      <c r="AW123" s="225" t="e">
        <f t="shared" si="6"/>
        <v>#DIV/0!</v>
      </c>
      <c r="AX123" s="226" t="e">
        <f t="shared" si="6"/>
        <v>#DIV/0!</v>
      </c>
    </row>
    <row r="124" spans="2:50">
      <c r="B124" s="220">
        <v>14</v>
      </c>
      <c r="C124" s="61"/>
      <c r="D124" s="61"/>
      <c r="E124" s="61"/>
      <c r="F124" s="61"/>
      <c r="G124" s="61"/>
      <c r="H124" s="61"/>
      <c r="I124" s="61"/>
      <c r="J124" s="61"/>
      <c r="K124" s="61"/>
      <c r="L124" s="61"/>
      <c r="M124" s="61"/>
      <c r="N124" s="61"/>
      <c r="O124" s="61"/>
      <c r="P124" s="61"/>
      <c r="R124" s="220">
        <v>14</v>
      </c>
      <c r="S124" s="68"/>
      <c r="T124" s="68"/>
      <c r="U124" s="68"/>
      <c r="V124" s="68"/>
      <c r="W124" s="68"/>
      <c r="X124" s="68"/>
      <c r="Y124" s="68"/>
      <c r="Z124" s="68"/>
      <c r="AA124" s="68"/>
      <c r="AB124" s="68"/>
      <c r="AC124" s="68"/>
      <c r="AD124" s="68"/>
      <c r="AE124" s="68"/>
      <c r="AF124" s="68"/>
      <c r="AJ124" s="220">
        <v>14</v>
      </c>
      <c r="AK124" s="225" t="e">
        <f t="shared" si="5"/>
        <v>#DIV/0!</v>
      </c>
      <c r="AL124" s="225" t="e">
        <f t="shared" si="5"/>
        <v>#DIV/0!</v>
      </c>
      <c r="AM124" s="225" t="e">
        <f t="shared" si="7"/>
        <v>#DIV/0!</v>
      </c>
      <c r="AN124" s="225" t="e">
        <f t="shared" si="7"/>
        <v>#DIV/0!</v>
      </c>
      <c r="AO124" s="225" t="e">
        <f t="shared" si="7"/>
        <v>#DIV/0!</v>
      </c>
      <c r="AP124" s="225" t="e">
        <f t="shared" si="6"/>
        <v>#DIV/0!</v>
      </c>
      <c r="AQ124" s="225" t="e">
        <f t="shared" si="6"/>
        <v>#DIV/0!</v>
      </c>
      <c r="AR124" s="225" t="e">
        <f t="shared" si="6"/>
        <v>#DIV/0!</v>
      </c>
      <c r="AS124" s="225" t="e">
        <f t="shared" si="6"/>
        <v>#DIV/0!</v>
      </c>
      <c r="AT124" s="225" t="e">
        <f t="shared" si="6"/>
        <v>#DIV/0!</v>
      </c>
      <c r="AU124" s="225" t="e">
        <f t="shared" si="6"/>
        <v>#DIV/0!</v>
      </c>
      <c r="AV124" s="225" t="e">
        <f t="shared" si="6"/>
        <v>#DIV/0!</v>
      </c>
      <c r="AW124" s="225" t="e">
        <f t="shared" si="6"/>
        <v>#DIV/0!</v>
      </c>
      <c r="AX124" s="226" t="e">
        <f t="shared" si="6"/>
        <v>#DIV/0!</v>
      </c>
    </row>
    <row r="125" spans="2:50">
      <c r="B125" s="220">
        <v>15</v>
      </c>
      <c r="C125" s="61"/>
      <c r="D125" s="61"/>
      <c r="E125" s="61"/>
      <c r="F125" s="61"/>
      <c r="G125" s="61"/>
      <c r="H125" s="61"/>
      <c r="I125" s="61"/>
      <c r="J125" s="61"/>
      <c r="K125" s="61"/>
      <c r="L125" s="61"/>
      <c r="M125" s="61"/>
      <c r="N125" s="61"/>
      <c r="O125" s="61"/>
      <c r="P125" s="61"/>
      <c r="R125" s="220">
        <v>15</v>
      </c>
      <c r="S125" s="61"/>
      <c r="T125" s="61"/>
      <c r="U125" s="61"/>
      <c r="V125" s="61"/>
      <c r="W125" s="61"/>
      <c r="X125" s="61"/>
      <c r="Y125" s="61"/>
      <c r="Z125" s="61"/>
      <c r="AA125" s="61"/>
      <c r="AB125" s="61"/>
      <c r="AC125" s="61"/>
      <c r="AD125" s="61"/>
      <c r="AE125" s="61"/>
      <c r="AF125" s="61"/>
      <c r="AJ125" s="220">
        <v>15</v>
      </c>
      <c r="AK125" s="225" t="e">
        <f t="shared" si="5"/>
        <v>#DIV/0!</v>
      </c>
      <c r="AL125" s="225" t="e">
        <f t="shared" si="5"/>
        <v>#DIV/0!</v>
      </c>
      <c r="AM125" s="225" t="e">
        <f t="shared" si="7"/>
        <v>#DIV/0!</v>
      </c>
      <c r="AN125" s="225" t="e">
        <f t="shared" si="7"/>
        <v>#DIV/0!</v>
      </c>
      <c r="AO125" s="225" t="e">
        <f t="shared" si="7"/>
        <v>#DIV/0!</v>
      </c>
      <c r="AP125" s="225" t="e">
        <f t="shared" si="6"/>
        <v>#DIV/0!</v>
      </c>
      <c r="AQ125" s="225" t="e">
        <f t="shared" si="6"/>
        <v>#DIV/0!</v>
      </c>
      <c r="AR125" s="225" t="e">
        <f t="shared" si="6"/>
        <v>#DIV/0!</v>
      </c>
      <c r="AS125" s="225" t="e">
        <f t="shared" si="6"/>
        <v>#DIV/0!</v>
      </c>
      <c r="AT125" s="225" t="e">
        <f t="shared" si="6"/>
        <v>#DIV/0!</v>
      </c>
      <c r="AU125" s="225" t="e">
        <f t="shared" si="6"/>
        <v>#DIV/0!</v>
      </c>
      <c r="AV125" s="225" t="e">
        <f t="shared" si="6"/>
        <v>#DIV/0!</v>
      </c>
      <c r="AW125" s="225" t="e">
        <f t="shared" si="6"/>
        <v>#DIV/0!</v>
      </c>
      <c r="AX125" s="226" t="e">
        <f t="shared" si="6"/>
        <v>#DIV/0!</v>
      </c>
    </row>
    <row r="126" spans="2:50">
      <c r="B126" s="220">
        <v>16</v>
      </c>
      <c r="C126" s="68"/>
      <c r="D126" s="68"/>
      <c r="E126" s="68"/>
      <c r="F126" s="68"/>
      <c r="G126" s="68"/>
      <c r="H126" s="68"/>
      <c r="I126" s="68"/>
      <c r="J126" s="68"/>
      <c r="K126" s="68"/>
      <c r="L126" s="68"/>
      <c r="M126" s="68"/>
      <c r="N126" s="68"/>
      <c r="O126" s="68"/>
      <c r="P126" s="68"/>
      <c r="R126" s="220">
        <v>16</v>
      </c>
      <c r="S126" s="68"/>
      <c r="T126" s="68"/>
      <c r="U126" s="68"/>
      <c r="V126" s="68"/>
      <c r="W126" s="68"/>
      <c r="X126" s="68"/>
      <c r="Y126" s="68"/>
      <c r="Z126" s="68"/>
      <c r="AA126" s="68"/>
      <c r="AB126" s="68"/>
      <c r="AC126" s="68"/>
      <c r="AD126" s="68"/>
      <c r="AE126" s="68"/>
      <c r="AF126" s="68"/>
      <c r="AJ126" s="220">
        <v>16</v>
      </c>
      <c r="AK126" s="225" t="e">
        <f t="shared" si="5"/>
        <v>#DIV/0!</v>
      </c>
      <c r="AL126" s="225" t="e">
        <f t="shared" si="5"/>
        <v>#DIV/0!</v>
      </c>
      <c r="AM126" s="225" t="e">
        <f t="shared" si="7"/>
        <v>#DIV/0!</v>
      </c>
      <c r="AN126" s="225" t="e">
        <f t="shared" si="7"/>
        <v>#DIV/0!</v>
      </c>
      <c r="AO126" s="225" t="e">
        <f t="shared" si="7"/>
        <v>#DIV/0!</v>
      </c>
      <c r="AP126" s="225" t="e">
        <f t="shared" si="6"/>
        <v>#DIV/0!</v>
      </c>
      <c r="AQ126" s="225" t="e">
        <f t="shared" si="6"/>
        <v>#DIV/0!</v>
      </c>
      <c r="AR126" s="225" t="e">
        <f t="shared" si="6"/>
        <v>#DIV/0!</v>
      </c>
      <c r="AS126" s="225" t="e">
        <f t="shared" si="6"/>
        <v>#DIV/0!</v>
      </c>
      <c r="AT126" s="225" t="e">
        <f t="shared" si="6"/>
        <v>#DIV/0!</v>
      </c>
      <c r="AU126" s="225" t="e">
        <f t="shared" si="6"/>
        <v>#DIV/0!</v>
      </c>
      <c r="AV126" s="225" t="e">
        <f t="shared" si="6"/>
        <v>#DIV/0!</v>
      </c>
      <c r="AW126" s="225" t="e">
        <f t="shared" si="6"/>
        <v>#DIV/0!</v>
      </c>
      <c r="AX126" s="226" t="e">
        <f t="shared" si="6"/>
        <v>#DIV/0!</v>
      </c>
    </row>
    <row r="127" spans="2:50">
      <c r="B127" s="220">
        <v>17</v>
      </c>
      <c r="C127" s="61"/>
      <c r="D127" s="61"/>
      <c r="E127" s="61"/>
      <c r="F127" s="61"/>
      <c r="G127" s="61"/>
      <c r="H127" s="61"/>
      <c r="I127" s="61"/>
      <c r="J127" s="61"/>
      <c r="K127" s="61"/>
      <c r="L127" s="61"/>
      <c r="M127" s="61"/>
      <c r="N127" s="61"/>
      <c r="O127" s="61"/>
      <c r="P127" s="61"/>
      <c r="R127" s="220">
        <v>17</v>
      </c>
      <c r="S127" s="61"/>
      <c r="T127" s="61"/>
      <c r="U127" s="61"/>
      <c r="V127" s="61"/>
      <c r="W127" s="61"/>
      <c r="X127" s="61"/>
      <c r="Y127" s="61"/>
      <c r="Z127" s="61"/>
      <c r="AA127" s="61"/>
      <c r="AB127" s="61"/>
      <c r="AC127" s="61"/>
      <c r="AD127" s="61"/>
      <c r="AE127" s="61"/>
      <c r="AF127" s="61"/>
      <c r="AJ127" s="220">
        <v>17</v>
      </c>
      <c r="AK127" s="225" t="e">
        <f t="shared" si="5"/>
        <v>#DIV/0!</v>
      </c>
      <c r="AL127" s="225" t="e">
        <f t="shared" si="5"/>
        <v>#DIV/0!</v>
      </c>
      <c r="AM127" s="225" t="e">
        <f t="shared" si="7"/>
        <v>#DIV/0!</v>
      </c>
      <c r="AN127" s="225" t="e">
        <f t="shared" si="7"/>
        <v>#DIV/0!</v>
      </c>
      <c r="AO127" s="225" t="e">
        <f t="shared" si="7"/>
        <v>#DIV/0!</v>
      </c>
      <c r="AP127" s="225" t="e">
        <f t="shared" si="6"/>
        <v>#DIV/0!</v>
      </c>
      <c r="AQ127" s="225" t="e">
        <f t="shared" si="6"/>
        <v>#DIV/0!</v>
      </c>
      <c r="AR127" s="225" t="e">
        <f t="shared" si="6"/>
        <v>#DIV/0!</v>
      </c>
      <c r="AS127" s="225" t="e">
        <f t="shared" si="6"/>
        <v>#DIV/0!</v>
      </c>
      <c r="AT127" s="225" t="e">
        <f t="shared" si="6"/>
        <v>#DIV/0!</v>
      </c>
      <c r="AU127" s="225" t="e">
        <f t="shared" si="6"/>
        <v>#DIV/0!</v>
      </c>
      <c r="AV127" s="225" t="e">
        <f t="shared" si="6"/>
        <v>#DIV/0!</v>
      </c>
      <c r="AW127" s="225" t="e">
        <f t="shared" si="6"/>
        <v>#DIV/0!</v>
      </c>
      <c r="AX127" s="226" t="e">
        <f t="shared" si="6"/>
        <v>#DIV/0!</v>
      </c>
    </row>
    <row r="128" spans="2:50">
      <c r="B128" s="220">
        <v>18</v>
      </c>
      <c r="C128" s="61"/>
      <c r="D128" s="61"/>
      <c r="E128" s="61"/>
      <c r="F128" s="61"/>
      <c r="G128" s="61"/>
      <c r="H128" s="61"/>
      <c r="I128" s="61"/>
      <c r="J128" s="61"/>
      <c r="K128" s="61"/>
      <c r="L128" s="61"/>
      <c r="M128" s="61"/>
      <c r="N128" s="61"/>
      <c r="O128" s="61"/>
      <c r="P128" s="61"/>
      <c r="R128" s="220">
        <v>18</v>
      </c>
      <c r="S128" s="68"/>
      <c r="T128" s="68"/>
      <c r="U128" s="68"/>
      <c r="V128" s="68"/>
      <c r="W128" s="68"/>
      <c r="X128" s="68"/>
      <c r="Y128" s="68"/>
      <c r="Z128" s="68"/>
      <c r="AA128" s="68"/>
      <c r="AB128" s="68"/>
      <c r="AC128" s="68"/>
      <c r="AD128" s="68"/>
      <c r="AE128" s="68"/>
      <c r="AF128" s="68"/>
      <c r="AJ128" s="220">
        <v>18</v>
      </c>
      <c r="AK128" s="225" t="e">
        <f t="shared" si="5"/>
        <v>#DIV/0!</v>
      </c>
      <c r="AL128" s="225" t="e">
        <f t="shared" si="5"/>
        <v>#DIV/0!</v>
      </c>
      <c r="AM128" s="225" t="e">
        <f t="shared" si="7"/>
        <v>#DIV/0!</v>
      </c>
      <c r="AN128" s="225" t="e">
        <f t="shared" si="7"/>
        <v>#DIV/0!</v>
      </c>
      <c r="AO128" s="225" t="e">
        <f t="shared" si="7"/>
        <v>#DIV/0!</v>
      </c>
      <c r="AP128" s="225" t="e">
        <f t="shared" si="6"/>
        <v>#DIV/0!</v>
      </c>
      <c r="AQ128" s="225" t="e">
        <f t="shared" si="6"/>
        <v>#DIV/0!</v>
      </c>
      <c r="AR128" s="225" t="e">
        <f t="shared" si="6"/>
        <v>#DIV/0!</v>
      </c>
      <c r="AS128" s="225" t="e">
        <f t="shared" si="6"/>
        <v>#DIV/0!</v>
      </c>
      <c r="AT128" s="225" t="e">
        <f t="shared" si="6"/>
        <v>#DIV/0!</v>
      </c>
      <c r="AU128" s="225" t="e">
        <f t="shared" si="6"/>
        <v>#DIV/0!</v>
      </c>
      <c r="AV128" s="225" t="e">
        <f t="shared" si="6"/>
        <v>#DIV/0!</v>
      </c>
      <c r="AW128" s="225" t="e">
        <f t="shared" si="6"/>
        <v>#DIV/0!</v>
      </c>
      <c r="AX128" s="226" t="e">
        <f t="shared" si="6"/>
        <v>#DIV/0!</v>
      </c>
    </row>
    <row r="129" spans="2:50">
      <c r="B129" s="220">
        <v>19</v>
      </c>
      <c r="C129" s="61"/>
      <c r="D129" s="61"/>
      <c r="E129" s="61"/>
      <c r="F129" s="61"/>
      <c r="G129" s="61"/>
      <c r="H129" s="61"/>
      <c r="I129" s="61"/>
      <c r="J129" s="61"/>
      <c r="K129" s="61"/>
      <c r="L129" s="61"/>
      <c r="M129" s="61"/>
      <c r="N129" s="61"/>
      <c r="O129" s="61"/>
      <c r="P129" s="61"/>
      <c r="R129" s="220">
        <v>19</v>
      </c>
      <c r="S129" s="61"/>
      <c r="T129" s="61"/>
      <c r="U129" s="61"/>
      <c r="V129" s="61"/>
      <c r="W129" s="61"/>
      <c r="X129" s="61"/>
      <c r="Y129" s="61"/>
      <c r="Z129" s="61"/>
      <c r="AA129" s="61"/>
      <c r="AB129" s="61"/>
      <c r="AC129" s="61"/>
      <c r="AD129" s="61"/>
      <c r="AE129" s="61"/>
      <c r="AF129" s="61"/>
      <c r="AJ129" s="220">
        <v>19</v>
      </c>
      <c r="AK129" s="225" t="e">
        <f t="shared" si="5"/>
        <v>#DIV/0!</v>
      </c>
      <c r="AL129" s="225" t="e">
        <f t="shared" si="5"/>
        <v>#DIV/0!</v>
      </c>
      <c r="AM129" s="225" t="e">
        <f t="shared" si="7"/>
        <v>#DIV/0!</v>
      </c>
      <c r="AN129" s="225" t="e">
        <f t="shared" si="7"/>
        <v>#DIV/0!</v>
      </c>
      <c r="AO129" s="225" t="e">
        <f t="shared" si="7"/>
        <v>#DIV/0!</v>
      </c>
      <c r="AP129" s="225" t="e">
        <f t="shared" si="6"/>
        <v>#DIV/0!</v>
      </c>
      <c r="AQ129" s="225" t="e">
        <f t="shared" si="6"/>
        <v>#DIV/0!</v>
      </c>
      <c r="AR129" s="225" t="e">
        <f t="shared" si="6"/>
        <v>#DIV/0!</v>
      </c>
      <c r="AS129" s="225" t="e">
        <f t="shared" si="6"/>
        <v>#DIV/0!</v>
      </c>
      <c r="AT129" s="225" t="e">
        <f t="shared" si="6"/>
        <v>#DIV/0!</v>
      </c>
      <c r="AU129" s="225" t="e">
        <f t="shared" si="6"/>
        <v>#DIV/0!</v>
      </c>
      <c r="AV129" s="225" t="e">
        <f t="shared" si="6"/>
        <v>#DIV/0!</v>
      </c>
      <c r="AW129" s="225" t="e">
        <f t="shared" si="6"/>
        <v>#DIV/0!</v>
      </c>
      <c r="AX129" s="226" t="e">
        <f t="shared" si="6"/>
        <v>#DIV/0!</v>
      </c>
    </row>
    <row r="130" spans="2:50">
      <c r="B130" s="220">
        <v>20</v>
      </c>
      <c r="C130" s="68"/>
      <c r="D130" s="68"/>
      <c r="E130" s="68"/>
      <c r="F130" s="68"/>
      <c r="G130" s="68"/>
      <c r="H130" s="68"/>
      <c r="I130" s="68"/>
      <c r="J130" s="68"/>
      <c r="K130" s="68"/>
      <c r="L130" s="68"/>
      <c r="M130" s="68"/>
      <c r="N130" s="68"/>
      <c r="O130" s="68"/>
      <c r="P130" s="68"/>
      <c r="R130" s="220">
        <v>20</v>
      </c>
      <c r="S130" s="68"/>
      <c r="T130" s="68"/>
      <c r="U130" s="68"/>
      <c r="V130" s="68"/>
      <c r="W130" s="68"/>
      <c r="X130" s="68"/>
      <c r="Y130" s="68"/>
      <c r="Z130" s="68"/>
      <c r="AA130" s="68"/>
      <c r="AB130" s="68"/>
      <c r="AC130" s="68"/>
      <c r="AD130" s="68"/>
      <c r="AE130" s="68"/>
      <c r="AF130" s="68"/>
      <c r="AJ130" s="220">
        <v>20</v>
      </c>
      <c r="AK130" s="225" t="e">
        <f t="shared" si="5"/>
        <v>#DIV/0!</v>
      </c>
      <c r="AL130" s="225" t="e">
        <f t="shared" si="5"/>
        <v>#DIV/0!</v>
      </c>
      <c r="AM130" s="225" t="e">
        <f t="shared" si="7"/>
        <v>#DIV/0!</v>
      </c>
      <c r="AN130" s="225" t="e">
        <f t="shared" si="7"/>
        <v>#DIV/0!</v>
      </c>
      <c r="AO130" s="225" t="e">
        <f t="shared" si="7"/>
        <v>#DIV/0!</v>
      </c>
      <c r="AP130" s="225" t="e">
        <f t="shared" si="6"/>
        <v>#DIV/0!</v>
      </c>
      <c r="AQ130" s="225" t="e">
        <f t="shared" si="6"/>
        <v>#DIV/0!</v>
      </c>
      <c r="AR130" s="225" t="e">
        <f t="shared" si="6"/>
        <v>#DIV/0!</v>
      </c>
      <c r="AS130" s="225" t="e">
        <f t="shared" si="6"/>
        <v>#DIV/0!</v>
      </c>
      <c r="AT130" s="225" t="e">
        <f t="shared" si="6"/>
        <v>#DIV/0!</v>
      </c>
      <c r="AU130" s="225" t="e">
        <f t="shared" si="6"/>
        <v>#DIV/0!</v>
      </c>
      <c r="AV130" s="225" t="e">
        <f t="shared" si="6"/>
        <v>#DIV/0!</v>
      </c>
      <c r="AW130" s="225" t="e">
        <f t="shared" si="6"/>
        <v>#DIV/0!</v>
      </c>
      <c r="AX130" s="226" t="e">
        <f t="shared" si="6"/>
        <v>#DIV/0!</v>
      </c>
    </row>
    <row r="131" spans="2:50">
      <c r="B131" s="220">
        <v>21</v>
      </c>
      <c r="C131" s="61"/>
      <c r="D131" s="61"/>
      <c r="E131" s="61"/>
      <c r="F131" s="61"/>
      <c r="G131" s="61"/>
      <c r="H131" s="61"/>
      <c r="I131" s="61"/>
      <c r="J131" s="61"/>
      <c r="K131" s="61"/>
      <c r="L131" s="61"/>
      <c r="M131" s="61"/>
      <c r="N131" s="61"/>
      <c r="O131" s="61"/>
      <c r="P131" s="61"/>
      <c r="R131" s="220">
        <v>21</v>
      </c>
      <c r="S131" s="61"/>
      <c r="T131" s="61"/>
      <c r="U131" s="61"/>
      <c r="V131" s="61"/>
      <c r="W131" s="61"/>
      <c r="X131" s="61"/>
      <c r="Y131" s="61"/>
      <c r="Z131" s="61"/>
      <c r="AA131" s="61"/>
      <c r="AB131" s="61"/>
      <c r="AC131" s="61"/>
      <c r="AD131" s="61"/>
      <c r="AE131" s="61"/>
      <c r="AF131" s="61"/>
      <c r="AJ131" s="220">
        <v>21</v>
      </c>
      <c r="AK131" s="225" t="e">
        <f t="shared" si="5"/>
        <v>#DIV/0!</v>
      </c>
      <c r="AL131" s="225" t="e">
        <f t="shared" si="5"/>
        <v>#DIV/0!</v>
      </c>
      <c r="AM131" s="225" t="e">
        <f t="shared" si="7"/>
        <v>#DIV/0!</v>
      </c>
      <c r="AN131" s="225" t="e">
        <f t="shared" si="7"/>
        <v>#DIV/0!</v>
      </c>
      <c r="AO131" s="225" t="e">
        <f t="shared" si="7"/>
        <v>#DIV/0!</v>
      </c>
      <c r="AP131" s="225" t="e">
        <f t="shared" si="6"/>
        <v>#DIV/0!</v>
      </c>
      <c r="AQ131" s="225" t="e">
        <f t="shared" si="6"/>
        <v>#DIV/0!</v>
      </c>
      <c r="AR131" s="225" t="e">
        <f t="shared" si="6"/>
        <v>#DIV/0!</v>
      </c>
      <c r="AS131" s="225" t="e">
        <f t="shared" si="6"/>
        <v>#DIV/0!</v>
      </c>
      <c r="AT131" s="225" t="e">
        <f t="shared" si="6"/>
        <v>#DIV/0!</v>
      </c>
      <c r="AU131" s="225" t="e">
        <f t="shared" si="6"/>
        <v>#DIV/0!</v>
      </c>
      <c r="AV131" s="225" t="e">
        <f t="shared" si="6"/>
        <v>#DIV/0!</v>
      </c>
      <c r="AW131" s="225" t="e">
        <f t="shared" si="6"/>
        <v>#DIV/0!</v>
      </c>
      <c r="AX131" s="226" t="e">
        <f t="shared" si="6"/>
        <v>#DIV/0!</v>
      </c>
    </row>
    <row r="132" spans="2:50">
      <c r="B132" s="220">
        <v>22</v>
      </c>
      <c r="C132" s="61"/>
      <c r="D132" s="61"/>
      <c r="E132" s="61"/>
      <c r="F132" s="61"/>
      <c r="G132" s="61"/>
      <c r="H132" s="61"/>
      <c r="I132" s="61"/>
      <c r="J132" s="61"/>
      <c r="K132" s="61"/>
      <c r="L132" s="61"/>
      <c r="M132" s="61"/>
      <c r="N132" s="61"/>
      <c r="O132" s="61"/>
      <c r="P132" s="61"/>
      <c r="R132" s="220">
        <v>22</v>
      </c>
      <c r="S132" s="68"/>
      <c r="T132" s="68"/>
      <c r="U132" s="68"/>
      <c r="V132" s="68"/>
      <c r="W132" s="68"/>
      <c r="X132" s="68"/>
      <c r="Y132" s="68"/>
      <c r="Z132" s="68"/>
      <c r="AA132" s="68"/>
      <c r="AB132" s="68"/>
      <c r="AC132" s="68"/>
      <c r="AD132" s="68"/>
      <c r="AE132" s="68"/>
      <c r="AF132" s="68"/>
      <c r="AJ132" s="220">
        <v>22</v>
      </c>
      <c r="AK132" s="225" t="e">
        <f t="shared" si="5"/>
        <v>#DIV/0!</v>
      </c>
      <c r="AL132" s="225" t="e">
        <f t="shared" si="5"/>
        <v>#DIV/0!</v>
      </c>
      <c r="AM132" s="225" t="e">
        <f t="shared" si="7"/>
        <v>#DIV/0!</v>
      </c>
      <c r="AN132" s="225" t="e">
        <f t="shared" si="7"/>
        <v>#DIV/0!</v>
      </c>
      <c r="AO132" s="225" t="e">
        <f t="shared" si="7"/>
        <v>#DIV/0!</v>
      </c>
      <c r="AP132" s="225" t="e">
        <f t="shared" si="6"/>
        <v>#DIV/0!</v>
      </c>
      <c r="AQ132" s="225" t="e">
        <f t="shared" si="6"/>
        <v>#DIV/0!</v>
      </c>
      <c r="AR132" s="225" t="e">
        <f t="shared" si="6"/>
        <v>#DIV/0!</v>
      </c>
      <c r="AS132" s="225" t="e">
        <f t="shared" si="6"/>
        <v>#DIV/0!</v>
      </c>
      <c r="AT132" s="225" t="e">
        <f t="shared" si="6"/>
        <v>#DIV/0!</v>
      </c>
      <c r="AU132" s="225" t="e">
        <f t="shared" si="6"/>
        <v>#DIV/0!</v>
      </c>
      <c r="AV132" s="225" t="e">
        <f t="shared" si="6"/>
        <v>#DIV/0!</v>
      </c>
      <c r="AW132" s="225" t="e">
        <f t="shared" si="6"/>
        <v>#DIV/0!</v>
      </c>
      <c r="AX132" s="226" t="e">
        <f t="shared" si="6"/>
        <v>#DIV/0!</v>
      </c>
    </row>
    <row r="133" spans="2:50">
      <c r="B133" s="220">
        <v>23</v>
      </c>
      <c r="C133" s="61"/>
      <c r="D133" s="61"/>
      <c r="E133" s="61"/>
      <c r="F133" s="61"/>
      <c r="G133" s="61"/>
      <c r="H133" s="61"/>
      <c r="I133" s="61"/>
      <c r="J133" s="61"/>
      <c r="K133" s="61"/>
      <c r="L133" s="61"/>
      <c r="M133" s="61"/>
      <c r="N133" s="61"/>
      <c r="O133" s="61"/>
      <c r="P133" s="61"/>
      <c r="R133" s="220">
        <v>23</v>
      </c>
      <c r="S133" s="61"/>
      <c r="T133" s="61"/>
      <c r="U133" s="61"/>
      <c r="V133" s="61"/>
      <c r="W133" s="61"/>
      <c r="X133" s="61"/>
      <c r="Y133" s="61"/>
      <c r="Z133" s="61"/>
      <c r="AA133" s="61"/>
      <c r="AB133" s="61"/>
      <c r="AC133" s="61"/>
      <c r="AD133" s="61"/>
      <c r="AE133" s="61"/>
      <c r="AF133" s="61"/>
      <c r="AJ133" s="220">
        <v>23</v>
      </c>
      <c r="AK133" s="225" t="e">
        <f t="shared" si="5"/>
        <v>#DIV/0!</v>
      </c>
      <c r="AL133" s="225" t="e">
        <f t="shared" si="5"/>
        <v>#DIV/0!</v>
      </c>
      <c r="AM133" s="225" t="e">
        <f t="shared" si="7"/>
        <v>#DIV/0!</v>
      </c>
      <c r="AN133" s="225" t="e">
        <f t="shared" si="7"/>
        <v>#DIV/0!</v>
      </c>
      <c r="AO133" s="225" t="e">
        <f t="shared" si="7"/>
        <v>#DIV/0!</v>
      </c>
      <c r="AP133" s="225" t="e">
        <f t="shared" si="6"/>
        <v>#DIV/0!</v>
      </c>
      <c r="AQ133" s="225" t="e">
        <f t="shared" si="6"/>
        <v>#DIV/0!</v>
      </c>
      <c r="AR133" s="225" t="e">
        <f t="shared" si="6"/>
        <v>#DIV/0!</v>
      </c>
      <c r="AS133" s="225" t="e">
        <f t="shared" si="6"/>
        <v>#DIV/0!</v>
      </c>
      <c r="AT133" s="225" t="e">
        <f t="shared" si="6"/>
        <v>#DIV/0!</v>
      </c>
      <c r="AU133" s="225" t="e">
        <f t="shared" si="6"/>
        <v>#DIV/0!</v>
      </c>
      <c r="AV133" s="225" t="e">
        <f t="shared" si="6"/>
        <v>#DIV/0!</v>
      </c>
      <c r="AW133" s="225" t="e">
        <f t="shared" si="6"/>
        <v>#DIV/0!</v>
      </c>
      <c r="AX133" s="226" t="e">
        <f t="shared" si="6"/>
        <v>#DIV/0!</v>
      </c>
    </row>
    <row r="134" spans="2:50">
      <c r="B134" s="224">
        <v>24</v>
      </c>
      <c r="C134" s="68"/>
      <c r="D134" s="68"/>
      <c r="E134" s="68"/>
      <c r="F134" s="68"/>
      <c r="G134" s="68"/>
      <c r="H134" s="68"/>
      <c r="I134" s="68"/>
      <c r="J134" s="68"/>
      <c r="K134" s="68"/>
      <c r="L134" s="68"/>
      <c r="M134" s="68"/>
      <c r="N134" s="68"/>
      <c r="O134" s="68"/>
      <c r="P134" s="68"/>
      <c r="R134" s="224">
        <v>24</v>
      </c>
      <c r="S134" s="68"/>
      <c r="T134" s="68"/>
      <c r="U134" s="68"/>
      <c r="V134" s="68"/>
      <c r="W134" s="68"/>
      <c r="X134" s="68"/>
      <c r="Y134" s="68"/>
      <c r="Z134" s="68"/>
      <c r="AA134" s="68"/>
      <c r="AB134" s="68"/>
      <c r="AC134" s="68"/>
      <c r="AD134" s="68"/>
      <c r="AE134" s="68"/>
      <c r="AF134" s="68"/>
      <c r="AJ134" s="224">
        <v>24</v>
      </c>
      <c r="AK134" s="225" t="e">
        <f t="shared" si="5"/>
        <v>#DIV/0!</v>
      </c>
      <c r="AL134" s="225" t="e">
        <f t="shared" si="5"/>
        <v>#DIV/0!</v>
      </c>
      <c r="AM134" s="225" t="e">
        <f t="shared" si="7"/>
        <v>#DIV/0!</v>
      </c>
      <c r="AN134" s="225" t="e">
        <f t="shared" si="7"/>
        <v>#DIV/0!</v>
      </c>
      <c r="AO134" s="225" t="e">
        <f t="shared" si="7"/>
        <v>#DIV/0!</v>
      </c>
      <c r="AP134" s="225" t="e">
        <f t="shared" si="6"/>
        <v>#DIV/0!</v>
      </c>
      <c r="AQ134" s="225" t="e">
        <f t="shared" si="6"/>
        <v>#DIV/0!</v>
      </c>
      <c r="AR134" s="225" t="e">
        <f t="shared" si="6"/>
        <v>#DIV/0!</v>
      </c>
      <c r="AS134" s="225" t="e">
        <f t="shared" si="6"/>
        <v>#DIV/0!</v>
      </c>
      <c r="AT134" s="225" t="e">
        <f t="shared" si="6"/>
        <v>#DIV/0!</v>
      </c>
      <c r="AU134" s="225" t="e">
        <f t="shared" si="6"/>
        <v>#DIV/0!</v>
      </c>
      <c r="AV134" s="225" t="e">
        <f t="shared" si="6"/>
        <v>#DIV/0!</v>
      </c>
      <c r="AW134" s="225" t="e">
        <f t="shared" si="6"/>
        <v>#DIV/0!</v>
      </c>
      <c r="AX134" s="226" t="e">
        <f t="shared" si="6"/>
        <v>#DIV/0!</v>
      </c>
    </row>
    <row r="135" spans="2:50">
      <c r="B135" s="220">
        <v>25</v>
      </c>
      <c r="C135" s="61"/>
      <c r="D135" s="61"/>
      <c r="E135" s="61"/>
      <c r="F135" s="61"/>
      <c r="G135" s="61"/>
      <c r="H135" s="61"/>
      <c r="I135" s="61"/>
      <c r="J135" s="61"/>
      <c r="K135" s="61"/>
      <c r="L135" s="61"/>
      <c r="M135" s="61"/>
      <c r="N135" s="61"/>
      <c r="O135" s="61"/>
      <c r="P135" s="61"/>
      <c r="Q135" s="229"/>
      <c r="R135" s="220">
        <v>25</v>
      </c>
      <c r="S135" s="61"/>
      <c r="T135" s="61"/>
      <c r="U135" s="61"/>
      <c r="V135" s="61"/>
      <c r="W135" s="61"/>
      <c r="X135" s="61"/>
      <c r="Y135" s="61"/>
      <c r="Z135" s="61"/>
      <c r="AA135" s="61"/>
      <c r="AB135" s="61"/>
      <c r="AC135" s="61"/>
      <c r="AD135" s="61"/>
      <c r="AE135" s="61"/>
      <c r="AF135" s="61"/>
      <c r="AG135" s="229"/>
      <c r="AH135" s="229"/>
      <c r="AI135" s="229"/>
      <c r="AJ135" s="220">
        <v>25</v>
      </c>
      <c r="AK135" s="225" t="e">
        <f t="shared" si="5"/>
        <v>#DIV/0!</v>
      </c>
      <c r="AL135" s="225" t="e">
        <f t="shared" si="5"/>
        <v>#DIV/0!</v>
      </c>
      <c r="AM135" s="225" t="e">
        <f t="shared" si="7"/>
        <v>#DIV/0!</v>
      </c>
      <c r="AN135" s="225" t="e">
        <f t="shared" si="7"/>
        <v>#DIV/0!</v>
      </c>
      <c r="AO135" s="225" t="e">
        <f t="shared" si="7"/>
        <v>#DIV/0!</v>
      </c>
      <c r="AP135" s="225" t="e">
        <f t="shared" si="6"/>
        <v>#DIV/0!</v>
      </c>
      <c r="AQ135" s="225" t="e">
        <f t="shared" si="6"/>
        <v>#DIV/0!</v>
      </c>
      <c r="AR135" s="225" t="e">
        <f t="shared" si="6"/>
        <v>#DIV/0!</v>
      </c>
      <c r="AS135" s="225" t="e">
        <f t="shared" si="6"/>
        <v>#DIV/0!</v>
      </c>
      <c r="AT135" s="225" t="e">
        <f t="shared" si="6"/>
        <v>#DIV/0!</v>
      </c>
      <c r="AU135" s="225" t="e">
        <f t="shared" si="6"/>
        <v>#DIV/0!</v>
      </c>
      <c r="AV135" s="225" t="e">
        <f t="shared" si="6"/>
        <v>#DIV/0!</v>
      </c>
      <c r="AW135" s="225" t="e">
        <f t="shared" si="6"/>
        <v>#DIV/0!</v>
      </c>
      <c r="AX135" s="226" t="e">
        <f t="shared" si="6"/>
        <v>#DIV/0!</v>
      </c>
    </row>
    <row r="136" spans="2:50">
      <c r="B136" s="220">
        <v>26</v>
      </c>
      <c r="C136" s="61"/>
      <c r="D136" s="61"/>
      <c r="E136" s="61"/>
      <c r="F136" s="61"/>
      <c r="G136" s="61"/>
      <c r="H136" s="61"/>
      <c r="I136" s="61"/>
      <c r="J136" s="61"/>
      <c r="K136" s="61"/>
      <c r="L136" s="61"/>
      <c r="M136" s="61"/>
      <c r="N136" s="61"/>
      <c r="O136" s="61"/>
      <c r="P136" s="61"/>
      <c r="R136" s="220">
        <v>26</v>
      </c>
      <c r="S136" s="68"/>
      <c r="T136" s="68"/>
      <c r="U136" s="68"/>
      <c r="V136" s="68"/>
      <c r="W136" s="68"/>
      <c r="X136" s="68"/>
      <c r="Y136" s="68"/>
      <c r="Z136" s="68"/>
      <c r="AA136" s="68"/>
      <c r="AB136" s="68"/>
      <c r="AC136" s="68"/>
      <c r="AD136" s="68"/>
      <c r="AE136" s="68"/>
      <c r="AF136" s="68"/>
      <c r="AJ136" s="220">
        <v>26</v>
      </c>
      <c r="AK136" s="225" t="e">
        <f t="shared" si="5"/>
        <v>#DIV/0!</v>
      </c>
      <c r="AL136" s="225" t="e">
        <f t="shared" si="5"/>
        <v>#DIV/0!</v>
      </c>
      <c r="AM136" s="225" t="e">
        <f t="shared" si="7"/>
        <v>#DIV/0!</v>
      </c>
      <c r="AN136" s="225" t="e">
        <f t="shared" si="7"/>
        <v>#DIV/0!</v>
      </c>
      <c r="AO136" s="225" t="e">
        <f t="shared" si="7"/>
        <v>#DIV/0!</v>
      </c>
      <c r="AP136" s="225" t="e">
        <f t="shared" si="6"/>
        <v>#DIV/0!</v>
      </c>
      <c r="AQ136" s="225" t="e">
        <f t="shared" si="6"/>
        <v>#DIV/0!</v>
      </c>
      <c r="AR136" s="225" t="e">
        <f t="shared" si="6"/>
        <v>#DIV/0!</v>
      </c>
      <c r="AS136" s="225" t="e">
        <f t="shared" si="6"/>
        <v>#DIV/0!</v>
      </c>
      <c r="AT136" s="225" t="e">
        <f t="shared" si="6"/>
        <v>#DIV/0!</v>
      </c>
      <c r="AU136" s="225" t="e">
        <f t="shared" si="6"/>
        <v>#DIV/0!</v>
      </c>
      <c r="AV136" s="225" t="e">
        <f t="shared" si="6"/>
        <v>#DIV/0!</v>
      </c>
      <c r="AW136" s="225" t="e">
        <f t="shared" si="6"/>
        <v>#DIV/0!</v>
      </c>
      <c r="AX136" s="226" t="e">
        <f t="shared" si="6"/>
        <v>#DIV/0!</v>
      </c>
    </row>
    <row r="137" spans="2:50">
      <c r="B137" s="220">
        <v>27</v>
      </c>
      <c r="C137" s="61"/>
      <c r="D137" s="61"/>
      <c r="E137" s="61"/>
      <c r="F137" s="61"/>
      <c r="G137" s="61"/>
      <c r="H137" s="61"/>
      <c r="I137" s="61"/>
      <c r="J137" s="61"/>
      <c r="K137" s="61"/>
      <c r="L137" s="61"/>
      <c r="M137" s="61"/>
      <c r="N137" s="61"/>
      <c r="O137" s="61"/>
      <c r="P137" s="61"/>
      <c r="R137" s="220">
        <v>27</v>
      </c>
      <c r="S137" s="61"/>
      <c r="T137" s="61"/>
      <c r="U137" s="61"/>
      <c r="V137" s="61"/>
      <c r="W137" s="61"/>
      <c r="X137" s="61"/>
      <c r="Y137" s="61"/>
      <c r="Z137" s="61"/>
      <c r="AA137" s="61"/>
      <c r="AB137" s="61"/>
      <c r="AC137" s="61"/>
      <c r="AD137" s="61"/>
      <c r="AE137" s="61"/>
      <c r="AF137" s="61"/>
      <c r="AJ137" s="220">
        <v>27</v>
      </c>
      <c r="AK137" s="225" t="e">
        <f t="shared" si="5"/>
        <v>#DIV/0!</v>
      </c>
      <c r="AL137" s="225" t="e">
        <f t="shared" si="5"/>
        <v>#DIV/0!</v>
      </c>
      <c r="AM137" s="225" t="e">
        <f t="shared" si="7"/>
        <v>#DIV/0!</v>
      </c>
      <c r="AN137" s="225" t="e">
        <f t="shared" si="7"/>
        <v>#DIV/0!</v>
      </c>
      <c r="AO137" s="225" t="e">
        <f t="shared" si="7"/>
        <v>#DIV/0!</v>
      </c>
      <c r="AP137" s="225" t="e">
        <f t="shared" si="6"/>
        <v>#DIV/0!</v>
      </c>
      <c r="AQ137" s="225" t="e">
        <f t="shared" si="6"/>
        <v>#DIV/0!</v>
      </c>
      <c r="AR137" s="225" t="e">
        <f t="shared" si="6"/>
        <v>#DIV/0!</v>
      </c>
      <c r="AS137" s="225" t="e">
        <f t="shared" si="6"/>
        <v>#DIV/0!</v>
      </c>
      <c r="AT137" s="225" t="e">
        <f t="shared" si="6"/>
        <v>#DIV/0!</v>
      </c>
      <c r="AU137" s="225" t="e">
        <f t="shared" si="6"/>
        <v>#DIV/0!</v>
      </c>
      <c r="AV137" s="225" t="e">
        <f t="shared" si="6"/>
        <v>#DIV/0!</v>
      </c>
      <c r="AW137" s="225" t="e">
        <f t="shared" si="6"/>
        <v>#DIV/0!</v>
      </c>
      <c r="AX137" s="226" t="e">
        <f t="shared" si="6"/>
        <v>#DIV/0!</v>
      </c>
    </row>
    <row r="138" spans="2:50">
      <c r="B138" s="220">
        <v>28</v>
      </c>
      <c r="C138" s="68"/>
      <c r="D138" s="68"/>
      <c r="E138" s="68"/>
      <c r="F138" s="68"/>
      <c r="G138" s="68"/>
      <c r="H138" s="68"/>
      <c r="I138" s="68"/>
      <c r="J138" s="68"/>
      <c r="K138" s="68"/>
      <c r="L138" s="68"/>
      <c r="M138" s="68"/>
      <c r="N138" s="68"/>
      <c r="O138" s="68"/>
      <c r="P138" s="68"/>
      <c r="R138" s="220">
        <v>28</v>
      </c>
      <c r="S138" s="68"/>
      <c r="T138" s="68"/>
      <c r="U138" s="68"/>
      <c r="V138" s="68"/>
      <c r="W138" s="68"/>
      <c r="X138" s="68"/>
      <c r="Y138" s="68"/>
      <c r="Z138" s="68"/>
      <c r="AA138" s="68"/>
      <c r="AB138" s="68"/>
      <c r="AC138" s="68"/>
      <c r="AD138" s="68"/>
      <c r="AE138" s="68"/>
      <c r="AF138" s="68"/>
      <c r="AJ138" s="220">
        <v>28</v>
      </c>
      <c r="AK138" s="225" t="e">
        <f t="shared" si="5"/>
        <v>#DIV/0!</v>
      </c>
      <c r="AL138" s="225" t="e">
        <f t="shared" si="5"/>
        <v>#DIV/0!</v>
      </c>
      <c r="AM138" s="225" t="e">
        <f t="shared" si="7"/>
        <v>#DIV/0!</v>
      </c>
      <c r="AN138" s="225" t="e">
        <f t="shared" si="7"/>
        <v>#DIV/0!</v>
      </c>
      <c r="AO138" s="225" t="e">
        <f t="shared" si="7"/>
        <v>#DIV/0!</v>
      </c>
      <c r="AP138" s="225" t="e">
        <f t="shared" si="6"/>
        <v>#DIV/0!</v>
      </c>
      <c r="AQ138" s="225" t="e">
        <f t="shared" si="6"/>
        <v>#DIV/0!</v>
      </c>
      <c r="AR138" s="225" t="e">
        <f t="shared" si="6"/>
        <v>#DIV/0!</v>
      </c>
      <c r="AS138" s="225" t="e">
        <f t="shared" si="6"/>
        <v>#DIV/0!</v>
      </c>
      <c r="AT138" s="225" t="e">
        <f t="shared" si="6"/>
        <v>#DIV/0!</v>
      </c>
      <c r="AU138" s="225" t="e">
        <f t="shared" si="6"/>
        <v>#DIV/0!</v>
      </c>
      <c r="AV138" s="225" t="e">
        <f t="shared" si="6"/>
        <v>#DIV/0!</v>
      </c>
      <c r="AW138" s="225" t="e">
        <f t="shared" si="6"/>
        <v>#DIV/0!</v>
      </c>
      <c r="AX138" s="226" t="e">
        <f t="shared" si="6"/>
        <v>#DIV/0!</v>
      </c>
    </row>
    <row r="139" spans="2:50">
      <c r="B139" s="220">
        <v>29</v>
      </c>
      <c r="C139" s="61"/>
      <c r="D139" s="61"/>
      <c r="E139" s="61"/>
      <c r="F139" s="61"/>
      <c r="G139" s="61"/>
      <c r="H139" s="61"/>
      <c r="I139" s="61"/>
      <c r="J139" s="61"/>
      <c r="K139" s="61"/>
      <c r="L139" s="61"/>
      <c r="M139" s="61"/>
      <c r="N139" s="61"/>
      <c r="O139" s="61"/>
      <c r="P139" s="61"/>
      <c r="R139" s="220">
        <v>29</v>
      </c>
      <c r="S139" s="61"/>
      <c r="T139" s="61"/>
      <c r="U139" s="61"/>
      <c r="V139" s="61"/>
      <c r="W139" s="61"/>
      <c r="X139" s="61"/>
      <c r="Y139" s="61"/>
      <c r="Z139" s="61"/>
      <c r="AA139" s="61"/>
      <c r="AB139" s="61"/>
      <c r="AC139" s="61"/>
      <c r="AD139" s="61"/>
      <c r="AE139" s="61"/>
      <c r="AF139" s="61"/>
      <c r="AJ139" s="220">
        <v>29</v>
      </c>
      <c r="AK139" s="225" t="e">
        <f t="shared" si="5"/>
        <v>#DIV/0!</v>
      </c>
      <c r="AL139" s="225" t="e">
        <f t="shared" si="5"/>
        <v>#DIV/0!</v>
      </c>
      <c r="AM139" s="225" t="e">
        <f t="shared" si="7"/>
        <v>#DIV/0!</v>
      </c>
      <c r="AN139" s="225" t="e">
        <f t="shared" si="7"/>
        <v>#DIV/0!</v>
      </c>
      <c r="AO139" s="225" t="e">
        <f t="shared" si="7"/>
        <v>#DIV/0!</v>
      </c>
      <c r="AP139" s="225" t="e">
        <f t="shared" si="6"/>
        <v>#DIV/0!</v>
      </c>
      <c r="AQ139" s="225" t="e">
        <f t="shared" si="6"/>
        <v>#DIV/0!</v>
      </c>
      <c r="AR139" s="225" t="e">
        <f t="shared" si="6"/>
        <v>#DIV/0!</v>
      </c>
      <c r="AS139" s="225" t="e">
        <f t="shared" si="6"/>
        <v>#DIV/0!</v>
      </c>
      <c r="AT139" s="225" t="e">
        <f t="shared" si="6"/>
        <v>#DIV/0!</v>
      </c>
      <c r="AU139" s="225" t="e">
        <f t="shared" si="6"/>
        <v>#DIV/0!</v>
      </c>
      <c r="AV139" s="225" t="e">
        <f t="shared" si="6"/>
        <v>#DIV/0!</v>
      </c>
      <c r="AW139" s="225" t="e">
        <f t="shared" si="6"/>
        <v>#DIV/0!</v>
      </c>
      <c r="AX139" s="226" t="e">
        <f t="shared" si="6"/>
        <v>#DIV/0!</v>
      </c>
    </row>
    <row r="140" spans="2:50">
      <c r="B140" s="220">
        <v>30</v>
      </c>
      <c r="C140" s="61"/>
      <c r="D140" s="61"/>
      <c r="E140" s="61"/>
      <c r="F140" s="61"/>
      <c r="G140" s="61"/>
      <c r="H140" s="61"/>
      <c r="I140" s="61"/>
      <c r="J140" s="61"/>
      <c r="K140" s="61"/>
      <c r="L140" s="61"/>
      <c r="M140" s="61"/>
      <c r="N140" s="61"/>
      <c r="O140" s="61"/>
      <c r="P140" s="61"/>
      <c r="R140" s="220">
        <v>30</v>
      </c>
      <c r="S140" s="68"/>
      <c r="T140" s="68"/>
      <c r="U140" s="68"/>
      <c r="V140" s="68"/>
      <c r="W140" s="68"/>
      <c r="X140" s="68"/>
      <c r="Y140" s="68"/>
      <c r="Z140" s="68"/>
      <c r="AA140" s="68"/>
      <c r="AB140" s="68"/>
      <c r="AC140" s="68"/>
      <c r="AD140" s="68"/>
      <c r="AE140" s="68"/>
      <c r="AF140" s="68"/>
      <c r="AJ140" s="220">
        <v>30</v>
      </c>
      <c r="AK140" s="225" t="e">
        <f t="shared" si="5"/>
        <v>#DIV/0!</v>
      </c>
      <c r="AL140" s="225" t="e">
        <f t="shared" si="5"/>
        <v>#DIV/0!</v>
      </c>
      <c r="AM140" s="225" t="e">
        <f t="shared" si="7"/>
        <v>#DIV/0!</v>
      </c>
      <c r="AN140" s="225" t="e">
        <f t="shared" si="7"/>
        <v>#DIV/0!</v>
      </c>
      <c r="AO140" s="225" t="e">
        <f t="shared" si="7"/>
        <v>#DIV/0!</v>
      </c>
      <c r="AP140" s="225" t="e">
        <f t="shared" si="6"/>
        <v>#DIV/0!</v>
      </c>
      <c r="AQ140" s="225" t="e">
        <f t="shared" si="6"/>
        <v>#DIV/0!</v>
      </c>
      <c r="AR140" s="225" t="e">
        <f t="shared" si="6"/>
        <v>#DIV/0!</v>
      </c>
      <c r="AS140" s="225" t="e">
        <f t="shared" si="6"/>
        <v>#DIV/0!</v>
      </c>
      <c r="AT140" s="225" t="e">
        <f t="shared" si="6"/>
        <v>#DIV/0!</v>
      </c>
      <c r="AU140" s="225" t="e">
        <f t="shared" si="6"/>
        <v>#DIV/0!</v>
      </c>
      <c r="AV140" s="225" t="e">
        <f t="shared" si="6"/>
        <v>#DIV/0!</v>
      </c>
      <c r="AW140" s="225" t="e">
        <f t="shared" si="6"/>
        <v>#DIV/0!</v>
      </c>
      <c r="AX140" s="226" t="e">
        <f t="shared" si="6"/>
        <v>#DIV/0!</v>
      </c>
    </row>
    <row r="141" spans="2:50">
      <c r="B141" s="220">
        <v>31</v>
      </c>
      <c r="C141" s="61"/>
      <c r="D141" s="61"/>
      <c r="E141" s="61"/>
      <c r="F141" s="61"/>
      <c r="G141" s="61"/>
      <c r="H141" s="61"/>
      <c r="I141" s="61"/>
      <c r="J141" s="61"/>
      <c r="K141" s="61"/>
      <c r="L141" s="61"/>
      <c r="M141" s="61"/>
      <c r="N141" s="61"/>
      <c r="O141" s="61"/>
      <c r="P141" s="61"/>
      <c r="R141" s="220">
        <v>31</v>
      </c>
      <c r="S141" s="61"/>
      <c r="T141" s="61"/>
      <c r="U141" s="61"/>
      <c r="V141" s="61"/>
      <c r="W141" s="61"/>
      <c r="X141" s="61"/>
      <c r="Y141" s="61"/>
      <c r="Z141" s="61"/>
      <c r="AA141" s="61"/>
      <c r="AB141" s="61"/>
      <c r="AC141" s="61"/>
      <c r="AD141" s="61"/>
      <c r="AE141" s="61"/>
      <c r="AF141" s="61"/>
      <c r="AJ141" s="220">
        <v>31</v>
      </c>
      <c r="AK141" s="225" t="e">
        <f t="shared" si="5"/>
        <v>#DIV/0!</v>
      </c>
      <c r="AL141" s="225" t="e">
        <f t="shared" si="5"/>
        <v>#DIV/0!</v>
      </c>
      <c r="AM141" s="225" t="e">
        <f t="shared" si="7"/>
        <v>#DIV/0!</v>
      </c>
      <c r="AN141" s="225" t="e">
        <f t="shared" si="7"/>
        <v>#DIV/0!</v>
      </c>
      <c r="AO141" s="225" t="e">
        <f t="shared" si="7"/>
        <v>#DIV/0!</v>
      </c>
      <c r="AP141" s="225" t="e">
        <f t="shared" si="6"/>
        <v>#DIV/0!</v>
      </c>
      <c r="AQ141" s="225" t="e">
        <f t="shared" si="6"/>
        <v>#DIV/0!</v>
      </c>
      <c r="AR141" s="225" t="e">
        <f t="shared" si="6"/>
        <v>#DIV/0!</v>
      </c>
      <c r="AS141" s="225" t="e">
        <f t="shared" si="6"/>
        <v>#DIV/0!</v>
      </c>
      <c r="AT141" s="225" t="e">
        <f t="shared" si="6"/>
        <v>#DIV/0!</v>
      </c>
      <c r="AU141" s="225" t="e">
        <f t="shared" si="6"/>
        <v>#DIV/0!</v>
      </c>
      <c r="AV141" s="225" t="e">
        <f t="shared" si="6"/>
        <v>#DIV/0!</v>
      </c>
      <c r="AW141" s="225" t="e">
        <f t="shared" si="6"/>
        <v>#DIV/0!</v>
      </c>
      <c r="AX141" s="226" t="e">
        <f t="shared" si="6"/>
        <v>#DIV/0!</v>
      </c>
    </row>
    <row r="142" spans="2:50">
      <c r="B142" s="220">
        <v>32</v>
      </c>
      <c r="C142" s="68"/>
      <c r="D142" s="68"/>
      <c r="E142" s="68"/>
      <c r="F142" s="68"/>
      <c r="G142" s="68"/>
      <c r="H142" s="68"/>
      <c r="I142" s="68"/>
      <c r="J142" s="68"/>
      <c r="K142" s="68"/>
      <c r="L142" s="68"/>
      <c r="M142" s="68"/>
      <c r="N142" s="68"/>
      <c r="O142" s="68"/>
      <c r="P142" s="68"/>
      <c r="R142" s="220">
        <v>32</v>
      </c>
      <c r="S142" s="68"/>
      <c r="T142" s="68"/>
      <c r="U142" s="68"/>
      <c r="V142" s="68"/>
      <c r="W142" s="68"/>
      <c r="X142" s="68"/>
      <c r="Y142" s="68"/>
      <c r="Z142" s="68"/>
      <c r="AA142" s="68"/>
      <c r="AB142" s="68"/>
      <c r="AC142" s="68"/>
      <c r="AD142" s="68"/>
      <c r="AE142" s="68"/>
      <c r="AF142" s="68"/>
      <c r="AJ142" s="220">
        <v>32</v>
      </c>
      <c r="AK142" s="225" t="e">
        <f t="shared" si="5"/>
        <v>#DIV/0!</v>
      </c>
      <c r="AL142" s="225" t="e">
        <f t="shared" si="5"/>
        <v>#DIV/0!</v>
      </c>
      <c r="AM142" s="225" t="e">
        <f t="shared" si="7"/>
        <v>#DIV/0!</v>
      </c>
      <c r="AN142" s="225" t="e">
        <f t="shared" si="7"/>
        <v>#DIV/0!</v>
      </c>
      <c r="AO142" s="225" t="e">
        <f t="shared" si="7"/>
        <v>#DIV/0!</v>
      </c>
      <c r="AP142" s="225" t="e">
        <f t="shared" si="6"/>
        <v>#DIV/0!</v>
      </c>
      <c r="AQ142" s="225" t="e">
        <f t="shared" si="6"/>
        <v>#DIV/0!</v>
      </c>
      <c r="AR142" s="225" t="e">
        <f t="shared" si="6"/>
        <v>#DIV/0!</v>
      </c>
      <c r="AS142" s="225" t="e">
        <f t="shared" si="6"/>
        <v>#DIV/0!</v>
      </c>
      <c r="AT142" s="225" t="e">
        <f t="shared" si="6"/>
        <v>#DIV/0!</v>
      </c>
      <c r="AU142" s="225" t="e">
        <f t="shared" si="6"/>
        <v>#DIV/0!</v>
      </c>
      <c r="AV142" s="225" t="e">
        <f t="shared" si="6"/>
        <v>#DIV/0!</v>
      </c>
      <c r="AW142" s="225" t="e">
        <f t="shared" si="6"/>
        <v>#DIV/0!</v>
      </c>
      <c r="AX142" s="226" t="e">
        <f t="shared" si="6"/>
        <v>#DIV/0!</v>
      </c>
    </row>
    <row r="143" spans="2:50">
      <c r="B143" s="220">
        <v>33</v>
      </c>
      <c r="C143" s="61"/>
      <c r="D143" s="61"/>
      <c r="E143" s="61"/>
      <c r="F143" s="61"/>
      <c r="G143" s="61"/>
      <c r="H143" s="61"/>
      <c r="I143" s="61"/>
      <c r="J143" s="61"/>
      <c r="K143" s="61"/>
      <c r="L143" s="61"/>
      <c r="M143" s="61"/>
      <c r="N143" s="61"/>
      <c r="O143" s="61"/>
      <c r="P143" s="61"/>
      <c r="R143" s="220">
        <v>33</v>
      </c>
      <c r="S143" s="61"/>
      <c r="T143" s="61"/>
      <c r="U143" s="61"/>
      <c r="V143" s="61"/>
      <c r="W143" s="61"/>
      <c r="X143" s="61"/>
      <c r="Y143" s="61"/>
      <c r="Z143" s="61"/>
      <c r="AA143" s="61"/>
      <c r="AB143" s="61"/>
      <c r="AC143" s="61"/>
      <c r="AD143" s="61"/>
      <c r="AE143" s="61"/>
      <c r="AF143" s="61"/>
      <c r="AJ143" s="220">
        <v>33</v>
      </c>
      <c r="AK143" s="225" t="e">
        <f t="shared" si="5"/>
        <v>#DIV/0!</v>
      </c>
      <c r="AL143" s="225" t="e">
        <f t="shared" si="5"/>
        <v>#DIV/0!</v>
      </c>
      <c r="AM143" s="225" t="e">
        <f t="shared" si="7"/>
        <v>#DIV/0!</v>
      </c>
      <c r="AN143" s="225" t="e">
        <f t="shared" si="7"/>
        <v>#DIV/0!</v>
      </c>
      <c r="AO143" s="225" t="e">
        <f t="shared" si="7"/>
        <v>#DIV/0!</v>
      </c>
      <c r="AP143" s="225" t="e">
        <f t="shared" si="6"/>
        <v>#DIV/0!</v>
      </c>
      <c r="AQ143" s="225" t="e">
        <f t="shared" si="6"/>
        <v>#DIV/0!</v>
      </c>
      <c r="AR143" s="225" t="e">
        <f t="shared" si="6"/>
        <v>#DIV/0!</v>
      </c>
      <c r="AS143" s="225" t="e">
        <f t="shared" si="6"/>
        <v>#DIV/0!</v>
      </c>
      <c r="AT143" s="225" t="e">
        <f t="shared" si="6"/>
        <v>#DIV/0!</v>
      </c>
      <c r="AU143" s="225" t="e">
        <f t="shared" si="6"/>
        <v>#DIV/0!</v>
      </c>
      <c r="AV143" s="225" t="e">
        <f t="shared" si="6"/>
        <v>#DIV/0!</v>
      </c>
      <c r="AW143" s="225" t="e">
        <f t="shared" si="6"/>
        <v>#DIV/0!</v>
      </c>
      <c r="AX143" s="226" t="e">
        <f t="shared" si="6"/>
        <v>#DIV/0!</v>
      </c>
    </row>
    <row r="144" spans="2:50">
      <c r="B144" s="220">
        <v>34</v>
      </c>
      <c r="C144" s="61"/>
      <c r="D144" s="61"/>
      <c r="E144" s="61"/>
      <c r="F144" s="61"/>
      <c r="G144" s="61"/>
      <c r="H144" s="61"/>
      <c r="I144" s="61"/>
      <c r="J144" s="61"/>
      <c r="K144" s="61"/>
      <c r="L144" s="61"/>
      <c r="M144" s="61"/>
      <c r="N144" s="61"/>
      <c r="O144" s="61"/>
      <c r="P144" s="61"/>
      <c r="R144" s="220">
        <v>34</v>
      </c>
      <c r="S144" s="68"/>
      <c r="T144" s="68"/>
      <c r="U144" s="68"/>
      <c r="V144" s="68"/>
      <c r="W144" s="68"/>
      <c r="X144" s="68"/>
      <c r="Y144" s="68"/>
      <c r="Z144" s="68"/>
      <c r="AA144" s="68"/>
      <c r="AB144" s="68"/>
      <c r="AC144" s="68"/>
      <c r="AD144" s="68"/>
      <c r="AE144" s="68"/>
      <c r="AF144" s="68"/>
      <c r="AJ144" s="220">
        <v>34</v>
      </c>
      <c r="AK144" s="225" t="e">
        <f t="shared" si="5"/>
        <v>#DIV/0!</v>
      </c>
      <c r="AL144" s="225" t="e">
        <f t="shared" si="5"/>
        <v>#DIV/0!</v>
      </c>
      <c r="AM144" s="225" t="e">
        <f t="shared" si="7"/>
        <v>#DIV/0!</v>
      </c>
      <c r="AN144" s="225" t="e">
        <f t="shared" si="7"/>
        <v>#DIV/0!</v>
      </c>
      <c r="AO144" s="225" t="e">
        <f t="shared" si="7"/>
        <v>#DIV/0!</v>
      </c>
      <c r="AP144" s="225" t="e">
        <f t="shared" si="6"/>
        <v>#DIV/0!</v>
      </c>
      <c r="AQ144" s="225" t="e">
        <f t="shared" si="6"/>
        <v>#DIV/0!</v>
      </c>
      <c r="AR144" s="225" t="e">
        <f t="shared" si="6"/>
        <v>#DIV/0!</v>
      </c>
      <c r="AS144" s="225" t="e">
        <f t="shared" si="6"/>
        <v>#DIV/0!</v>
      </c>
      <c r="AT144" s="225" t="e">
        <f t="shared" si="6"/>
        <v>#DIV/0!</v>
      </c>
      <c r="AU144" s="225" t="e">
        <f t="shared" si="6"/>
        <v>#DIV/0!</v>
      </c>
      <c r="AV144" s="225" t="e">
        <f t="shared" si="6"/>
        <v>#DIV/0!</v>
      </c>
      <c r="AW144" s="225" t="e">
        <f t="shared" si="6"/>
        <v>#DIV/0!</v>
      </c>
      <c r="AX144" s="226" t="e">
        <f t="shared" si="6"/>
        <v>#DIV/0!</v>
      </c>
    </row>
    <row r="145" spans="2:50">
      <c r="B145" s="220">
        <v>35</v>
      </c>
      <c r="C145" s="61"/>
      <c r="D145" s="61"/>
      <c r="E145" s="61"/>
      <c r="F145" s="61"/>
      <c r="G145" s="61"/>
      <c r="H145" s="61"/>
      <c r="I145" s="61"/>
      <c r="J145" s="61"/>
      <c r="K145" s="61"/>
      <c r="L145" s="61"/>
      <c r="M145" s="61"/>
      <c r="N145" s="61"/>
      <c r="O145" s="61"/>
      <c r="P145" s="61"/>
      <c r="R145" s="220">
        <v>35</v>
      </c>
      <c r="S145" s="61"/>
      <c r="T145" s="61"/>
      <c r="U145" s="61"/>
      <c r="V145" s="61"/>
      <c r="W145" s="61"/>
      <c r="X145" s="61"/>
      <c r="Y145" s="61"/>
      <c r="Z145" s="61"/>
      <c r="AA145" s="61"/>
      <c r="AB145" s="61"/>
      <c r="AC145" s="61"/>
      <c r="AD145" s="61"/>
      <c r="AE145" s="61"/>
      <c r="AF145" s="61"/>
      <c r="AJ145" s="220">
        <v>35</v>
      </c>
      <c r="AK145" s="225" t="e">
        <f t="shared" si="5"/>
        <v>#DIV/0!</v>
      </c>
      <c r="AL145" s="225" t="e">
        <f t="shared" si="5"/>
        <v>#DIV/0!</v>
      </c>
      <c r="AM145" s="225" t="e">
        <f t="shared" si="7"/>
        <v>#DIV/0!</v>
      </c>
      <c r="AN145" s="225" t="e">
        <f t="shared" si="7"/>
        <v>#DIV/0!</v>
      </c>
      <c r="AO145" s="225" t="e">
        <f t="shared" si="7"/>
        <v>#DIV/0!</v>
      </c>
      <c r="AP145" s="225" t="e">
        <f t="shared" si="6"/>
        <v>#DIV/0!</v>
      </c>
      <c r="AQ145" s="225" t="e">
        <f t="shared" si="6"/>
        <v>#DIV/0!</v>
      </c>
      <c r="AR145" s="225" t="e">
        <f t="shared" si="6"/>
        <v>#DIV/0!</v>
      </c>
      <c r="AS145" s="225" t="e">
        <f t="shared" si="6"/>
        <v>#DIV/0!</v>
      </c>
      <c r="AT145" s="225" t="e">
        <f t="shared" si="6"/>
        <v>#DIV/0!</v>
      </c>
      <c r="AU145" s="225" t="e">
        <f t="shared" si="6"/>
        <v>#DIV/0!</v>
      </c>
      <c r="AV145" s="225" t="e">
        <f t="shared" si="6"/>
        <v>#DIV/0!</v>
      </c>
      <c r="AW145" s="225" t="e">
        <f t="shared" si="6"/>
        <v>#DIV/0!</v>
      </c>
      <c r="AX145" s="226" t="e">
        <f t="shared" si="6"/>
        <v>#DIV/0!</v>
      </c>
    </row>
    <row r="146" spans="2:50">
      <c r="B146" s="224">
        <v>36</v>
      </c>
      <c r="C146" s="68"/>
      <c r="D146" s="68"/>
      <c r="E146" s="68"/>
      <c r="F146" s="68"/>
      <c r="G146" s="68"/>
      <c r="H146" s="68"/>
      <c r="I146" s="68"/>
      <c r="J146" s="68"/>
      <c r="K146" s="68"/>
      <c r="L146" s="68"/>
      <c r="M146" s="68"/>
      <c r="N146" s="68"/>
      <c r="O146" s="68"/>
      <c r="P146" s="68"/>
      <c r="R146" s="224">
        <v>36</v>
      </c>
      <c r="S146" s="68"/>
      <c r="T146" s="68"/>
      <c r="U146" s="68"/>
      <c r="V146" s="68"/>
      <c r="W146" s="68"/>
      <c r="X146" s="68"/>
      <c r="Y146" s="68"/>
      <c r="Z146" s="68"/>
      <c r="AA146" s="68"/>
      <c r="AB146" s="68"/>
      <c r="AC146" s="68"/>
      <c r="AD146" s="68"/>
      <c r="AE146" s="68"/>
      <c r="AF146" s="68"/>
      <c r="AJ146" s="224">
        <v>36</v>
      </c>
      <c r="AK146" s="225" t="e">
        <f t="shared" si="5"/>
        <v>#DIV/0!</v>
      </c>
      <c r="AL146" s="225" t="e">
        <f t="shared" si="5"/>
        <v>#DIV/0!</v>
      </c>
      <c r="AM146" s="225" t="e">
        <f t="shared" si="7"/>
        <v>#DIV/0!</v>
      </c>
      <c r="AN146" s="225" t="e">
        <f t="shared" si="7"/>
        <v>#DIV/0!</v>
      </c>
      <c r="AO146" s="225" t="e">
        <f t="shared" si="7"/>
        <v>#DIV/0!</v>
      </c>
      <c r="AP146" s="225" t="e">
        <f t="shared" si="6"/>
        <v>#DIV/0!</v>
      </c>
      <c r="AQ146" s="225" t="e">
        <f t="shared" si="6"/>
        <v>#DIV/0!</v>
      </c>
      <c r="AR146" s="225" t="e">
        <f t="shared" si="6"/>
        <v>#DIV/0!</v>
      </c>
      <c r="AS146" s="225" t="e">
        <f t="shared" si="6"/>
        <v>#DIV/0!</v>
      </c>
      <c r="AT146" s="225" t="e">
        <f t="shared" si="6"/>
        <v>#DIV/0!</v>
      </c>
      <c r="AU146" s="225" t="e">
        <f t="shared" si="6"/>
        <v>#DIV/0!</v>
      </c>
      <c r="AV146" s="225" t="e">
        <f t="shared" si="6"/>
        <v>#DIV/0!</v>
      </c>
      <c r="AW146" s="225" t="e">
        <f t="shared" si="6"/>
        <v>#DIV/0!</v>
      </c>
      <c r="AX146" s="226" t="e">
        <f t="shared" si="6"/>
        <v>#DIV/0!</v>
      </c>
    </row>
    <row r="147" spans="2:50">
      <c r="B147" s="220">
        <v>37</v>
      </c>
      <c r="C147" s="61"/>
      <c r="D147" s="61"/>
      <c r="E147" s="61"/>
      <c r="F147" s="61"/>
      <c r="G147" s="61"/>
      <c r="H147" s="61"/>
      <c r="I147" s="61"/>
      <c r="J147" s="61"/>
      <c r="K147" s="61"/>
      <c r="L147" s="61"/>
      <c r="M147" s="61"/>
      <c r="N147" s="61"/>
      <c r="O147" s="61"/>
      <c r="P147" s="61"/>
      <c r="Q147" s="229"/>
      <c r="R147" s="220">
        <v>37</v>
      </c>
      <c r="S147" s="61"/>
      <c r="T147" s="61"/>
      <c r="U147" s="61"/>
      <c r="V147" s="61"/>
      <c r="W147" s="61"/>
      <c r="X147" s="61"/>
      <c r="Y147" s="61"/>
      <c r="Z147" s="61"/>
      <c r="AA147" s="61"/>
      <c r="AB147" s="61"/>
      <c r="AC147" s="61"/>
      <c r="AD147" s="61"/>
      <c r="AE147" s="61"/>
      <c r="AF147" s="61"/>
      <c r="AG147" s="229"/>
      <c r="AH147" s="229"/>
      <c r="AI147" s="229"/>
      <c r="AJ147" s="220">
        <v>37</v>
      </c>
      <c r="AK147" s="225" t="e">
        <f t="shared" si="5"/>
        <v>#DIV/0!</v>
      </c>
      <c r="AL147" s="225" t="e">
        <f t="shared" si="5"/>
        <v>#DIV/0!</v>
      </c>
      <c r="AM147" s="225" t="e">
        <f t="shared" si="7"/>
        <v>#DIV/0!</v>
      </c>
      <c r="AN147" s="225" t="e">
        <f t="shared" si="7"/>
        <v>#DIV/0!</v>
      </c>
      <c r="AO147" s="225" t="e">
        <f t="shared" si="7"/>
        <v>#DIV/0!</v>
      </c>
      <c r="AP147" s="225" t="e">
        <f t="shared" si="6"/>
        <v>#DIV/0!</v>
      </c>
      <c r="AQ147" s="225" t="e">
        <f t="shared" si="6"/>
        <v>#DIV/0!</v>
      </c>
      <c r="AR147" s="225" t="e">
        <f t="shared" si="6"/>
        <v>#DIV/0!</v>
      </c>
      <c r="AS147" s="225" t="e">
        <f t="shared" si="6"/>
        <v>#DIV/0!</v>
      </c>
      <c r="AT147" s="225" t="e">
        <f t="shared" si="6"/>
        <v>#DIV/0!</v>
      </c>
      <c r="AU147" s="225" t="e">
        <f t="shared" si="6"/>
        <v>#DIV/0!</v>
      </c>
      <c r="AV147" s="225" t="e">
        <f t="shared" si="6"/>
        <v>#DIV/0!</v>
      </c>
      <c r="AW147" s="225" t="e">
        <f t="shared" si="6"/>
        <v>#DIV/0!</v>
      </c>
      <c r="AX147" s="226" t="e">
        <f t="shared" si="6"/>
        <v>#DIV/0!</v>
      </c>
    </row>
    <row r="148" spans="2:50">
      <c r="B148" s="220">
        <v>38</v>
      </c>
      <c r="C148" s="61"/>
      <c r="D148" s="61"/>
      <c r="E148" s="61"/>
      <c r="F148" s="61"/>
      <c r="G148" s="61"/>
      <c r="H148" s="61"/>
      <c r="I148" s="61"/>
      <c r="J148" s="61"/>
      <c r="K148" s="61"/>
      <c r="L148" s="61"/>
      <c r="M148" s="61"/>
      <c r="N148" s="61"/>
      <c r="O148" s="61"/>
      <c r="P148" s="61"/>
      <c r="R148" s="220">
        <v>38</v>
      </c>
      <c r="S148" s="68"/>
      <c r="T148" s="68"/>
      <c r="U148" s="68"/>
      <c r="V148" s="68"/>
      <c r="W148" s="68"/>
      <c r="X148" s="68"/>
      <c r="Y148" s="68"/>
      <c r="Z148" s="68"/>
      <c r="AA148" s="68"/>
      <c r="AB148" s="68"/>
      <c r="AC148" s="68"/>
      <c r="AD148" s="68"/>
      <c r="AE148" s="68"/>
      <c r="AF148" s="68"/>
      <c r="AJ148" s="220">
        <v>38</v>
      </c>
      <c r="AK148" s="225" t="e">
        <f t="shared" si="5"/>
        <v>#DIV/0!</v>
      </c>
      <c r="AL148" s="225" t="e">
        <f t="shared" si="5"/>
        <v>#DIV/0!</v>
      </c>
      <c r="AM148" s="225" t="e">
        <f t="shared" si="7"/>
        <v>#DIV/0!</v>
      </c>
      <c r="AN148" s="225" t="e">
        <f t="shared" si="7"/>
        <v>#DIV/0!</v>
      </c>
      <c r="AO148" s="225" t="e">
        <f t="shared" si="7"/>
        <v>#DIV/0!</v>
      </c>
      <c r="AP148" s="225" t="e">
        <f t="shared" si="6"/>
        <v>#DIV/0!</v>
      </c>
      <c r="AQ148" s="225" t="e">
        <f t="shared" si="6"/>
        <v>#DIV/0!</v>
      </c>
      <c r="AR148" s="225" t="e">
        <f t="shared" si="6"/>
        <v>#DIV/0!</v>
      </c>
      <c r="AS148" s="225" t="e">
        <f t="shared" si="6"/>
        <v>#DIV/0!</v>
      </c>
      <c r="AT148" s="225" t="e">
        <f t="shared" si="6"/>
        <v>#DIV/0!</v>
      </c>
      <c r="AU148" s="225" t="e">
        <f t="shared" si="6"/>
        <v>#DIV/0!</v>
      </c>
      <c r="AV148" s="225" t="e">
        <f t="shared" si="6"/>
        <v>#DIV/0!</v>
      </c>
      <c r="AW148" s="225" t="e">
        <f t="shared" si="6"/>
        <v>#DIV/0!</v>
      </c>
      <c r="AX148" s="226" t="e">
        <f t="shared" si="6"/>
        <v>#DIV/0!</v>
      </c>
    </row>
    <row r="149" spans="2:50">
      <c r="B149" s="220">
        <v>39</v>
      </c>
      <c r="C149" s="61"/>
      <c r="D149" s="61"/>
      <c r="E149" s="61"/>
      <c r="F149" s="61"/>
      <c r="G149" s="61"/>
      <c r="H149" s="61"/>
      <c r="I149" s="61"/>
      <c r="J149" s="61"/>
      <c r="K149" s="61"/>
      <c r="L149" s="61"/>
      <c r="M149" s="61"/>
      <c r="N149" s="61"/>
      <c r="O149" s="61"/>
      <c r="P149" s="61"/>
      <c r="R149" s="220">
        <v>39</v>
      </c>
      <c r="S149" s="61"/>
      <c r="T149" s="61"/>
      <c r="U149" s="61"/>
      <c r="V149" s="61"/>
      <c r="W149" s="61"/>
      <c r="X149" s="61"/>
      <c r="Y149" s="61"/>
      <c r="Z149" s="61"/>
      <c r="AA149" s="61"/>
      <c r="AB149" s="61"/>
      <c r="AC149" s="61"/>
      <c r="AD149" s="61"/>
      <c r="AE149" s="61"/>
      <c r="AF149" s="61"/>
      <c r="AJ149" s="220">
        <v>39</v>
      </c>
      <c r="AK149" s="225" t="e">
        <f t="shared" si="5"/>
        <v>#DIV/0!</v>
      </c>
      <c r="AL149" s="225" t="e">
        <f t="shared" si="5"/>
        <v>#DIV/0!</v>
      </c>
      <c r="AM149" s="225" t="e">
        <f t="shared" si="7"/>
        <v>#DIV/0!</v>
      </c>
      <c r="AN149" s="225" t="e">
        <f t="shared" si="7"/>
        <v>#DIV/0!</v>
      </c>
      <c r="AO149" s="225" t="e">
        <f t="shared" si="7"/>
        <v>#DIV/0!</v>
      </c>
      <c r="AP149" s="225" t="e">
        <f t="shared" si="6"/>
        <v>#DIV/0!</v>
      </c>
      <c r="AQ149" s="225" t="e">
        <f t="shared" si="6"/>
        <v>#DIV/0!</v>
      </c>
      <c r="AR149" s="225" t="e">
        <f t="shared" si="6"/>
        <v>#DIV/0!</v>
      </c>
      <c r="AS149" s="225" t="e">
        <f t="shared" si="6"/>
        <v>#DIV/0!</v>
      </c>
      <c r="AT149" s="225" t="e">
        <f t="shared" si="6"/>
        <v>#DIV/0!</v>
      </c>
      <c r="AU149" s="225" t="e">
        <f t="shared" si="6"/>
        <v>#DIV/0!</v>
      </c>
      <c r="AV149" s="225" t="e">
        <f t="shared" si="6"/>
        <v>#DIV/0!</v>
      </c>
      <c r="AW149" s="225" t="e">
        <f t="shared" si="6"/>
        <v>#DIV/0!</v>
      </c>
      <c r="AX149" s="226" t="e">
        <f t="shared" si="6"/>
        <v>#DIV/0!</v>
      </c>
    </row>
    <row r="150" spans="2:50">
      <c r="B150" s="220">
        <v>40</v>
      </c>
      <c r="C150" s="68"/>
      <c r="D150" s="68"/>
      <c r="E150" s="68"/>
      <c r="F150" s="68"/>
      <c r="G150" s="68"/>
      <c r="H150" s="68"/>
      <c r="I150" s="68"/>
      <c r="J150" s="68"/>
      <c r="K150" s="68"/>
      <c r="L150" s="68"/>
      <c r="M150" s="68"/>
      <c r="N150" s="68"/>
      <c r="O150" s="68"/>
      <c r="P150" s="68"/>
      <c r="R150" s="220">
        <v>40</v>
      </c>
      <c r="S150" s="68"/>
      <c r="T150" s="68"/>
      <c r="U150" s="68"/>
      <c r="V150" s="68"/>
      <c r="W150" s="68"/>
      <c r="X150" s="68"/>
      <c r="Y150" s="68"/>
      <c r="Z150" s="68"/>
      <c r="AA150" s="68"/>
      <c r="AB150" s="68"/>
      <c r="AC150" s="68"/>
      <c r="AD150" s="68"/>
      <c r="AE150" s="68"/>
      <c r="AF150" s="68"/>
      <c r="AJ150" s="220">
        <v>40</v>
      </c>
      <c r="AK150" s="225" t="e">
        <f t="shared" si="5"/>
        <v>#DIV/0!</v>
      </c>
      <c r="AL150" s="225" t="e">
        <f t="shared" si="5"/>
        <v>#DIV/0!</v>
      </c>
      <c r="AM150" s="225" t="e">
        <f t="shared" si="7"/>
        <v>#DIV/0!</v>
      </c>
      <c r="AN150" s="225" t="e">
        <f t="shared" si="7"/>
        <v>#DIV/0!</v>
      </c>
      <c r="AO150" s="225" t="e">
        <f t="shared" si="7"/>
        <v>#DIV/0!</v>
      </c>
      <c r="AP150" s="225" t="e">
        <f t="shared" si="6"/>
        <v>#DIV/0!</v>
      </c>
      <c r="AQ150" s="225" t="e">
        <f t="shared" si="6"/>
        <v>#DIV/0!</v>
      </c>
      <c r="AR150" s="225" t="e">
        <f t="shared" si="6"/>
        <v>#DIV/0!</v>
      </c>
      <c r="AS150" s="225" t="e">
        <f t="shared" ref="AS150:AX158" si="8">EXP(-AS$109*$AJ150)</f>
        <v>#DIV/0!</v>
      </c>
      <c r="AT150" s="225" t="e">
        <f t="shared" si="8"/>
        <v>#DIV/0!</v>
      </c>
      <c r="AU150" s="225" t="e">
        <f t="shared" si="8"/>
        <v>#DIV/0!</v>
      </c>
      <c r="AV150" s="225" t="e">
        <f t="shared" si="8"/>
        <v>#DIV/0!</v>
      </c>
      <c r="AW150" s="225" t="e">
        <f t="shared" si="8"/>
        <v>#DIV/0!</v>
      </c>
      <c r="AX150" s="226" t="e">
        <f t="shared" si="8"/>
        <v>#DIV/0!</v>
      </c>
    </row>
    <row r="151" spans="2:50">
      <c r="B151" s="220">
        <v>41</v>
      </c>
      <c r="C151" s="61"/>
      <c r="D151" s="61"/>
      <c r="E151" s="61"/>
      <c r="F151" s="61"/>
      <c r="G151" s="61"/>
      <c r="H151" s="61"/>
      <c r="I151" s="61"/>
      <c r="J151" s="61"/>
      <c r="K151" s="61"/>
      <c r="L151" s="61"/>
      <c r="M151" s="61"/>
      <c r="N151" s="61"/>
      <c r="O151" s="61"/>
      <c r="P151" s="61"/>
      <c r="R151" s="220">
        <v>41</v>
      </c>
      <c r="S151" s="61"/>
      <c r="T151" s="61"/>
      <c r="U151" s="61"/>
      <c r="V151" s="61"/>
      <c r="W151" s="61"/>
      <c r="X151" s="61"/>
      <c r="Y151" s="61"/>
      <c r="Z151" s="61"/>
      <c r="AA151" s="61"/>
      <c r="AB151" s="61"/>
      <c r="AC151" s="61"/>
      <c r="AD151" s="61"/>
      <c r="AE151" s="61"/>
      <c r="AF151" s="61"/>
      <c r="AJ151" s="220">
        <v>41</v>
      </c>
      <c r="AK151" s="225" t="e">
        <f t="shared" si="5"/>
        <v>#DIV/0!</v>
      </c>
      <c r="AL151" s="225" t="e">
        <f t="shared" si="5"/>
        <v>#DIV/0!</v>
      </c>
      <c r="AM151" s="225" t="e">
        <f t="shared" si="7"/>
        <v>#DIV/0!</v>
      </c>
      <c r="AN151" s="225" t="e">
        <f t="shared" si="7"/>
        <v>#DIV/0!</v>
      </c>
      <c r="AO151" s="225" t="e">
        <f t="shared" si="7"/>
        <v>#DIV/0!</v>
      </c>
      <c r="AP151" s="225" t="e">
        <f t="shared" si="7"/>
        <v>#DIV/0!</v>
      </c>
      <c r="AQ151" s="225" t="e">
        <f t="shared" si="7"/>
        <v>#DIV/0!</v>
      </c>
      <c r="AR151" s="225" t="e">
        <f t="shared" si="7"/>
        <v>#DIV/0!</v>
      </c>
      <c r="AS151" s="225" t="e">
        <f t="shared" si="8"/>
        <v>#DIV/0!</v>
      </c>
      <c r="AT151" s="225" t="e">
        <f t="shared" si="8"/>
        <v>#DIV/0!</v>
      </c>
      <c r="AU151" s="225" t="e">
        <f t="shared" si="8"/>
        <v>#DIV/0!</v>
      </c>
      <c r="AV151" s="225" t="e">
        <f t="shared" si="8"/>
        <v>#DIV/0!</v>
      </c>
      <c r="AW151" s="225" t="e">
        <f t="shared" si="8"/>
        <v>#DIV/0!</v>
      </c>
      <c r="AX151" s="226" t="e">
        <f t="shared" si="8"/>
        <v>#DIV/0!</v>
      </c>
    </row>
    <row r="152" spans="2:50">
      <c r="B152" s="220">
        <v>42</v>
      </c>
      <c r="C152" s="61"/>
      <c r="D152" s="61"/>
      <c r="E152" s="61"/>
      <c r="F152" s="61"/>
      <c r="G152" s="61"/>
      <c r="H152" s="61"/>
      <c r="I152" s="61"/>
      <c r="J152" s="61"/>
      <c r="K152" s="61"/>
      <c r="L152" s="61"/>
      <c r="M152" s="61"/>
      <c r="N152" s="61"/>
      <c r="O152" s="61"/>
      <c r="P152" s="61"/>
      <c r="R152" s="220">
        <v>42</v>
      </c>
      <c r="S152" s="68"/>
      <c r="T152" s="68"/>
      <c r="U152" s="68"/>
      <c r="V152" s="68"/>
      <c r="W152" s="68"/>
      <c r="X152" s="68"/>
      <c r="Y152" s="68"/>
      <c r="Z152" s="68"/>
      <c r="AA152" s="68"/>
      <c r="AB152" s="68"/>
      <c r="AC152" s="68"/>
      <c r="AD152" s="68"/>
      <c r="AE152" s="68"/>
      <c r="AF152" s="68"/>
      <c r="AJ152" s="220">
        <v>42</v>
      </c>
      <c r="AK152" s="225" t="e">
        <f t="shared" si="5"/>
        <v>#DIV/0!</v>
      </c>
      <c r="AL152" s="225" t="e">
        <f t="shared" si="5"/>
        <v>#DIV/0!</v>
      </c>
      <c r="AM152" s="225" t="e">
        <f t="shared" si="7"/>
        <v>#DIV/0!</v>
      </c>
      <c r="AN152" s="225" t="e">
        <f t="shared" si="7"/>
        <v>#DIV/0!</v>
      </c>
      <c r="AO152" s="225" t="e">
        <f t="shared" si="7"/>
        <v>#DIV/0!</v>
      </c>
      <c r="AP152" s="225" t="e">
        <f t="shared" si="7"/>
        <v>#DIV/0!</v>
      </c>
      <c r="AQ152" s="225" t="e">
        <f t="shared" si="7"/>
        <v>#DIV/0!</v>
      </c>
      <c r="AR152" s="225" t="e">
        <f t="shared" si="7"/>
        <v>#DIV/0!</v>
      </c>
      <c r="AS152" s="225" t="e">
        <f t="shared" si="8"/>
        <v>#DIV/0!</v>
      </c>
      <c r="AT152" s="225" t="e">
        <f t="shared" si="8"/>
        <v>#DIV/0!</v>
      </c>
      <c r="AU152" s="225" t="e">
        <f t="shared" si="8"/>
        <v>#DIV/0!</v>
      </c>
      <c r="AV152" s="225" t="e">
        <f t="shared" si="8"/>
        <v>#DIV/0!</v>
      </c>
      <c r="AW152" s="225" t="e">
        <f t="shared" si="8"/>
        <v>#DIV/0!</v>
      </c>
      <c r="AX152" s="226" t="e">
        <f t="shared" si="8"/>
        <v>#DIV/0!</v>
      </c>
    </row>
    <row r="153" spans="2:50">
      <c r="B153" s="220">
        <v>43</v>
      </c>
      <c r="C153" s="61"/>
      <c r="D153" s="61"/>
      <c r="E153" s="61"/>
      <c r="F153" s="61"/>
      <c r="G153" s="61"/>
      <c r="H153" s="61"/>
      <c r="I153" s="61"/>
      <c r="J153" s="61"/>
      <c r="K153" s="61"/>
      <c r="L153" s="61"/>
      <c r="M153" s="61"/>
      <c r="N153" s="61"/>
      <c r="O153" s="61"/>
      <c r="P153" s="61"/>
      <c r="R153" s="220">
        <v>43</v>
      </c>
      <c r="S153" s="61"/>
      <c r="T153" s="61"/>
      <c r="U153" s="61"/>
      <c r="V153" s="61"/>
      <c r="W153" s="61"/>
      <c r="X153" s="61"/>
      <c r="Y153" s="61"/>
      <c r="Z153" s="61"/>
      <c r="AA153" s="61"/>
      <c r="AB153" s="61"/>
      <c r="AC153" s="61"/>
      <c r="AD153" s="61"/>
      <c r="AE153" s="61"/>
      <c r="AF153" s="61"/>
      <c r="AJ153" s="220">
        <v>43</v>
      </c>
      <c r="AK153" s="225" t="e">
        <f t="shared" si="5"/>
        <v>#DIV/0!</v>
      </c>
      <c r="AL153" s="225" t="e">
        <f t="shared" si="5"/>
        <v>#DIV/0!</v>
      </c>
      <c r="AM153" s="225" t="e">
        <f t="shared" si="7"/>
        <v>#DIV/0!</v>
      </c>
      <c r="AN153" s="225" t="e">
        <f t="shared" si="7"/>
        <v>#DIV/0!</v>
      </c>
      <c r="AO153" s="225" t="e">
        <f t="shared" si="7"/>
        <v>#DIV/0!</v>
      </c>
      <c r="AP153" s="225" t="e">
        <f t="shared" si="7"/>
        <v>#DIV/0!</v>
      </c>
      <c r="AQ153" s="225" t="e">
        <f t="shared" si="7"/>
        <v>#DIV/0!</v>
      </c>
      <c r="AR153" s="225" t="e">
        <f t="shared" si="7"/>
        <v>#DIV/0!</v>
      </c>
      <c r="AS153" s="225" t="e">
        <f t="shared" si="8"/>
        <v>#DIV/0!</v>
      </c>
      <c r="AT153" s="225" t="e">
        <f t="shared" si="8"/>
        <v>#DIV/0!</v>
      </c>
      <c r="AU153" s="225" t="e">
        <f t="shared" si="8"/>
        <v>#DIV/0!</v>
      </c>
      <c r="AV153" s="225" t="e">
        <f t="shared" si="8"/>
        <v>#DIV/0!</v>
      </c>
      <c r="AW153" s="225" t="e">
        <f t="shared" si="8"/>
        <v>#DIV/0!</v>
      </c>
      <c r="AX153" s="226" t="e">
        <f t="shared" si="8"/>
        <v>#DIV/0!</v>
      </c>
    </row>
    <row r="154" spans="2:50">
      <c r="B154" s="220">
        <v>44</v>
      </c>
      <c r="C154" s="68"/>
      <c r="D154" s="68"/>
      <c r="E154" s="68"/>
      <c r="F154" s="68"/>
      <c r="G154" s="68"/>
      <c r="H154" s="68"/>
      <c r="I154" s="68"/>
      <c r="J154" s="68"/>
      <c r="K154" s="68"/>
      <c r="L154" s="68"/>
      <c r="M154" s="68"/>
      <c r="N154" s="68"/>
      <c r="O154" s="68"/>
      <c r="P154" s="68"/>
      <c r="R154" s="220">
        <v>44</v>
      </c>
      <c r="S154" s="68"/>
      <c r="T154" s="68"/>
      <c r="U154" s="68"/>
      <c r="V154" s="68"/>
      <c r="W154" s="68"/>
      <c r="X154" s="68"/>
      <c r="Y154" s="68"/>
      <c r="Z154" s="68"/>
      <c r="AA154" s="68"/>
      <c r="AB154" s="68"/>
      <c r="AC154" s="68"/>
      <c r="AD154" s="68"/>
      <c r="AE154" s="68"/>
      <c r="AF154" s="68"/>
      <c r="AJ154" s="220">
        <v>44</v>
      </c>
      <c r="AK154" s="225" t="e">
        <f t="shared" si="5"/>
        <v>#DIV/0!</v>
      </c>
      <c r="AL154" s="225" t="e">
        <f t="shared" si="5"/>
        <v>#DIV/0!</v>
      </c>
      <c r="AM154" s="225" t="e">
        <f t="shared" si="7"/>
        <v>#DIV/0!</v>
      </c>
      <c r="AN154" s="225" t="e">
        <f t="shared" si="7"/>
        <v>#DIV/0!</v>
      </c>
      <c r="AO154" s="225" t="e">
        <f t="shared" si="7"/>
        <v>#DIV/0!</v>
      </c>
      <c r="AP154" s="225" t="e">
        <f t="shared" si="7"/>
        <v>#DIV/0!</v>
      </c>
      <c r="AQ154" s="225" t="e">
        <f t="shared" si="7"/>
        <v>#DIV/0!</v>
      </c>
      <c r="AR154" s="225" t="e">
        <f t="shared" si="7"/>
        <v>#DIV/0!</v>
      </c>
      <c r="AS154" s="225" t="e">
        <f t="shared" si="8"/>
        <v>#DIV/0!</v>
      </c>
      <c r="AT154" s="225" t="e">
        <f t="shared" si="8"/>
        <v>#DIV/0!</v>
      </c>
      <c r="AU154" s="225" t="e">
        <f t="shared" si="8"/>
        <v>#DIV/0!</v>
      </c>
      <c r="AV154" s="225" t="e">
        <f t="shared" si="8"/>
        <v>#DIV/0!</v>
      </c>
      <c r="AW154" s="225" t="e">
        <f t="shared" si="8"/>
        <v>#DIV/0!</v>
      </c>
      <c r="AX154" s="226" t="e">
        <f t="shared" si="8"/>
        <v>#DIV/0!</v>
      </c>
    </row>
    <row r="155" spans="2:50">
      <c r="B155" s="220">
        <v>45</v>
      </c>
      <c r="C155" s="61"/>
      <c r="D155" s="61"/>
      <c r="E155" s="61"/>
      <c r="F155" s="61"/>
      <c r="G155" s="61"/>
      <c r="H155" s="61"/>
      <c r="I155" s="61"/>
      <c r="J155" s="61"/>
      <c r="K155" s="61"/>
      <c r="L155" s="61"/>
      <c r="M155" s="61"/>
      <c r="N155" s="61"/>
      <c r="O155" s="61"/>
      <c r="P155" s="61"/>
      <c r="R155" s="220">
        <v>45</v>
      </c>
      <c r="S155" s="61"/>
      <c r="T155" s="61"/>
      <c r="U155" s="61"/>
      <c r="V155" s="61"/>
      <c r="W155" s="61"/>
      <c r="X155" s="61"/>
      <c r="Y155" s="61"/>
      <c r="Z155" s="61"/>
      <c r="AA155" s="61"/>
      <c r="AB155" s="61"/>
      <c r="AC155" s="61"/>
      <c r="AD155" s="61"/>
      <c r="AE155" s="61"/>
      <c r="AF155" s="61"/>
      <c r="AJ155" s="220">
        <v>45</v>
      </c>
      <c r="AK155" s="225" t="e">
        <f t="shared" si="5"/>
        <v>#DIV/0!</v>
      </c>
      <c r="AL155" s="225" t="e">
        <f t="shared" si="5"/>
        <v>#DIV/0!</v>
      </c>
      <c r="AM155" s="225" t="e">
        <f t="shared" si="7"/>
        <v>#DIV/0!</v>
      </c>
      <c r="AN155" s="225" t="e">
        <f t="shared" si="7"/>
        <v>#DIV/0!</v>
      </c>
      <c r="AO155" s="225" t="e">
        <f t="shared" si="7"/>
        <v>#DIV/0!</v>
      </c>
      <c r="AP155" s="225" t="e">
        <f t="shared" si="7"/>
        <v>#DIV/0!</v>
      </c>
      <c r="AQ155" s="225" t="e">
        <f t="shared" si="7"/>
        <v>#DIV/0!</v>
      </c>
      <c r="AR155" s="225" t="e">
        <f t="shared" si="7"/>
        <v>#DIV/0!</v>
      </c>
      <c r="AS155" s="225" t="e">
        <f t="shared" si="8"/>
        <v>#DIV/0!</v>
      </c>
      <c r="AT155" s="225" t="e">
        <f t="shared" si="8"/>
        <v>#DIV/0!</v>
      </c>
      <c r="AU155" s="225" t="e">
        <f t="shared" si="8"/>
        <v>#DIV/0!</v>
      </c>
      <c r="AV155" s="225" t="e">
        <f t="shared" si="8"/>
        <v>#DIV/0!</v>
      </c>
      <c r="AW155" s="225" t="e">
        <f t="shared" si="8"/>
        <v>#DIV/0!</v>
      </c>
      <c r="AX155" s="226" t="e">
        <f t="shared" si="8"/>
        <v>#DIV/0!</v>
      </c>
    </row>
    <row r="156" spans="2:50">
      <c r="B156" s="220">
        <v>46</v>
      </c>
      <c r="C156" s="61"/>
      <c r="D156" s="61"/>
      <c r="E156" s="61"/>
      <c r="F156" s="61"/>
      <c r="G156" s="61"/>
      <c r="H156" s="61"/>
      <c r="I156" s="61"/>
      <c r="J156" s="61"/>
      <c r="K156" s="61"/>
      <c r="L156" s="61"/>
      <c r="M156" s="61"/>
      <c r="N156" s="61"/>
      <c r="O156" s="61"/>
      <c r="P156" s="61"/>
      <c r="R156" s="220">
        <v>46</v>
      </c>
      <c r="S156" s="68"/>
      <c r="T156" s="68"/>
      <c r="U156" s="68"/>
      <c r="V156" s="68"/>
      <c r="W156" s="68"/>
      <c r="X156" s="68"/>
      <c r="Y156" s="68"/>
      <c r="Z156" s="68"/>
      <c r="AA156" s="68"/>
      <c r="AB156" s="68"/>
      <c r="AC156" s="68"/>
      <c r="AD156" s="68"/>
      <c r="AE156" s="68"/>
      <c r="AF156" s="68"/>
      <c r="AJ156" s="220">
        <v>46</v>
      </c>
      <c r="AK156" s="225" t="e">
        <f t="shared" si="5"/>
        <v>#DIV/0!</v>
      </c>
      <c r="AL156" s="225" t="e">
        <f t="shared" si="5"/>
        <v>#DIV/0!</v>
      </c>
      <c r="AM156" s="225" t="e">
        <f t="shared" si="7"/>
        <v>#DIV/0!</v>
      </c>
      <c r="AN156" s="225" t="e">
        <f t="shared" si="7"/>
        <v>#DIV/0!</v>
      </c>
      <c r="AO156" s="225" t="e">
        <f t="shared" si="7"/>
        <v>#DIV/0!</v>
      </c>
      <c r="AP156" s="225" t="e">
        <f t="shared" si="7"/>
        <v>#DIV/0!</v>
      </c>
      <c r="AQ156" s="225" t="e">
        <f t="shared" si="7"/>
        <v>#DIV/0!</v>
      </c>
      <c r="AR156" s="225" t="e">
        <f t="shared" si="7"/>
        <v>#DIV/0!</v>
      </c>
      <c r="AS156" s="225" t="e">
        <f t="shared" si="8"/>
        <v>#DIV/0!</v>
      </c>
      <c r="AT156" s="225" t="e">
        <f t="shared" si="8"/>
        <v>#DIV/0!</v>
      </c>
      <c r="AU156" s="225" t="e">
        <f t="shared" si="8"/>
        <v>#DIV/0!</v>
      </c>
      <c r="AV156" s="225" t="e">
        <f t="shared" si="8"/>
        <v>#DIV/0!</v>
      </c>
      <c r="AW156" s="225" t="e">
        <f t="shared" si="8"/>
        <v>#DIV/0!</v>
      </c>
      <c r="AX156" s="226" t="e">
        <f t="shared" si="8"/>
        <v>#DIV/0!</v>
      </c>
    </row>
    <row r="157" spans="2:50">
      <c r="B157" s="220">
        <v>47</v>
      </c>
      <c r="C157" s="61"/>
      <c r="D157" s="61"/>
      <c r="E157" s="61"/>
      <c r="F157" s="61"/>
      <c r="G157" s="61"/>
      <c r="H157" s="61"/>
      <c r="I157" s="61"/>
      <c r="J157" s="61"/>
      <c r="K157" s="61"/>
      <c r="L157" s="61"/>
      <c r="M157" s="61"/>
      <c r="N157" s="61"/>
      <c r="O157" s="61"/>
      <c r="P157" s="61"/>
      <c r="R157" s="220">
        <v>47</v>
      </c>
      <c r="S157" s="61"/>
      <c r="T157" s="61"/>
      <c r="U157" s="61"/>
      <c r="V157" s="61"/>
      <c r="W157" s="61"/>
      <c r="X157" s="61"/>
      <c r="Y157" s="61"/>
      <c r="Z157" s="61"/>
      <c r="AA157" s="61"/>
      <c r="AB157" s="61"/>
      <c r="AC157" s="61"/>
      <c r="AD157" s="61"/>
      <c r="AE157" s="61"/>
      <c r="AF157" s="61"/>
      <c r="AJ157" s="220">
        <v>47</v>
      </c>
      <c r="AK157" s="225" t="e">
        <f t="shared" si="5"/>
        <v>#DIV/0!</v>
      </c>
      <c r="AL157" s="225" t="e">
        <f t="shared" si="5"/>
        <v>#DIV/0!</v>
      </c>
      <c r="AM157" s="225" t="e">
        <f t="shared" si="7"/>
        <v>#DIV/0!</v>
      </c>
      <c r="AN157" s="225" t="e">
        <f t="shared" si="7"/>
        <v>#DIV/0!</v>
      </c>
      <c r="AO157" s="225" t="e">
        <f t="shared" si="7"/>
        <v>#DIV/0!</v>
      </c>
      <c r="AP157" s="225" t="e">
        <f t="shared" si="7"/>
        <v>#DIV/0!</v>
      </c>
      <c r="AQ157" s="225" t="e">
        <f t="shared" si="7"/>
        <v>#DIV/0!</v>
      </c>
      <c r="AR157" s="225" t="e">
        <f t="shared" si="7"/>
        <v>#DIV/0!</v>
      </c>
      <c r="AS157" s="225" t="e">
        <f t="shared" si="8"/>
        <v>#DIV/0!</v>
      </c>
      <c r="AT157" s="225" t="e">
        <f t="shared" si="8"/>
        <v>#DIV/0!</v>
      </c>
      <c r="AU157" s="225" t="e">
        <f t="shared" si="8"/>
        <v>#DIV/0!</v>
      </c>
      <c r="AV157" s="225" t="e">
        <f t="shared" si="8"/>
        <v>#DIV/0!</v>
      </c>
      <c r="AW157" s="225" t="e">
        <f t="shared" si="8"/>
        <v>#DIV/0!</v>
      </c>
      <c r="AX157" s="226" t="e">
        <f t="shared" si="8"/>
        <v>#DIV/0!</v>
      </c>
    </row>
    <row r="158" spans="2:50">
      <c r="B158" s="224">
        <v>48</v>
      </c>
      <c r="C158" s="68"/>
      <c r="D158" s="68"/>
      <c r="E158" s="68"/>
      <c r="F158" s="68"/>
      <c r="G158" s="68"/>
      <c r="H158" s="68"/>
      <c r="I158" s="68"/>
      <c r="J158" s="68"/>
      <c r="K158" s="68"/>
      <c r="L158" s="68"/>
      <c r="M158" s="68"/>
      <c r="N158" s="68"/>
      <c r="O158" s="68"/>
      <c r="P158" s="68"/>
      <c r="R158" s="224">
        <v>48</v>
      </c>
      <c r="S158" s="68"/>
      <c r="T158" s="68"/>
      <c r="U158" s="68"/>
      <c r="V158" s="68"/>
      <c r="W158" s="68"/>
      <c r="X158" s="68"/>
      <c r="Y158" s="68"/>
      <c r="Z158" s="68"/>
      <c r="AA158" s="68"/>
      <c r="AB158" s="68"/>
      <c r="AC158" s="68"/>
      <c r="AD158" s="68"/>
      <c r="AE158" s="68"/>
      <c r="AF158" s="68"/>
      <c r="AJ158" s="224">
        <v>48</v>
      </c>
      <c r="AK158" s="225" t="e">
        <f t="shared" si="5"/>
        <v>#DIV/0!</v>
      </c>
      <c r="AL158" s="225" t="e">
        <f t="shared" si="5"/>
        <v>#DIV/0!</v>
      </c>
      <c r="AM158" s="225" t="e">
        <f t="shared" si="7"/>
        <v>#DIV/0!</v>
      </c>
      <c r="AN158" s="225" t="e">
        <f t="shared" si="7"/>
        <v>#DIV/0!</v>
      </c>
      <c r="AO158" s="225" t="e">
        <f t="shared" si="7"/>
        <v>#DIV/0!</v>
      </c>
      <c r="AP158" s="225" t="e">
        <f t="shared" si="7"/>
        <v>#DIV/0!</v>
      </c>
      <c r="AQ158" s="225" t="e">
        <f t="shared" si="7"/>
        <v>#DIV/0!</v>
      </c>
      <c r="AR158" s="225" t="e">
        <f t="shared" si="7"/>
        <v>#DIV/0!</v>
      </c>
      <c r="AS158" s="225" t="e">
        <f t="shared" si="8"/>
        <v>#DIV/0!</v>
      </c>
      <c r="AT158" s="225" t="e">
        <f t="shared" si="8"/>
        <v>#DIV/0!</v>
      </c>
      <c r="AU158" s="225" t="e">
        <f t="shared" si="8"/>
        <v>#DIV/0!</v>
      </c>
      <c r="AV158" s="225" t="e">
        <f t="shared" si="8"/>
        <v>#DIV/0!</v>
      </c>
      <c r="AW158" s="225" t="e">
        <f t="shared" si="8"/>
        <v>#DIV/0!</v>
      </c>
      <c r="AX158" s="226" t="e">
        <f t="shared" si="8"/>
        <v>#DIV/0!</v>
      </c>
    </row>
    <row r="166" spans="2:24" s="3" customFormat="1" ht="13.95" customHeight="1">
      <c r="B166" s="7"/>
      <c r="C166" s="7"/>
      <c r="D166" s="7"/>
      <c r="E166" s="7"/>
      <c r="F166" s="7"/>
      <c r="G166" s="7"/>
      <c r="H166" s="7"/>
      <c r="I166" s="7"/>
      <c r="J166" s="7"/>
      <c r="K166" s="7"/>
      <c r="L166" s="142"/>
      <c r="M166" s="142"/>
      <c r="N166" s="9"/>
      <c r="O166" s="9"/>
      <c r="P166" s="9"/>
      <c r="Q166" s="9"/>
      <c r="R166" s="9"/>
      <c r="S166" s="9"/>
      <c r="T166" s="9"/>
      <c r="U166" s="9"/>
      <c r="V166" s="9"/>
      <c r="W166" s="9"/>
      <c r="X166" s="9"/>
    </row>
    <row r="167" spans="2:24" s="3" customFormat="1">
      <c r="B167" s="65"/>
      <c r="C167" s="65"/>
      <c r="D167" s="65"/>
      <c r="E167" s="65"/>
      <c r="F167" s="65"/>
      <c r="G167" s="65"/>
      <c r="H167" s="65"/>
      <c r="I167" s="65"/>
      <c r="J167" s="65"/>
      <c r="K167" s="65"/>
      <c r="L167" s="65"/>
      <c r="M167" s="65"/>
    </row>
    <row r="168" spans="2:24" s="3" customFormat="1">
      <c r="B168" s="406" t="s">
        <v>77</v>
      </c>
      <c r="C168" s="406"/>
      <c r="D168" s="406"/>
      <c r="E168" s="406"/>
      <c r="F168" s="406"/>
      <c r="G168" s="406"/>
      <c r="H168" s="406"/>
      <c r="I168" s="406"/>
      <c r="J168" s="406"/>
      <c r="K168" s="406"/>
      <c r="L168" s="406"/>
      <c r="M168" s="406"/>
    </row>
    <row r="169" spans="2:24" s="3" customFormat="1">
      <c r="B169" s="406"/>
      <c r="C169" s="406"/>
      <c r="D169" s="406"/>
      <c r="E169" s="406"/>
      <c r="F169" s="406"/>
      <c r="G169" s="406"/>
      <c r="H169" s="406"/>
      <c r="I169" s="406"/>
      <c r="J169" s="406"/>
      <c r="K169" s="406"/>
      <c r="L169" s="406"/>
      <c r="M169" s="406"/>
    </row>
    <row r="170" spans="2:24" s="1" customFormat="1" ht="85.95" customHeight="1">
      <c r="B170" s="405" t="e" vm="1">
        <v>#VALUE!</v>
      </c>
      <c r="C170" s="405"/>
      <c r="D170" s="405"/>
      <c r="E170" s="405"/>
      <c r="F170" s="405"/>
      <c r="G170" s="405"/>
      <c r="H170" s="405"/>
      <c r="I170" s="405"/>
      <c r="J170" s="405"/>
      <c r="K170" s="405"/>
      <c r="L170" s="405"/>
      <c r="M170" s="405"/>
    </row>
  </sheetData>
  <sheetProtection sheet="1" scenarios="1" formatCells="0" formatColumns="0" formatRows="0"/>
  <mergeCells count="68">
    <mergeCell ref="R7:AF7"/>
    <mergeCell ref="R8:R9"/>
    <mergeCell ref="S8:S9"/>
    <mergeCell ref="T8:T9"/>
    <mergeCell ref="U8:U9"/>
    <mergeCell ref="V8:V9"/>
    <mergeCell ref="AC8:AC9"/>
    <mergeCell ref="AD8:AD9"/>
    <mergeCell ref="AE8:AE9"/>
    <mergeCell ref="AF8:AF9"/>
    <mergeCell ref="W8:W9"/>
    <mergeCell ref="X8:X9"/>
    <mergeCell ref="AA8:AA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M8:M9"/>
    <mergeCell ref="Y8:Y9"/>
    <mergeCell ref="O8:O9"/>
    <mergeCell ref="Y108:Y109"/>
    <mergeCell ref="O108:O109"/>
    <mergeCell ref="P108:P109"/>
    <mergeCell ref="P8:P9"/>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T108:T109"/>
    <mergeCell ref="B107:P107"/>
    <mergeCell ref="R107:AF107"/>
    <mergeCell ref="B168:M169"/>
    <mergeCell ref="B170:M170"/>
    <mergeCell ref="AE108:AE109"/>
    <mergeCell ref="AF108:AF109"/>
    <mergeCell ref="Z108:Z109"/>
    <mergeCell ref="AA108:AA109"/>
    <mergeCell ref="AB108:AB109"/>
    <mergeCell ref="AC108:AC109"/>
    <mergeCell ref="AD108:AD109"/>
    <mergeCell ref="U108:U109"/>
    <mergeCell ref="V108:V109"/>
    <mergeCell ref="W108:W109"/>
    <mergeCell ref="X108:X109"/>
    <mergeCell ref="N108:N109"/>
    <mergeCell ref="R108:R109"/>
    <mergeCell ref="S108:S109"/>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0EB1BA"/>
  </sheetPr>
  <dimension ref="B1:DI213"/>
  <sheetViews>
    <sheetView showGridLines="0" showRowColHeaders="0" topLeftCell="A15" zoomScaleNormal="100" workbookViewId="0">
      <selection activeCell="N35" sqref="N35"/>
    </sheetView>
  </sheetViews>
  <sheetFormatPr defaultColWidth="8.77734375" defaultRowHeight="14.4"/>
  <cols>
    <col min="1" max="1" width="5" style="79" customWidth="1"/>
    <col min="2" max="7" width="14.33203125" style="79" customWidth="1"/>
    <col min="8" max="9" width="3.44140625" style="77" customWidth="1"/>
    <col min="10" max="10" width="14.6640625" style="79" customWidth="1"/>
    <col min="11" max="15" width="9" style="79" customWidth="1"/>
    <col min="16" max="17" width="3.44140625" style="77" customWidth="1"/>
    <col min="18" max="18" width="13.33203125" style="79" customWidth="1"/>
    <col min="19" max="23" width="7.6640625" style="79" customWidth="1"/>
    <col min="24" max="25" width="3.44140625" style="77" customWidth="1"/>
    <col min="26" max="26" width="11.77734375" style="79" customWidth="1"/>
    <col min="27" max="31" width="8.33203125" style="79" customWidth="1"/>
    <col min="32" max="33" width="3.44140625" style="77" customWidth="1"/>
    <col min="34" max="34" width="17.44140625" style="79" customWidth="1"/>
    <col min="35" max="39" width="9" style="79" customWidth="1"/>
    <col min="40" max="41" width="3.44140625" style="77" customWidth="1"/>
    <col min="42" max="42" width="13.77734375" style="79" customWidth="1"/>
    <col min="43" max="47" width="8" style="79" customWidth="1"/>
    <col min="48" max="49" width="3.44140625" style="77" customWidth="1"/>
    <col min="50" max="50" width="15.6640625" style="79" customWidth="1"/>
    <col min="51" max="55" width="9" style="79" customWidth="1"/>
    <col min="56" max="57" width="3.44140625" style="77" customWidth="1"/>
    <col min="58" max="58" width="15.109375" style="79" customWidth="1"/>
    <col min="59" max="63" width="8.44140625" style="79" customWidth="1"/>
    <col min="64" max="65" width="3.44140625" style="77" customWidth="1"/>
    <col min="66" max="66" width="15.33203125" style="79" customWidth="1"/>
    <col min="67" max="71" width="8.6640625" style="79" customWidth="1"/>
    <col min="72" max="73" width="3.44140625" style="77" customWidth="1"/>
    <col min="74" max="74" width="14.33203125" style="79" customWidth="1"/>
    <col min="75" max="79" width="9" style="79" customWidth="1"/>
    <col min="80" max="81" width="3.44140625" style="77" customWidth="1"/>
    <col min="82" max="82" width="15.33203125" style="79" customWidth="1"/>
    <col min="83" max="87" width="8.77734375" style="79" customWidth="1"/>
    <col min="88" max="89" width="3.44140625" style="77" customWidth="1"/>
    <col min="90" max="90" width="14.6640625" style="79" customWidth="1"/>
    <col min="91" max="95" width="8.33203125" style="79" customWidth="1"/>
    <col min="96" max="97" width="3.44140625" style="77" customWidth="1"/>
    <col min="98" max="98" width="13.33203125" style="79" customWidth="1"/>
    <col min="99" max="103" width="9.33203125" style="79" customWidth="1"/>
    <col min="104" max="105" width="3.44140625" style="77" customWidth="1"/>
    <col min="106" max="106" width="14.109375" style="79" customWidth="1"/>
    <col min="107" max="111" width="8.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t="str">
        <f>intervencao1</f>
        <v>PET-CT</v>
      </c>
      <c r="C5" s="502"/>
      <c r="D5" s="502"/>
      <c r="E5" s="502"/>
      <c r="F5" s="502"/>
      <c r="G5" s="502"/>
      <c r="H5" s="502"/>
      <c r="I5" s="77"/>
      <c r="J5" s="502">
        <f>intervencao2</f>
        <v>0</v>
      </c>
      <c r="K5" s="502"/>
      <c r="L5" s="502"/>
      <c r="M5" s="502"/>
      <c r="N5" s="502"/>
      <c r="O5" s="502"/>
      <c r="P5" s="502"/>
      <c r="Q5" s="77"/>
      <c r="R5" s="502">
        <f>intervencao3</f>
        <v>0</v>
      </c>
      <c r="S5" s="502"/>
      <c r="T5" s="502"/>
      <c r="U5" s="502"/>
      <c r="V5" s="502"/>
      <c r="W5" s="502"/>
      <c r="X5" s="502"/>
      <c r="Y5" s="77"/>
      <c r="Z5" s="502">
        <f>intervencao4</f>
        <v>0</v>
      </c>
      <c r="AA5" s="502"/>
      <c r="AB5" s="502"/>
      <c r="AC5" s="502"/>
      <c r="AD5" s="502"/>
      <c r="AE5" s="502"/>
      <c r="AF5" s="502"/>
      <c r="AG5" s="77"/>
      <c r="AH5" s="502" t="str">
        <f>comparador1</f>
        <v>CT scan + scintigraphy</v>
      </c>
      <c r="AI5" s="502"/>
      <c r="AJ5" s="502"/>
      <c r="AK5" s="502"/>
      <c r="AL5" s="502"/>
      <c r="AM5" s="502"/>
      <c r="AN5" s="502"/>
      <c r="AO5" s="77"/>
      <c r="AP5" s="502">
        <f>comparador2</f>
        <v>0</v>
      </c>
      <c r="AQ5" s="502"/>
      <c r="AR5" s="502"/>
      <c r="AS5" s="502"/>
      <c r="AT5" s="502"/>
      <c r="AU5" s="502"/>
      <c r="AV5" s="502"/>
      <c r="AW5" s="77"/>
      <c r="AX5" s="502">
        <f>comparador3</f>
        <v>0</v>
      </c>
      <c r="AY5" s="502"/>
      <c r="AZ5" s="502"/>
      <c r="BA5" s="502"/>
      <c r="BB5" s="502"/>
      <c r="BC5" s="502"/>
      <c r="BD5" s="502"/>
      <c r="BE5" s="77"/>
      <c r="BF5" s="502">
        <f>comparador4</f>
        <v>0</v>
      </c>
      <c r="BG5" s="502"/>
      <c r="BH5" s="502"/>
      <c r="BI5" s="502"/>
      <c r="BJ5" s="502"/>
      <c r="BK5" s="502"/>
      <c r="BL5" s="502"/>
      <c r="BM5" s="77"/>
      <c r="BN5" s="502">
        <f>comparador5</f>
        <v>0</v>
      </c>
      <c r="BO5" s="502"/>
      <c r="BP5" s="502"/>
      <c r="BQ5" s="502"/>
      <c r="BR5" s="502"/>
      <c r="BS5" s="502"/>
      <c r="BT5" s="502"/>
      <c r="BU5" s="77"/>
      <c r="BV5" s="502">
        <f>comparador6</f>
        <v>0</v>
      </c>
      <c r="BW5" s="502"/>
      <c r="BX5" s="502"/>
      <c r="BY5" s="502"/>
      <c r="BZ5" s="502"/>
      <c r="CA5" s="502"/>
      <c r="CB5" s="502"/>
      <c r="CC5" s="77"/>
      <c r="CD5" s="502">
        <f>comparador7</f>
        <v>0</v>
      </c>
      <c r="CE5" s="502"/>
      <c r="CF5" s="502"/>
      <c r="CG5" s="502"/>
      <c r="CH5" s="502"/>
      <c r="CI5" s="502"/>
      <c r="CJ5" s="502"/>
      <c r="CK5" s="77"/>
      <c r="CL5" s="502">
        <f>comparador8</f>
        <v>0</v>
      </c>
      <c r="CM5" s="502"/>
      <c r="CN5" s="502"/>
      <c r="CO5" s="502"/>
      <c r="CP5" s="502"/>
      <c r="CQ5" s="502"/>
      <c r="CR5" s="502"/>
      <c r="CS5" s="77"/>
      <c r="CT5" s="502">
        <f>comparador9</f>
        <v>0</v>
      </c>
      <c r="CU5" s="502"/>
      <c r="CV5" s="502"/>
      <c r="CW5" s="502"/>
      <c r="CX5" s="502"/>
      <c r="CY5" s="502"/>
      <c r="CZ5" s="502"/>
      <c r="DA5" s="77"/>
      <c r="DB5" s="502">
        <f>comparador10</f>
        <v>0</v>
      </c>
      <c r="DC5" s="502"/>
      <c r="DD5" s="502"/>
      <c r="DE5" s="502"/>
      <c r="DF5" s="502"/>
      <c r="DG5" s="502"/>
      <c r="DH5" s="502"/>
      <c r="DI5" s="77"/>
    </row>
    <row r="6" spans="2:113" ht="16.2" thickBot="1">
      <c r="B6" s="78"/>
      <c r="C6" s="78" t="s">
        <v>165</v>
      </c>
      <c r="D6" s="78" t="s">
        <v>166</v>
      </c>
      <c r="E6" s="78" t="s">
        <v>167</v>
      </c>
      <c r="F6" s="78" t="s">
        <v>168</v>
      </c>
      <c r="G6" s="78" t="s">
        <v>169</v>
      </c>
      <c r="J6" s="78"/>
      <c r="K6" s="78" t="s">
        <v>165</v>
      </c>
      <c r="L6" s="78" t="s">
        <v>166</v>
      </c>
      <c r="M6" s="78" t="s">
        <v>167</v>
      </c>
      <c r="N6" s="78" t="s">
        <v>168</v>
      </c>
      <c r="O6" s="78" t="s">
        <v>169</v>
      </c>
      <c r="R6" s="78"/>
      <c r="S6" s="78" t="s">
        <v>165</v>
      </c>
      <c r="T6" s="78" t="s">
        <v>166</v>
      </c>
      <c r="U6" s="78" t="s">
        <v>167</v>
      </c>
      <c r="V6" s="78" t="s">
        <v>168</v>
      </c>
      <c r="W6" s="78" t="s">
        <v>169</v>
      </c>
      <c r="Z6" s="78"/>
      <c r="AA6" s="78" t="s">
        <v>165</v>
      </c>
      <c r="AB6" s="78" t="s">
        <v>166</v>
      </c>
      <c r="AC6" s="78" t="s">
        <v>167</v>
      </c>
      <c r="AD6" s="78" t="s">
        <v>168</v>
      </c>
      <c r="AE6" s="78" t="s">
        <v>169</v>
      </c>
      <c r="AH6" s="78"/>
      <c r="AI6" s="78" t="s">
        <v>165</v>
      </c>
      <c r="AJ6" s="78" t="s">
        <v>166</v>
      </c>
      <c r="AK6" s="78" t="s">
        <v>167</v>
      </c>
      <c r="AL6" s="78" t="s">
        <v>168</v>
      </c>
      <c r="AM6" s="78" t="s">
        <v>169</v>
      </c>
      <c r="AP6" s="78"/>
      <c r="AQ6" s="78" t="s">
        <v>165</v>
      </c>
      <c r="AR6" s="78" t="s">
        <v>166</v>
      </c>
      <c r="AS6" s="78" t="s">
        <v>167</v>
      </c>
      <c r="AT6" s="78" t="s">
        <v>168</v>
      </c>
      <c r="AU6" s="78" t="s">
        <v>169</v>
      </c>
      <c r="AX6" s="78"/>
      <c r="AY6" s="78" t="s">
        <v>165</v>
      </c>
      <c r="AZ6" s="78" t="s">
        <v>166</v>
      </c>
      <c r="BA6" s="78" t="s">
        <v>167</v>
      </c>
      <c r="BB6" s="78" t="s">
        <v>168</v>
      </c>
      <c r="BC6" s="78" t="s">
        <v>169</v>
      </c>
      <c r="BF6" s="78"/>
      <c r="BG6" s="78" t="s">
        <v>165</v>
      </c>
      <c r="BH6" s="78" t="s">
        <v>166</v>
      </c>
      <c r="BI6" s="78" t="s">
        <v>167</v>
      </c>
      <c r="BJ6" s="78" t="s">
        <v>168</v>
      </c>
      <c r="BK6" s="78" t="s">
        <v>169</v>
      </c>
      <c r="BN6" s="78"/>
      <c r="BO6" s="78" t="s">
        <v>165</v>
      </c>
      <c r="BP6" s="78" t="s">
        <v>166</v>
      </c>
      <c r="BQ6" s="78" t="s">
        <v>167</v>
      </c>
      <c r="BR6" s="78" t="s">
        <v>168</v>
      </c>
      <c r="BS6" s="78" t="s">
        <v>169</v>
      </c>
      <c r="BV6" s="78"/>
      <c r="BW6" s="78" t="s">
        <v>165</v>
      </c>
      <c r="BX6" s="78" t="s">
        <v>166</v>
      </c>
      <c r="BY6" s="78" t="s">
        <v>167</v>
      </c>
      <c r="BZ6" s="78" t="s">
        <v>168</v>
      </c>
      <c r="CA6" s="78" t="s">
        <v>169</v>
      </c>
      <c r="CD6" s="78"/>
      <c r="CE6" s="78" t="s">
        <v>165</v>
      </c>
      <c r="CF6" s="78" t="s">
        <v>166</v>
      </c>
      <c r="CG6" s="78" t="s">
        <v>167</v>
      </c>
      <c r="CH6" s="78" t="s">
        <v>168</v>
      </c>
      <c r="CI6" s="78" t="s">
        <v>169</v>
      </c>
      <c r="CL6" s="78"/>
      <c r="CM6" s="78" t="s">
        <v>165</v>
      </c>
      <c r="CN6" s="78" t="s">
        <v>166</v>
      </c>
      <c r="CO6" s="78" t="s">
        <v>167</v>
      </c>
      <c r="CP6" s="78" t="s">
        <v>168</v>
      </c>
      <c r="CQ6" s="78" t="s">
        <v>169</v>
      </c>
      <c r="CT6" s="78"/>
      <c r="CU6" s="78" t="s">
        <v>165</v>
      </c>
      <c r="CV6" s="78" t="s">
        <v>166</v>
      </c>
      <c r="CW6" s="78" t="s">
        <v>167</v>
      </c>
      <c r="CX6" s="78" t="s">
        <v>168</v>
      </c>
      <c r="CY6" s="78" t="s">
        <v>169</v>
      </c>
      <c r="DB6" s="78"/>
      <c r="DC6" s="78" t="s">
        <v>165</v>
      </c>
      <c r="DD6" s="78" t="s">
        <v>166</v>
      </c>
      <c r="DE6" s="78" t="s">
        <v>167</v>
      </c>
      <c r="DF6" s="78" t="s">
        <v>168</v>
      </c>
      <c r="DG6" s="78" t="s">
        <v>169</v>
      </c>
    </row>
    <row r="7" spans="2:113" s="97" customFormat="1" ht="33.6" thickBot="1">
      <c r="B7" s="94" t="s">
        <v>205</v>
      </c>
      <c r="C7" s="313">
        <f>Results!$D$9</f>
        <v>4950.1446658799996</v>
      </c>
      <c r="D7" s="313">
        <f>MAX(IF(calculo="incidencia",Results!$E$9,IF(line="yes",(Results!$E$9-C8),Results!$E$9-C8-C10)),0)</f>
        <v>4980.7215748199997</v>
      </c>
      <c r="E7" s="313">
        <f>MAX(IF(calculo="incidencia",Results!$F$9,IF(line="yes",(Results!$F$9-D8-C11),Results!$F$9-D8-D10-C11-C13)),0)</f>
        <v>5009.9978922</v>
      </c>
      <c r="F7" s="313">
        <f>MAX(IF(calculo="incidencia",Results!$G$9,IF(line="yes",(Results!$G$9-E8-D11-C14),Results!$G$9-E8-E10-D11-D13-C14-C16)),0)</f>
        <v>5037.9386211600004</v>
      </c>
      <c r="G7" s="313">
        <f>MAX(IF(calculo="incidencia",Results!$H$9,IF(line="yes",(Results!$H$9-F8-E11-D14-C17),Results!$H$9-F8-F10-E11-E13-D14-D16-C17-C19)),0)</f>
        <v>5064.5088330599992</v>
      </c>
      <c r="H7" s="95" t="s">
        <v>304</v>
      </c>
      <c r="I7" s="96"/>
      <c r="J7" s="94" t="s">
        <v>205</v>
      </c>
      <c r="K7" s="313">
        <f>Results!$D$9</f>
        <v>4950.1446658799996</v>
      </c>
      <c r="L7" s="313">
        <f>MAX(IF(calculo="incidencia",Results!$E$9,IF(line="yes",(Results!$E$9-K8),Results!$E$9-K8-K10)),0)</f>
        <v>4980.7215748199997</v>
      </c>
      <c r="M7" s="313">
        <f>MAX(IF(calculo="incidencia",Results!$F$9,IF(line="yes",(Results!$F$9-L8-K11),Results!$F$9-L8-L10-K11-K13)),0)</f>
        <v>5009.9978922</v>
      </c>
      <c r="N7" s="313">
        <f>MAX(IF(calculo="incidencia",Results!$G$9,IF(line="yes",(Results!$G$9-M8-L11-K14),Results!$G$9-M8-M10-L11-L13-K14-K16)),0)</f>
        <v>5037.9386211600004</v>
      </c>
      <c r="O7" s="313">
        <f>MAX(IF(calculo="incidencia",Results!$H$9,IF(line="yes",(Results!$H$9-N8-M11-L14-K17),Results!$H$9-N8-N10-M11-M13-L14-L16-K17-K19)),0)</f>
        <v>5064.5088330599992</v>
      </c>
      <c r="P7" s="95" t="s">
        <v>304</v>
      </c>
      <c r="Q7" s="96"/>
      <c r="R7" s="94" t="s">
        <v>205</v>
      </c>
      <c r="S7" s="313">
        <f>Results!$D$9</f>
        <v>4950.1446658799996</v>
      </c>
      <c r="T7" s="313">
        <f>MAX(IF(calculo="incidencia",Results!$E$9,IF(line="yes",(Results!$E$9-S8),Results!$E$9-S8-S10)),0)</f>
        <v>4980.7215748199997</v>
      </c>
      <c r="U7" s="313">
        <f>MAX(IF(calculo="incidencia",Results!$F$9,IF(line="yes",(Results!$F$9-T8-S11),Results!$F$9-T8-T10-S11-S13)),0)</f>
        <v>5009.9978922</v>
      </c>
      <c r="V7" s="313">
        <f>MAX(IF(calculo="incidencia",Results!$G$9,IF(line="yes",(Results!$G$9-U8-T11-S14),Results!$G$9-U8-U10-T11-T13-S14-S16)),0)</f>
        <v>5037.9386211600004</v>
      </c>
      <c r="W7" s="313">
        <f>MAX(IF(calculo="incidencia",Results!$H$9,IF(line="yes",(Results!$H$9-V8-U11-T14-S17),Results!$H$9-V8-V10-U11-U13-T14-T16-S17-S19)),0)</f>
        <v>5064.5088330599992</v>
      </c>
      <c r="X7" s="95" t="s">
        <v>304</v>
      </c>
      <c r="Y7" s="96"/>
      <c r="Z7" s="94" t="s">
        <v>205</v>
      </c>
      <c r="AA7" s="313">
        <f>Results!$D$9</f>
        <v>4950.1446658799996</v>
      </c>
      <c r="AB7" s="313">
        <f>MAX(IF(calculo="incidencia",Results!$E$9,IF(line="yes",(Results!$E$9-AA8),Results!$E$9-AA8-AA10)),0)</f>
        <v>4980.7215748199997</v>
      </c>
      <c r="AC7" s="313">
        <f>MAX(IF(calculo="incidencia",Results!$F$9,IF(line="yes",(Results!$F$9-AB8-AA11),Results!$F$9-AB8-AB10-AA11-AA13)),0)</f>
        <v>5009.9978922</v>
      </c>
      <c r="AD7" s="313">
        <f>MAX(IF(calculo="incidencia",Results!$G$9,IF(line="yes",(Results!$G$9-AC8-AB11-AA14),Results!$G$9-AC8-AC10-AB11-AB13-AA14-AA16)),0)</f>
        <v>5037.9386211600004</v>
      </c>
      <c r="AE7" s="313">
        <f>MAX(IF(calculo="incidencia",Results!$H$9,IF(line="yes",(Results!$H$9-AD8-AC11-AB14-AA17),Results!$H$9-AD8-AD10-AC11-AC13-AB14-AB16-AA17-AA19)),0)</f>
        <v>5064.5088330599992</v>
      </c>
      <c r="AF7" s="95" t="s">
        <v>304</v>
      </c>
      <c r="AG7" s="96"/>
      <c r="AH7" s="94" t="s">
        <v>205</v>
      </c>
      <c r="AI7" s="313">
        <f>Results!$D$9</f>
        <v>4950.1446658799996</v>
      </c>
      <c r="AJ7" s="313">
        <f>MAX(IF(calculo="incidencia",Results!$E$9,IF(line="yes",(Results!$E$9-AI8),Results!$E$9-AI8-AI10)),0)</f>
        <v>4980.7215748199997</v>
      </c>
      <c r="AK7" s="313">
        <f>MAX(IF(calculo="incidencia",Results!$F$9,IF(line="yes",(Results!$F$9-AJ8-AI11),Results!$F$9-AJ8-AJ10-AI11-AI13)),0)</f>
        <v>5009.9978922</v>
      </c>
      <c r="AL7" s="313">
        <f>MAX(IF(calculo="incidencia",Results!$G$9,IF(line="yes",(Results!$G$9-AK8-AJ11-AI14),Results!$G$9-AK8-AK10-AJ11-AJ13-AI14-AI16)),0)</f>
        <v>5037.9386211600004</v>
      </c>
      <c r="AM7" s="313">
        <f>MAX(IF(calculo="incidencia",Results!$H$9,IF(line="yes",(Results!$H$9-AL8-AK11-AJ14-AI17),Results!$H$9-AL8-AL10-AK11-AK13-AJ14-AJ16-AI17-AI19)),0)</f>
        <v>5064.5088330599992</v>
      </c>
      <c r="AN7" s="95" t="s">
        <v>304</v>
      </c>
      <c r="AO7" s="96"/>
      <c r="AP7" s="94" t="s">
        <v>205</v>
      </c>
      <c r="AQ7" s="313">
        <f>Results!$D$9</f>
        <v>4950.1446658799996</v>
      </c>
      <c r="AR7" s="313">
        <f>MAX(IF(calculo="incidencia",Results!$E$9,IF(line="yes",(Results!$E$9-AQ8),Results!$E$9-AQ8-AQ10)),0)</f>
        <v>4980.7215748199997</v>
      </c>
      <c r="AS7" s="313">
        <f>MAX(IF(calculo="incidencia",Results!$F$9,IF(line="yes",(Results!$F$9-AR8-AQ11),Results!$F$9-AR8-AR10-AQ11-AQ13)),0)</f>
        <v>5009.9978922</v>
      </c>
      <c r="AT7" s="313">
        <f>MAX(IF(calculo="incidencia",Results!$G$9,IF(line="yes",(Results!$G$9-AS8-AR11-AQ14),Results!$G$9-AS8-AS10-AR11-AR13-AQ14-AQ16)),0)</f>
        <v>5037.9386211600004</v>
      </c>
      <c r="AU7" s="313">
        <f>MAX(IF(calculo="incidencia",Results!$H$9,IF(line="yes",(Results!$H$9-AT8-AS11-AR14-AQ17),Results!$H$9-AT8-AT10-AS11-AS13-AR14-AR16-AQ17-AQ19)),0)</f>
        <v>5064.5088330599992</v>
      </c>
      <c r="AV7" s="95" t="s">
        <v>304</v>
      </c>
      <c r="AW7" s="96"/>
      <c r="AX7" s="94" t="s">
        <v>205</v>
      </c>
      <c r="AY7" s="313">
        <f>Results!$D$9</f>
        <v>4950.1446658799996</v>
      </c>
      <c r="AZ7" s="313">
        <f>MAX(IF(calculo="incidencia",Results!$E$9,IF(line="yes",(Results!$E$9-AY8),Results!$E$9-AY8-AY10)),0)</f>
        <v>4980.7215748199997</v>
      </c>
      <c r="BA7" s="313">
        <f>MAX(IF(calculo="incidencia",Results!$F$9,IF(line="yes",(Results!$F$9-AZ8-AY11),Results!$F$9-AZ8-AZ10-AY11-AY13)),0)</f>
        <v>5009.9978922</v>
      </c>
      <c r="BB7" s="313">
        <f>MAX(IF(calculo="incidencia",Results!$G$9,IF(line="yes",(Results!$G$9-BA8-AZ11-AY14),Results!$G$9-BA8-BA10-AZ11-AZ13-AY14-AY16)),0)</f>
        <v>5037.9386211600004</v>
      </c>
      <c r="BC7" s="313">
        <f>MAX(IF(calculo="incidencia",Results!$H$9,IF(line="yes",(Results!$H$9-BB8-BA11-AZ14-AY17),Results!$H$9-BB8-BB10-BA11-BA13-AZ14-AZ16-AY17-AY19)),0)</f>
        <v>5064.5088330599992</v>
      </c>
      <c r="BD7" s="95" t="s">
        <v>304</v>
      </c>
      <c r="BE7" s="96"/>
      <c r="BF7" s="94" t="s">
        <v>205</v>
      </c>
      <c r="BG7" s="313">
        <f>Results!$D$9</f>
        <v>4950.1446658799996</v>
      </c>
      <c r="BH7" s="313">
        <f>MAX(IF(calculo="incidencia",Results!$E$9,IF(line="yes",(Results!$E$9-BG8),Results!$E$9-BG8-BG10)),0)</f>
        <v>4980.7215748199997</v>
      </c>
      <c r="BI7" s="313">
        <f>MAX(IF(calculo="incidencia",Results!$F$9,IF(line="yes",(Results!$F$9-BH8-BG11),Results!$F$9-BH8-BH10-BG11-BG13)),0)</f>
        <v>5009.9978922</v>
      </c>
      <c r="BJ7" s="313">
        <f>MAX(IF(calculo="incidencia",Results!$G$9,IF(line="yes",(Results!$G$9-BI8-BH11-BG14),Results!$G$9-BI8-BI10-BH11-BH13-BG14-BG16)),0)</f>
        <v>5037.9386211600004</v>
      </c>
      <c r="BK7" s="313">
        <f>MAX(IF(calculo="incidencia",Results!$H$9,IF(line="yes",(Results!$H$9-BJ8-BI11-BH14-BG17),Results!$H$9-BJ8-BJ10-BI11-BI13-BH14-BH16-BG17-BG19)),0)</f>
        <v>5064.5088330599992</v>
      </c>
      <c r="BL7" s="95" t="s">
        <v>304</v>
      </c>
      <c r="BM7" s="96"/>
      <c r="BN7" s="94" t="s">
        <v>205</v>
      </c>
      <c r="BO7" s="313">
        <f>Results!$D$9</f>
        <v>4950.1446658799996</v>
      </c>
      <c r="BP7" s="313">
        <f>MAX(IF(calculo="incidencia",Results!$E$9,IF(line="yes",(Results!$E$9-BO8),Results!$E$9-BO8-BO10)),0)</f>
        <v>4980.7215748199997</v>
      </c>
      <c r="BQ7" s="313">
        <f>MAX(IF(calculo="incidencia",Results!$F$9,IF(line="yes",(Results!$F$9-BP8-BO11),Results!$F$9-BP8-BP10-BO11-BO13)),0)</f>
        <v>5009.9978922</v>
      </c>
      <c r="BR7" s="313">
        <f>MAX(IF(calculo="incidencia",Results!$G$9,IF(line="yes",(Results!$G$9-BQ8-BP11-BO14),Results!$G$9-BQ8-BQ10-BP11-BP13-BO14-BO16)),0)</f>
        <v>5037.9386211600004</v>
      </c>
      <c r="BS7" s="313">
        <f>MAX(IF(calculo="incidencia",Results!$H$9,IF(line="yes",(Results!$H$9-BR8-BQ11-BP14-BO17),Results!$H$9-BR8-BR10-BQ11-BQ13-BP14-BP16-BO17-BO19)),0)</f>
        <v>5064.5088330599992</v>
      </c>
      <c r="BT7" s="95" t="s">
        <v>304</v>
      </c>
      <c r="BU7" s="96"/>
      <c r="BV7" s="94" t="s">
        <v>205</v>
      </c>
      <c r="BW7" s="313">
        <f>Results!$D$9</f>
        <v>4950.1446658799996</v>
      </c>
      <c r="BX7" s="313">
        <f>MAX(IF(calculo="incidencia",Results!$E$9,IF(line="yes",(Results!$E$9-BW8),Results!$E$9-BW8-BW10)),0)</f>
        <v>4980.7215748199997</v>
      </c>
      <c r="BY7" s="313">
        <f>MAX(IF(calculo="incidencia",Results!$F$9,IF(line="yes",(Results!$F$9-BX8-BW11),Results!$F$9-BX8-BX10-BW11-BW13)),0)</f>
        <v>5009.9978922</v>
      </c>
      <c r="BZ7" s="313">
        <f>MAX(IF(calculo="incidencia",Results!$G$9,IF(line="yes",(Results!$G$9-BY8-BX11-BW14),Results!$G$9-BY8-BY10-BX11-BX13-BW14-BW16)),0)</f>
        <v>5037.9386211600004</v>
      </c>
      <c r="CA7" s="313">
        <f>MAX(IF(calculo="incidencia",Results!$H$9,IF(line="yes",(Results!$H$9-BZ8-BY11-BX14-BW17),Results!$H$9-BZ8-BZ10-BY11-BY13-BX14-BX16-BW17-BW19)),0)</f>
        <v>5064.5088330599992</v>
      </c>
      <c r="CB7" s="95" t="s">
        <v>304</v>
      </c>
      <c r="CC7" s="96"/>
      <c r="CD7" s="94" t="s">
        <v>205</v>
      </c>
      <c r="CE7" s="313">
        <f>Results!$D$9</f>
        <v>4950.1446658799996</v>
      </c>
      <c r="CF7" s="313">
        <f>MAX(IF(calculo="incidencia",Results!$E$9,IF(line="yes",(Results!$E$9-CE8),Results!$E$9-CE8-CE10)),0)</f>
        <v>4980.7215748199997</v>
      </c>
      <c r="CG7" s="313">
        <f>MAX(IF(calculo="incidencia",Results!$F$9,IF(line="yes",(Results!$F$9-CF8-CE11),Results!$F$9-CF8-CF10-CE11-CE13)),0)</f>
        <v>5009.9978922</v>
      </c>
      <c r="CH7" s="313">
        <f>MAX(IF(calculo="incidencia",Results!$G$9,IF(line="yes",(Results!$G$9-CG8-CF11-CE14),Results!$G$9-CG8-CG10-CF11-CF13-CE14-CE16)),0)</f>
        <v>5037.9386211600004</v>
      </c>
      <c r="CI7" s="313">
        <f>MAX(IF(calculo="incidencia",Results!$H$9,IF(line="yes",(Results!$H$9-CH8-CG11-CF14-CE17),Results!$H$9-CH8-CH10-CG11-CG13-CF14-CF16-CE17-CE19)),0)</f>
        <v>5064.5088330599992</v>
      </c>
      <c r="CJ7" s="95" t="s">
        <v>304</v>
      </c>
      <c r="CK7" s="96"/>
      <c r="CL7" s="94" t="s">
        <v>205</v>
      </c>
      <c r="CM7" s="313">
        <f>Results!$D$9</f>
        <v>4950.1446658799996</v>
      </c>
      <c r="CN7" s="313">
        <f>MAX(IF(calculo="incidencia",Results!$E$9,IF(line="yes",(Results!$E$9-CM8),Results!$E$9-CM8-CM10)),0)</f>
        <v>4980.7215748199997</v>
      </c>
      <c r="CO7" s="313">
        <f>MAX(IF(calculo="incidencia",Results!$F$9,IF(line="yes",(Results!$F$9-CN8-CM11),Results!$F$9-CN8-CN10-CM11-CM13)),0)</f>
        <v>5009.9978922</v>
      </c>
      <c r="CP7" s="313">
        <f>MAX(IF(calculo="incidencia",Results!$G$9,IF(line="yes",(Results!$G$9-CO8-CN11-CM14),Results!$G$9-CO8-CO10-CN11-CN13-CM14-CM16)),0)</f>
        <v>5037.9386211600004</v>
      </c>
      <c r="CQ7" s="313">
        <f>MAX(IF(calculo="incidencia",Results!$H$9,IF(line="yes",(Results!$H$9-CP8-CO11-CN14-CM17),Results!$H$9-CP8-CP10-CO11-CO13-CN14-CN16-CM17-CM19)),0)</f>
        <v>5064.5088330599992</v>
      </c>
      <c r="CR7" s="95" t="s">
        <v>304</v>
      </c>
      <c r="CS7" s="96"/>
      <c r="CT7" s="94" t="s">
        <v>205</v>
      </c>
      <c r="CU7" s="313">
        <f>Results!$D$9</f>
        <v>4950.1446658799996</v>
      </c>
      <c r="CV7" s="313">
        <f>MAX(IF(calculo="incidencia",Results!$E$9,IF(line="yes",(Results!$E$9-CU8),Results!$E$9-CU8-CU10)),0)</f>
        <v>4980.7215748199997</v>
      </c>
      <c r="CW7" s="313">
        <f>MAX(IF(calculo="incidencia",Results!$F$9,IF(line="yes",(Results!$F$9-CV8-CU11),Results!$F$9-CV8-CV10-CU11-CU13)),0)</f>
        <v>5009.9978922</v>
      </c>
      <c r="CX7" s="313">
        <f>MAX(IF(calculo="incidencia",Results!$G$9,IF(line="yes",(Results!$G$9-CW8-CV11-CU14),Results!$G$9-CW8-CW10-CV11-CV13-CU14-CU16)),0)</f>
        <v>5037.9386211600004</v>
      </c>
      <c r="CY7" s="313">
        <f>MAX(IF(calculo="incidencia",Results!$H$9,IF(line="yes",(Results!$H$9-CX8-CW11-CV14-CU17),Results!$H$9-CX8-CX10-CW11-CW13-CV14-CV16-CU17-CU19)),0)</f>
        <v>5064.5088330599992</v>
      </c>
      <c r="CZ7" s="95" t="s">
        <v>304</v>
      </c>
      <c r="DA7" s="96"/>
      <c r="DB7" s="94" t="s">
        <v>205</v>
      </c>
      <c r="DC7" s="313">
        <f>Results!$D$9</f>
        <v>4950.1446658799996</v>
      </c>
      <c r="DD7" s="313">
        <f>MAX(IF(calculo="incidencia",Results!$E$9,IF(line="yes",(Results!$E$9-DC8),Results!$E$9-DC8-DC10)),0)</f>
        <v>4980.7215748199997</v>
      </c>
      <c r="DE7" s="313">
        <f>MAX(IF(calculo="incidencia",Results!$F$9,IF(line="yes",(Results!$F$9-DD8-DC11),Results!$F$9-DD8-DD10-DC11-DC13)),0)</f>
        <v>5009.9978922</v>
      </c>
      <c r="DF7" s="313">
        <f>MAX(IF(calculo="incidencia",Results!$G$9,IF(line="yes",(Results!$G$9-DE8-DD11-DC14),Results!$G$9-DE8-DE10-DD11-DD13-DC14-DC16)),0)</f>
        <v>5037.9386211600004</v>
      </c>
      <c r="DG7" s="313">
        <f>MAX(IF(calculo="incidencia",Results!$H$9,IF(line="yes",(Results!$H$9-DF8-DE11-DD14-DC17),Results!$H$9-DF8-DF10-DE11-DE13-DD14-DD16-DC17-DC19)),0)</f>
        <v>5064.5088330599992</v>
      </c>
      <c r="DH7" s="95" t="s">
        <v>304</v>
      </c>
      <c r="DI7" s="96"/>
    </row>
    <row r="8" spans="2:113" s="97" customFormat="1" ht="15" customHeight="1">
      <c r="B8" s="98" t="str">
        <f>IF(OR(uso=3,uso=4),"Progression-free","On treatment")</f>
        <v>On treatment</v>
      </c>
      <c r="C8" s="314">
        <f>IF(AND(desc1_1=0,ob1_1=0),C7,
IF(AND(desc1_1=0,ob1_1&gt;0),C7*(1-ob1_1),C7*(1-desc1_1)))</f>
        <v>4950.1446658799996</v>
      </c>
      <c r="D8" s="314">
        <f>IF(AND(desc1_1=0,ob1_1=0),D7,
IF(AND(desc1_1=0,ob1_1&gt;0),D7*(1-ob1_1),D7*(1-desc1_1)))</f>
        <v>4980.7215748199997</v>
      </c>
      <c r="E8" s="314">
        <f>IF(AND(desc1_1=0,ob1_1=0),E7,
IF(AND(desc1_1=0,ob1_1&gt;0),E7*(1-ob1_1),E7*(1-desc1_1)))</f>
        <v>5009.9978922</v>
      </c>
      <c r="F8" s="314">
        <f>IF(AND(desc1_1=0,ob1_1=0),F7,
IF(AND(desc1_1=0,ob1_1&gt;0),F7*(1-ob1_1),F7*(1-desc1_1)))</f>
        <v>5037.9386211600004</v>
      </c>
      <c r="G8" s="314" t="s">
        <v>7</v>
      </c>
      <c r="H8" s="510" t="s">
        <v>305</v>
      </c>
      <c r="I8" s="96"/>
      <c r="J8" s="98" t="str">
        <f>IF(OR(uso=3,uso=4),"Progression-free","On treatment")</f>
        <v>On treatment</v>
      </c>
      <c r="K8" s="314">
        <f>IF(AND(desc2_1=0,ob2_1=0),K7,
IF(AND(desc2_1=0,ob2_1&gt;0),K7*(1-ob2_1),K7*(1-desc2_1)))</f>
        <v>4950.1446658799996</v>
      </c>
      <c r="L8" s="314">
        <f>IF(AND(desc2_1=0,ob2_1=0),L7,
IF(AND(desc2_1=0,ob2_1&gt;0),L7*(1-ob2_1),L7*(1-desc2_1)))</f>
        <v>4980.7215748199997</v>
      </c>
      <c r="M8" s="314">
        <f>IF(AND(desc2_1=0,ob2_1=0),M7,
IF(AND(desc2_1=0,ob2_1&gt;0),M7*(1-ob2_1),M7*(1-desc2_1)))</f>
        <v>5009.9978922</v>
      </c>
      <c r="N8" s="314">
        <f>IF(AND(desc2_1=0,ob2_1=0),N7,
IF(AND(desc2_1=0,ob2_1&gt;0),N7*(1-ob2_1),N7*(1-desc2_1)))</f>
        <v>5037.9386211600004</v>
      </c>
      <c r="O8" s="314" t="s">
        <v>7</v>
      </c>
      <c r="P8" s="510" t="s">
        <v>305</v>
      </c>
      <c r="Q8" s="96"/>
      <c r="R8" s="98" t="s">
        <v>206</v>
      </c>
      <c r="S8" s="314">
        <f>IF(AND(desc3_1=0,ob3_1=0),S7,
IF(AND(desc3_1=0,ob3_1&gt;0),S7*(1-ob3_1),S7*(1-desc3_1)))</f>
        <v>4950.1446658799996</v>
      </c>
      <c r="T8" s="314">
        <f>IF(AND(desc3_1=0,ob3_1=0),T7,
IF(AND(desc3_1=0,ob3_1&gt;0),T7*(1-ob3_1),T7*(1-desc3_1)))</f>
        <v>4980.7215748199997</v>
      </c>
      <c r="U8" s="314">
        <f>IF(AND(desc3_1=0,ob3_1=0),U7,
IF(AND(desc3_1=0,ob3_1&gt;0),U7*(1-ob3_1),U7*(1-desc3_1)))</f>
        <v>5009.9978922</v>
      </c>
      <c r="V8" s="314">
        <f>IF(AND(desc3_1=0,ob3_1=0),V7,
IF(AND(desc3_1=0,ob3_1&gt;0),V7*(1-ob3_1),V7*(1-desc3_1)))</f>
        <v>5037.9386211600004</v>
      </c>
      <c r="W8" s="314" t="s">
        <v>7</v>
      </c>
      <c r="X8" s="510" t="s">
        <v>305</v>
      </c>
      <c r="Y8" s="96"/>
      <c r="Z8" s="98" t="s">
        <v>206</v>
      </c>
      <c r="AA8" s="314">
        <f>IF(AND(desc4_1=0,ob4_1=0),AA7,
IF(AND(desc4_1=0,ob4_1&gt;0),AA7*(1-ob4_1),AA7*(1-desc4_1)))</f>
        <v>4950.1446658799996</v>
      </c>
      <c r="AB8" s="314">
        <f>IF(AND(desc4_1=0,ob4_1=0),AB7,
IF(AND(desc4_1=0,ob4_1&gt;0),AB7*(1-ob4_1),AB7*(1-desc4_1)))</f>
        <v>4980.7215748199997</v>
      </c>
      <c r="AC8" s="314">
        <f>IF(AND(desc4_1=0,ob4_1=0),AC7,
IF(AND(desc4_1=0,ob4_1&gt;0),AC7*(1-ob4_1),AC7*(1-desc4_1)))</f>
        <v>5009.9978922</v>
      </c>
      <c r="AD8" s="314">
        <f>IF(AND(desc4_1=0,ob4_1=0),AD7,
IF(AND(desc4_1=0,ob4_1&gt;0),AD7*(1-ob4_1),AD7*(1-desc4_1)))</f>
        <v>5037.9386211600004</v>
      </c>
      <c r="AE8" s="314" t="s">
        <v>7</v>
      </c>
      <c r="AF8" s="510" t="s">
        <v>305</v>
      </c>
      <c r="AG8" s="96"/>
      <c r="AH8" s="98" t="s">
        <v>206</v>
      </c>
      <c r="AI8" s="314">
        <f>IF(AND(desc5_1=0,ob5_1=0),AI7,
IF(AND(desc5_1=0,ob5_1&gt;0),AI7*(1-ob5_1),AI7*(1-desc5_1)))</f>
        <v>4950.1446658799996</v>
      </c>
      <c r="AJ8" s="314">
        <f>IF(AND(desc5_1=0,ob5_1=0),AJ7,
IF(AND(desc5_1=0,ob5_1&gt;0),AJ7*(1-ob5_1),AJ7*(1-desc5_1)))</f>
        <v>4980.7215748199997</v>
      </c>
      <c r="AK8" s="314">
        <f>IF(AND(desc5_1=0,ob5_1=0),AK7,
IF(AND(desc5_1=0,ob5_1&gt;0),AK7*(1-ob5_1),AK7*(1-desc5_1)))</f>
        <v>5009.9978922</v>
      </c>
      <c r="AL8" s="314">
        <f>IF(AND(desc5_1=0,ob5_1=0),AL7,
IF(AND(desc5_1=0,ob5_1&gt;0),AL7*(1-ob5_1),AL7*(1-desc5_1)))</f>
        <v>5037.9386211600004</v>
      </c>
      <c r="AM8" s="314" t="s">
        <v>7</v>
      </c>
      <c r="AN8" s="510" t="s">
        <v>305</v>
      </c>
      <c r="AO8" s="96"/>
      <c r="AP8" s="98" t="s">
        <v>206</v>
      </c>
      <c r="AQ8" s="314">
        <f>IF(AND(desc6_1=0,ob6_1=0),AQ7,
IF(AND(desc6_1=0,ob6_1&gt;0),AQ7*(1-ob6_1),AQ7*(1-desc6_1)))</f>
        <v>4950.1446658799996</v>
      </c>
      <c r="AR8" s="314">
        <f>IF(AND(desc6_1=0,ob6_1=0),AR7,
IF(AND(desc6_1=0,ob6_1&gt;0),AR7*(1-ob6_1),AR7*(1-desc6_1)))</f>
        <v>4980.7215748199997</v>
      </c>
      <c r="AS8" s="314">
        <f>IF(AND(desc6_1=0,ob6_1=0),AS7,
IF(AND(desc6_1=0,ob6_1&gt;0),AS7*(1-ob6_1),AS7*(1-desc6_1)))</f>
        <v>5009.9978922</v>
      </c>
      <c r="AT8" s="314">
        <f>IF(AND(desc6_1=0,ob6_1=0),AT7,
IF(AND(desc6_1=0,ob6_1&gt;0),AT7*(1-ob6_1),AT7*(1-desc6_1)))</f>
        <v>5037.9386211600004</v>
      </c>
      <c r="AU8" s="314" t="s">
        <v>7</v>
      </c>
      <c r="AV8" s="510" t="s">
        <v>305</v>
      </c>
      <c r="AW8" s="96"/>
      <c r="AX8" s="98" t="s">
        <v>206</v>
      </c>
      <c r="AY8" s="314">
        <f>IF(AND(desc7_1=0,ob7_1=0),AY7,
IF(AND(desc7_1=0,ob7_1&gt;0),AY7*(1-ob7_1),AY7*(1-desc7_1)))</f>
        <v>4950.1446658799996</v>
      </c>
      <c r="AZ8" s="314">
        <f>IF(AND(desc7_1=0,ob7_1=0),AZ7,
IF(AND(desc7_1=0,ob7_1&gt;0),AZ7*(1-ob7_1),AZ7*(1-desc7_1)))</f>
        <v>4980.7215748199997</v>
      </c>
      <c r="BA8" s="314">
        <f>IF(AND(desc7_1=0,ob7_1=0),BA7,
IF(AND(desc7_1=0,ob7_1&gt;0),BA7*(1-ob7_1),BA7*(1-desc7_1)))</f>
        <v>5009.9978922</v>
      </c>
      <c r="BB8" s="314">
        <f>IF(AND(desc7_1=0,ob7_1=0),BB7,
IF(AND(desc7_1=0,ob7_1&gt;0),BB7*(1-ob7_1),BB7*(1-desc7_1)))</f>
        <v>5037.9386211600004</v>
      </c>
      <c r="BC8" s="314" t="s">
        <v>7</v>
      </c>
      <c r="BD8" s="510" t="s">
        <v>305</v>
      </c>
      <c r="BE8" s="96"/>
      <c r="BF8" s="98" t="s">
        <v>206</v>
      </c>
      <c r="BG8" s="314">
        <f>IF(AND(desc8_1=0,ob8_1=0),BG7,
IF(AND(desc8_1=0,ob8_1&gt;0),BG7*(1-ob8_1),BG7*(1-desc8_1)))</f>
        <v>4950.1446658799996</v>
      </c>
      <c r="BH8" s="314">
        <f>IF(AND(desc8_1=0,ob8_1=0),BH7,
IF(AND(desc8_1=0,ob8_1&gt;0),BH7*(1-ob8_1),BH7*(1-desc8_1)))</f>
        <v>4980.7215748199997</v>
      </c>
      <c r="BI8" s="314">
        <f>IF(AND(desc8_1=0,ob8_1=0),BI7,
IF(AND(desc8_1=0,ob8_1&gt;0),BI7*(1-ob8_1),BI7*(1-desc8_1)))</f>
        <v>5009.9978922</v>
      </c>
      <c r="BJ8" s="314">
        <f>IF(AND(desc8_1=0,ob8_1=0),BJ7,
IF(AND(desc8_1=0,ob8_1&gt;0),BJ7*(1-ob8_1),BJ7*(1-desc8_1)))</f>
        <v>5037.9386211600004</v>
      </c>
      <c r="BK8" s="314" t="s">
        <v>7</v>
      </c>
      <c r="BL8" s="510" t="s">
        <v>305</v>
      </c>
      <c r="BM8" s="96"/>
      <c r="BN8" s="98" t="s">
        <v>206</v>
      </c>
      <c r="BO8" s="314">
        <f>IF(AND(desc9_1=0,ob9_1=0),BO7,
IF(AND(desc9_1=0,ob9_1&gt;0),BO7*(1-ob9_1),BO7*(1-desc9_1)))</f>
        <v>4950.1446658799996</v>
      </c>
      <c r="BP8" s="314">
        <f>IF(AND(desc9_1=0,ob9_1=0),BP7,
IF(AND(desc9_1=0,ob9_1&gt;0),BP7*(1-ob9_1),BP7*(1-desc9_1)))</f>
        <v>4980.7215748199997</v>
      </c>
      <c r="BQ8" s="314">
        <f>IF(AND(desc9_1=0,ob9_1=0),BQ7,
IF(AND(desc9_1=0,ob9_1&gt;0),BQ7*(1-ob9_1),BQ7*(1-desc9_1)))</f>
        <v>5009.9978922</v>
      </c>
      <c r="BR8" s="314">
        <f>IF(AND(desc9_1=0,ob9_1=0),BR7,
IF(AND(desc9_1=0,ob9_1&gt;0),BR7*(1-ob9_1),BR7*(1-desc9_1)))</f>
        <v>5037.9386211600004</v>
      </c>
      <c r="BS8" s="314" t="s">
        <v>7</v>
      </c>
      <c r="BT8" s="510" t="s">
        <v>305</v>
      </c>
      <c r="BU8" s="96"/>
      <c r="BV8" s="98" t="s">
        <v>206</v>
      </c>
      <c r="BW8" s="314">
        <f>IF(AND(desc10_1=0,ob10_1=0),BW7,
IF(AND(desc10_1=0,ob10_1&gt;0),BW7*(1-ob10_1),BW7*(1-desc10_1)))</f>
        <v>4950.1446658799996</v>
      </c>
      <c r="BX8" s="314">
        <f>IF(AND(desc10_1=0,ob10_1=0),BX7,
IF(AND(desc10_1=0,ob10_1&gt;0),BX7*(1-ob10_1),BX7*(1-desc10_1)))</f>
        <v>4980.7215748199997</v>
      </c>
      <c r="BY8" s="314">
        <f>IF(AND(desc10_1=0,ob10_1=0),BY7,
IF(AND(desc10_1=0,ob10_1&gt;0),BY7*(1-ob10_1),BY7*(1-desc10_1)))</f>
        <v>5009.9978922</v>
      </c>
      <c r="BZ8" s="314">
        <f>IF(AND(desc10_1=0,ob10_1=0),BZ7,
IF(AND(desc10_1=0,ob10_1&gt;0),BZ7*(1-ob10_1),BZ7*(1-desc10_1)))</f>
        <v>5037.9386211600004</v>
      </c>
      <c r="CA8" s="314" t="s">
        <v>7</v>
      </c>
      <c r="CB8" s="510" t="s">
        <v>305</v>
      </c>
      <c r="CC8" s="96"/>
      <c r="CD8" s="98" t="s">
        <v>206</v>
      </c>
      <c r="CE8" s="314">
        <f>IF(AND(desc11_1=0,ob11_1=0),CE7,
IF(AND(desc11_1=0,ob11_1&gt;0),CE7*(1-ob11_1),CE7*(1-desc11_1)))</f>
        <v>4950.1446658799996</v>
      </c>
      <c r="CF8" s="314">
        <f>IF(AND(desc11_1=0,ob11_1=0),CF7,
IF(AND(desc11_1=0,ob11_1&gt;0),CF7*(1-ob11_1),CF7*(1-desc11_1)))</f>
        <v>4980.7215748199997</v>
      </c>
      <c r="CG8" s="314">
        <f>IF(AND(desc11_1=0,ob11_1=0),CG7,
IF(AND(desc11_1=0,ob11_1&gt;0),CG7*(1-ob11_1),CG7*(1-desc11_1)))</f>
        <v>5009.9978922</v>
      </c>
      <c r="CH8" s="314">
        <f>IF(AND(desc11_1=0,ob11_1=0),CH7,
IF(AND(desc11_1=0,ob11_1&gt;0),CH7*(1-ob11_1),CH7*(1-desc11_1)))</f>
        <v>5037.9386211600004</v>
      </c>
      <c r="CI8" s="314" t="s">
        <v>7</v>
      </c>
      <c r="CJ8" s="510" t="s">
        <v>305</v>
      </c>
      <c r="CK8" s="96"/>
      <c r="CL8" s="98" t="s">
        <v>206</v>
      </c>
      <c r="CM8" s="314">
        <f>IF(AND(desc12_1=0,ob12_1=0),CM7,
IF(AND(desc12_1=0,ob12_1&gt;0),CM7*(1-ob12_1),CM7*(1-desc12_1)))</f>
        <v>4950.1446658799996</v>
      </c>
      <c r="CN8" s="314">
        <f>IF(AND(desc12_1=0,ob12_1=0),CN7,
IF(AND(desc12_1=0,ob12_1&gt;0),CN7*(1-ob12_1),CN7*(1-desc12_1)))</f>
        <v>4980.7215748199997</v>
      </c>
      <c r="CO8" s="314">
        <f>IF(AND(desc12_1=0,ob12_1=0),CO7,
IF(AND(desc12_1=0,ob12_1&gt;0),CO7*(1-ob12_1),CO7*(1-desc12_1)))</f>
        <v>5009.9978922</v>
      </c>
      <c r="CP8" s="314">
        <f>IF(AND(desc12_1=0,ob12_1=0),CP7,
IF(AND(desc12_1=0,ob12_1&gt;0),CP7*(1-ob12_1),CP7*(1-desc12_1)))</f>
        <v>5037.9386211600004</v>
      </c>
      <c r="CQ8" s="314" t="s">
        <v>7</v>
      </c>
      <c r="CR8" s="510" t="s">
        <v>305</v>
      </c>
      <c r="CS8" s="96"/>
      <c r="CT8" s="98" t="s">
        <v>206</v>
      </c>
      <c r="CU8" s="314">
        <f>IF(AND(desc13_1=0,ob13_1=0),CU7,
IF(AND(desc13_1=0,ob13_1&gt;0),CU7*(1-ob13_1),CU7*(1-desc13_1)))</f>
        <v>4950.1446658799996</v>
      </c>
      <c r="CV8" s="314">
        <f>IF(AND(desc13_1=0,ob13_1=0),CV7,
IF(AND(desc13_1=0,ob13_1&gt;0),CV7*(1-ob13_1),CV7*(1-desc13_1)))</f>
        <v>4980.7215748199997</v>
      </c>
      <c r="CW8" s="314">
        <f>IF(AND(desc13_1=0,ob13_1=0),CW7,
IF(AND(desc13_1=0,ob13_1&gt;0),CW7*(1-ob13_1),CW7*(1-desc13_1)))</f>
        <v>5009.9978922</v>
      </c>
      <c r="CX8" s="314">
        <f>IF(AND(desc13_1=0,ob13_1=0),CX7,
IF(AND(desc13_1=0,ob13_1&gt;0),CX7*(1-ob13_1),CX7*(1-desc13_1)))</f>
        <v>5037.9386211600004</v>
      </c>
      <c r="CY8" s="314" t="s">
        <v>7</v>
      </c>
      <c r="CZ8" s="510" t="s">
        <v>305</v>
      </c>
      <c r="DA8" s="96"/>
      <c r="DB8" s="98" t="s">
        <v>206</v>
      </c>
      <c r="DC8" s="314">
        <f>IF(AND(desc14_1=0,ob14_1=0),DC7,
IF(AND(desc14_1=0,ob14_1&gt;0),DC7*(1-ob14_1),DC7*(1-desc14_1)))</f>
        <v>4950.1446658799996</v>
      </c>
      <c r="DD8" s="314">
        <f>IF(AND(desc14_1=0,ob14_1=0),DD7,
IF(AND(desc14_1=0,ob14_1&gt;0),DD7*(1-ob14_1),DD7*(1-desc14_1)))</f>
        <v>4980.7215748199997</v>
      </c>
      <c r="DE8" s="314">
        <f>IF(AND(desc14_1=0,ob14_1=0),DE7,
IF(AND(desc14_1=0,ob14_1&gt;0),DE7*(1-ob14_1),DE7*(1-desc14_1)))</f>
        <v>5009.9978922</v>
      </c>
      <c r="DF8" s="314">
        <f>IF(AND(desc14_1=0,ob14_1=0),DF7,
IF(AND(desc14_1=0,ob14_1&gt;0),DF7*(1-ob14_1),DF7*(1-desc14_1)))</f>
        <v>5037.9386211600004</v>
      </c>
      <c r="DG8" s="314" t="s">
        <v>7</v>
      </c>
      <c r="DH8" s="510" t="s">
        <v>305</v>
      </c>
      <c r="DI8" s="96"/>
    </row>
    <row r="9" spans="2:113" s="97" customFormat="1">
      <c r="B9" s="99" t="s">
        <v>207</v>
      </c>
      <c r="C9" s="80">
        <f>IF(ob1_1=0,0,
IF(desc1_1=0,C7*ob1_1,
IF(desc_por_ob="No",0,
IF(AND(desc_por_ob="Yes",ob1_1&gt;desc1_1),"wrong data",(C7*ob1_1)))))</f>
        <v>0</v>
      </c>
      <c r="D9" s="80">
        <f>IF(ob1_1=0,0,
IF(desc1_1=0,D7*ob1_1,
IF(desc_por_ob="No",0,
IF(AND(desc_por_ob="Yes",ob1_1&gt;desc1_1),"wrong data",(D7*ob1_1)))))</f>
        <v>0</v>
      </c>
      <c r="E9" s="80">
        <f>IF(ob1_1=0,0,
IF(desc1_1=0,E7*ob1_1,
IF(desc_por_ob="No",0,
IF(AND(desc_por_ob="Yes",ob1_1&gt;desc1_1),"wrong data",(E7*ob1_1)))))</f>
        <v>0</v>
      </c>
      <c r="F9" s="80">
        <f>IF(ob1_1=0,0,
IF(desc1_1=0,F7*ob1_1,
IF(desc_por_ob="No",0,
IF(AND(desc_por_ob="Yes",ob1_1&gt;desc1_1),"wrong data",(F7*ob1_1)))))</f>
        <v>0</v>
      </c>
      <c r="G9" s="80" t="s">
        <v>7</v>
      </c>
      <c r="H9" s="511"/>
      <c r="I9" s="96"/>
      <c r="J9" s="99" t="s">
        <v>207</v>
      </c>
      <c r="K9" s="80">
        <f>IF(ob2_1=0,0,
IF(desc2_1=0,K7*ob2_1,
IF(desc_por_ob="No",0,
IF(AND(desc_por_ob="Yes",ob2_1&gt;desc2_1),"wrong data",(K7*ob2_1)))))</f>
        <v>0</v>
      </c>
      <c r="L9" s="80">
        <f>IF(ob2_1=0,0,
IF(desc2_1=0,L7*ob2_1,
IF(desc_por_ob="No",0,
IF(AND(desc_por_ob="Yes",ob2_1&gt;desc2_1),"wrong data",(L7*ob2_1)))))</f>
        <v>0</v>
      </c>
      <c r="M9" s="80">
        <f>IF(ob2_1=0,0,
IF(desc2_1=0,M7*ob2_1,
IF(desc_por_ob="No",0,
IF(AND(desc_por_ob="Yes",ob2_1&gt;desc2_1),"wrong data",(M7*ob2_1)))))</f>
        <v>0</v>
      </c>
      <c r="N9" s="80">
        <f>IF(ob2_1=0,0,
IF(desc2_1=0,N7*ob2_1,
IF(desc_por_ob="No",0,
IF(AND(desc_por_ob="Yes",ob2_1&gt;desc2_1),"wrong data",(N7*ob2_1)))))</f>
        <v>0</v>
      </c>
      <c r="O9" s="80" t="s">
        <v>7</v>
      </c>
      <c r="P9" s="511"/>
      <c r="Q9" s="96"/>
      <c r="R9" s="99" t="s">
        <v>207</v>
      </c>
      <c r="S9" s="80">
        <f>IF(ob3_1=0,0,
IF(desc3_1=0,S7*ob3_1,
IF(desc_por_ob="No",0,
IF(AND(desc_por_ob="Yes",ob3_1&gt;desc3_1),"wrong data",(S7*ob3_1)))))</f>
        <v>0</v>
      </c>
      <c r="T9" s="80">
        <f>IF(ob3_1=0,0,
IF(desc3_1=0,T7*ob3_1,
IF(desc_por_ob="No",0,
IF(AND(desc_por_ob="Yes",ob3_1&gt;desc3_1),"wrong data",(T7*ob3_1)))))</f>
        <v>0</v>
      </c>
      <c r="U9" s="80">
        <f>IF(ob3_1=0,0,
IF(desc3_1=0,U7*ob3_1,
IF(desc_por_ob="No",0,
IF(AND(desc_por_ob="Yes",ob3_1&gt;desc3_1),"wrong data",(U7*ob3_1)))))</f>
        <v>0</v>
      </c>
      <c r="V9" s="80">
        <f>IF(ob3_1=0,0,
IF(desc3_1=0,V7*ob3_1,
IF(desc_por_ob="No",0,
IF(AND(desc_por_ob="Yes",ob3_1&gt;desc3_1),"wrong data",(V7*ob3_1)))))</f>
        <v>0</v>
      </c>
      <c r="W9" s="80" t="s">
        <v>7</v>
      </c>
      <c r="X9" s="511"/>
      <c r="Y9" s="96"/>
      <c r="Z9" s="99" t="s">
        <v>207</v>
      </c>
      <c r="AA9" s="80">
        <f>IF(ob4_1=0,0,
IF(desc4_1=0,AA7*ob4_1,
IF(desc_por_ob="No",0,
IF(AND(desc_por_ob="Yes",ob4_1&gt;desc4_1),"wrong data",(AA7*ob4_1)))))</f>
        <v>0</v>
      </c>
      <c r="AB9" s="80">
        <f>IF(ob4_1=0,0,
IF(desc4_1=0,AB7*ob4_1,
IF(desc_por_ob="No",0,
IF(AND(desc_por_ob="Yes",ob4_1&gt;desc4_1),"wrong data",(AB7*ob4_1)))))</f>
        <v>0</v>
      </c>
      <c r="AC9" s="80">
        <f>IF(ob4_1=0,0,
IF(desc4_1=0,AC7*ob4_1,
IF(desc_por_ob="No",0,
IF(AND(desc_por_ob="Yes",ob4_1&gt;desc4_1),"wrong data",(AC7*ob4_1)))))</f>
        <v>0</v>
      </c>
      <c r="AD9" s="80">
        <f>IF(ob4_1=0,0,
IF(desc4_1=0,AD7*ob4_1,
IF(desc_por_ob="No",0,
IF(AND(desc_por_ob="Yes",ob4_1&gt;desc4_1),"wrong data",(AD7*ob4_1)))))</f>
        <v>0</v>
      </c>
      <c r="AE9" s="80" t="s">
        <v>7</v>
      </c>
      <c r="AF9" s="511"/>
      <c r="AG9" s="96"/>
      <c r="AH9" s="99" t="s">
        <v>207</v>
      </c>
      <c r="AI9" s="80">
        <f>IF(ob5_1=0,0,
IF(desc5_1=0,AI7*ob5_1,
IF(desc_por_ob="No",0,
IF(AND(desc_por_ob="Yes",ob5_1&gt;desc5_1),"wrong data",(AI7*ob5_1)))))</f>
        <v>0</v>
      </c>
      <c r="AJ9" s="80">
        <f>IF(ob5_1=0,0,
IF(desc5_1=0,AJ7*ob5_1,
IF(desc_por_ob="No",0,
IF(AND(desc_por_ob="Yes",ob5_1&gt;desc5_1),"wrong data",(AJ7*ob5_1)))))</f>
        <v>0</v>
      </c>
      <c r="AK9" s="80">
        <f>IF(ob5_1=0,0,
IF(desc5_1=0,AK7*ob5_1,
IF(desc_por_ob="No",0,
IF(AND(desc_por_ob="Yes",ob5_1&gt;desc5_1),"wrong data",(AK7*ob5_1)))))</f>
        <v>0</v>
      </c>
      <c r="AL9" s="80">
        <f>IF(ob5_1=0,0,
IF(desc5_1=0,AL7*ob5_1,
IF(desc_por_ob="No",0,
IF(AND(desc_por_ob="Yes",ob5_1&gt;desc5_1),"wrong data",(AL7*ob5_1)))))</f>
        <v>0</v>
      </c>
      <c r="AM9" s="80" t="s">
        <v>7</v>
      </c>
      <c r="AN9" s="511"/>
      <c r="AO9" s="96"/>
      <c r="AP9" s="99" t="s">
        <v>207</v>
      </c>
      <c r="AQ9" s="80">
        <f>IF(ob6_1=0,0,
IF(desc6_1=0,AQ7*ob6_1,
IF(desc_por_ob="No",0,
IF(AND(desc_por_ob="Yes",ob6_1&gt;desc6_1),"wrong data",(AQ7*ob6_1)))))</f>
        <v>0</v>
      </c>
      <c r="AR9" s="80">
        <f>IF(ob6_1=0,0,
IF(desc6_1=0,AR7*ob6_1,
IF(desc_por_ob="No",0,
IF(AND(desc_por_ob="Yes",ob6_1&gt;desc6_1),"wrong data",(AR7*ob6_1)))))</f>
        <v>0</v>
      </c>
      <c r="AS9" s="80">
        <f>IF(ob6_1=0,0,
IF(desc6_1=0,AS7*ob6_1,
IF(desc_por_ob="No",0,
IF(AND(desc_por_ob="Yes",ob6_1&gt;desc6_1),"wrong data",(AS7*ob6_1)))))</f>
        <v>0</v>
      </c>
      <c r="AT9" s="80">
        <f>IF(ob6_1=0,0,
IF(desc6_1=0,AT7*ob6_1,
IF(desc_por_ob="No",0,
IF(AND(desc_por_ob="Yes",ob6_1&gt;desc6_1),"wrong data",(AT7*ob6_1)))))</f>
        <v>0</v>
      </c>
      <c r="AU9" s="80" t="s">
        <v>7</v>
      </c>
      <c r="AV9" s="511"/>
      <c r="AW9" s="96"/>
      <c r="AX9" s="99" t="s">
        <v>207</v>
      </c>
      <c r="AY9" s="80">
        <f>IF(ob7_1=0,0,
IF(desc7_1=0,AY7*ob7_1,
IF(desc_por_ob="No",0,
IF(AND(desc_por_ob="Yes",ob7_1&gt;desc7_1),"wrong data",(AY7*ob7_1)))))</f>
        <v>0</v>
      </c>
      <c r="AZ9" s="80">
        <f>IF(ob7_1=0,0,
IF(desc7_1=0,AZ7*ob7_1,
IF(desc_por_ob="No",0,
IF(AND(desc_por_ob="Yes",ob7_1&gt;desc7_1),"wrong data",(AZ7*ob7_1)))))</f>
        <v>0</v>
      </c>
      <c r="BA9" s="80">
        <f>IF(ob7_1=0,0,
IF(desc7_1=0,BA7*ob7_1,
IF(desc_por_ob="No",0,
IF(AND(desc_por_ob="Yes",ob7_1&gt;desc7_1),"wrong data",(BA7*ob7_1)))))</f>
        <v>0</v>
      </c>
      <c r="BB9" s="80">
        <f>IF(ob7_1=0,0,
IF(desc7_1=0,BB7*ob7_1,
IF(desc_por_ob="No",0,
IF(AND(desc_por_ob="Yes",ob7_1&gt;desc7_1),"wrong data",(BB7*ob7_1)))))</f>
        <v>0</v>
      </c>
      <c r="BC9" s="80" t="s">
        <v>7</v>
      </c>
      <c r="BD9" s="511"/>
      <c r="BE9" s="96"/>
      <c r="BF9" s="99" t="s">
        <v>207</v>
      </c>
      <c r="BG9" s="80">
        <f>IF(ob8_1=0,0,
IF(desc8_1=0,BG7*ob8_1,
IF(desc_por_ob="No",0,
IF(AND(desc_por_ob="Yes",ob8_1&gt;desc8_1),"wrong data",(BG7*ob8_1)))))</f>
        <v>0</v>
      </c>
      <c r="BH9" s="80">
        <f>IF(ob8_1=0,0,
IF(desc8_1=0,BH7*ob8_1,
IF(desc_por_ob="No",0,
IF(AND(desc_por_ob="Yes",ob8_1&gt;desc8_1),"wrong data",(BH7*ob8_1)))))</f>
        <v>0</v>
      </c>
      <c r="BI9" s="80">
        <f>IF(ob8_1=0,0,
IF(desc8_1=0,BI7*ob8_1,
IF(desc_por_ob="No",0,
IF(AND(desc_por_ob="Yes",ob8_1&gt;desc8_1),"wrong data",(BI7*ob8_1)))))</f>
        <v>0</v>
      </c>
      <c r="BJ9" s="80">
        <f>IF(ob8_1=0,0,
IF(desc8_1=0,BJ7*ob8_1,
IF(desc_por_ob="No",0,
IF(AND(desc_por_ob="Yes",ob8_1&gt;desc8_1),"wrong data",(BJ7*ob8_1)))))</f>
        <v>0</v>
      </c>
      <c r="BK9" s="80" t="s">
        <v>7</v>
      </c>
      <c r="BL9" s="511"/>
      <c r="BM9" s="96"/>
      <c r="BN9" s="99" t="s">
        <v>207</v>
      </c>
      <c r="BO9" s="80">
        <f>IF(ob9_1=0,0,
IF(desc9_1=0,BO7*ob9_1,
IF(desc_por_ob="No",0,
IF(AND(desc_por_ob="Yes",ob9_1&gt;desc9_1),"wrong data",(BO7*ob9_1)))))</f>
        <v>0</v>
      </c>
      <c r="BP9" s="80">
        <f>IF(ob9_1=0,0,
IF(desc9_1=0,BP7*ob9_1,
IF(desc_por_ob="No",0,
IF(AND(desc_por_ob="Yes",ob9_1&gt;desc9_1),"wrong data",(BP7*ob9_1)))))</f>
        <v>0</v>
      </c>
      <c r="BQ9" s="80">
        <f>IF(ob9_1=0,0,
IF(desc9_1=0,BQ7*ob9_1,
IF(desc_por_ob="No",0,
IF(AND(desc_por_ob="Yes",ob9_1&gt;desc9_1),"wrong data",(BQ7*ob9_1)))))</f>
        <v>0</v>
      </c>
      <c r="BR9" s="80">
        <f>IF(ob9_1=0,0,
IF(desc9_1=0,BR7*ob9_1,
IF(desc_por_ob="No",0,
IF(AND(desc_por_ob="Yes",ob9_1&gt;desc9_1),"wrong data",(BR7*ob9_1)))))</f>
        <v>0</v>
      </c>
      <c r="BS9" s="80" t="s">
        <v>7</v>
      </c>
      <c r="BT9" s="511"/>
      <c r="BU9" s="96"/>
      <c r="BV9" s="99" t="s">
        <v>207</v>
      </c>
      <c r="BW9" s="80">
        <f>IF(ob10_1=0,0,
IF(desc10_1=0,BW7*ob10_1,
IF(desc_por_ob="No",0,
IF(AND(desc_por_ob="Yes",ob10_1&gt;desc10_1),"wrong data",(BW7*ob10_1)))))</f>
        <v>0</v>
      </c>
      <c r="BX9" s="80">
        <f>IF(ob10_1=0,0,
IF(desc10_1=0,BX7*ob10_1,
IF(desc_por_ob="No",0,
IF(AND(desc_por_ob="Yes",ob10_1&gt;desc10_1),"wrong data",(BX7*ob10_1)))))</f>
        <v>0</v>
      </c>
      <c r="BY9" s="80">
        <f>IF(ob10_1=0,0,
IF(desc10_1=0,BY7*ob10_1,
IF(desc_por_ob="No",0,
IF(AND(desc_por_ob="Yes",ob10_1&gt;desc10_1),"wrong data",(BY7*ob10_1)))))</f>
        <v>0</v>
      </c>
      <c r="BZ9" s="80">
        <f>IF(ob10_1=0,0,
IF(desc10_1=0,BZ7*ob10_1,
IF(desc_por_ob="No",0,
IF(AND(desc_por_ob="Yes",ob10_1&gt;desc10_1),"wrong data",(BZ7*ob10_1)))))</f>
        <v>0</v>
      </c>
      <c r="CA9" s="80" t="s">
        <v>7</v>
      </c>
      <c r="CB9" s="511"/>
      <c r="CC9" s="96"/>
      <c r="CD9" s="99" t="s">
        <v>207</v>
      </c>
      <c r="CE9" s="80">
        <f>IF(ob11_1=0,0,
IF(desc11_1=0,CE7*ob11_1,
IF(desc_por_ob="No",0,
IF(AND(desc_por_ob="Yes",ob11_1&gt;desc11_1),"wrong data",(CE7*ob11_1)))))</f>
        <v>0</v>
      </c>
      <c r="CF9" s="80">
        <f>IF(ob11_1=0,0,
IF(desc11_1=0,CF7*ob11_1,
IF(desc_por_ob="No",0,
IF(AND(desc_por_ob="Yes",ob11_1&gt;desc11_1),"wrong data",(CF7*ob11_1)))))</f>
        <v>0</v>
      </c>
      <c r="CG9" s="80">
        <f>IF(ob11_1=0,0,
IF(desc11_1=0,CG7*ob11_1,
IF(desc_por_ob="No",0,
IF(AND(desc_por_ob="Yes",ob11_1&gt;desc11_1),"wrong data",(CG7*ob11_1)))))</f>
        <v>0</v>
      </c>
      <c r="CH9" s="80">
        <f>IF(ob11_1=0,0,
IF(desc11_1=0,CH7*ob11_1,
IF(desc_por_ob="No",0,
IF(AND(desc_por_ob="Yes",ob11_1&gt;desc11_1),"wrong data",(CH7*ob11_1)))))</f>
        <v>0</v>
      </c>
      <c r="CI9" s="80" t="s">
        <v>7</v>
      </c>
      <c r="CJ9" s="511"/>
      <c r="CK9" s="96"/>
      <c r="CL9" s="99" t="s">
        <v>207</v>
      </c>
      <c r="CM9" s="80">
        <f>IF(ob12_1=0,0,
IF(desc12_1=0,CM7*ob12_1,
IF(desc_por_ob="No",0,
IF(AND(desc_por_ob="Yes",ob12_1&gt;desc12_1),"wrong data",(CM7*ob12_1)))))</f>
        <v>0</v>
      </c>
      <c r="CN9" s="80">
        <f>IF(ob12_1=0,0,
IF(desc12_1=0,CN7*ob12_1,
IF(desc_por_ob="No",0,
IF(AND(desc_por_ob="Yes",ob12_1&gt;desc12_1),"wrong data",(CN7*ob12_1)))))</f>
        <v>0</v>
      </c>
      <c r="CO9" s="80">
        <f>IF(ob12_1=0,0,
IF(desc12_1=0,CO7*ob12_1,
IF(desc_por_ob="No",0,
IF(AND(desc_por_ob="Yes",ob12_1&gt;desc12_1),"wrong data",(CO7*ob12_1)))))</f>
        <v>0</v>
      </c>
      <c r="CP9" s="80">
        <f>IF(ob12_1=0,0,
IF(desc12_1=0,CP7*ob12_1,
IF(desc_por_ob="No",0,
IF(AND(desc_por_ob="Yes",ob12_1&gt;desc12_1),"wrong data",(CP7*ob12_1)))))</f>
        <v>0</v>
      </c>
      <c r="CQ9" s="80" t="s">
        <v>7</v>
      </c>
      <c r="CR9" s="511"/>
      <c r="CS9" s="96"/>
      <c r="CT9" s="99" t="s">
        <v>207</v>
      </c>
      <c r="CU9" s="80">
        <f>IF(ob13_1=0,0,
IF(desc13_1=0,CU7*ob13_1,
IF(desc_por_ob="No",0,
IF(AND(desc_por_ob="Yes",ob13_1&gt;desc13_1),"wrong data",(CU7*ob13_1)))))</f>
        <v>0</v>
      </c>
      <c r="CV9" s="80">
        <f>IF(ob13_1=0,0,
IF(desc13_1=0,CV7*ob13_1,
IF(desc_por_ob="No",0,
IF(AND(desc_por_ob="Yes",ob13_1&gt;desc13_1),"wrong data",(CV7*ob13_1)))))</f>
        <v>0</v>
      </c>
      <c r="CW9" s="80">
        <f>IF(ob13_1=0,0,
IF(desc13_1=0,CW7*ob13_1,
IF(desc_por_ob="No",0,
IF(AND(desc_por_ob="Yes",ob13_1&gt;desc13_1),"wrong data",(CW7*ob13_1)))))</f>
        <v>0</v>
      </c>
      <c r="CX9" s="80">
        <f>IF(ob13_1=0,0,
IF(desc13_1=0,CX7*ob13_1,
IF(desc_por_ob="No",0,
IF(AND(desc_por_ob="Yes",ob13_1&gt;desc13_1),"wrong data",(CX7*ob13_1)))))</f>
        <v>0</v>
      </c>
      <c r="CY9" s="80" t="s">
        <v>7</v>
      </c>
      <c r="CZ9" s="511"/>
      <c r="DA9" s="96"/>
      <c r="DB9" s="99" t="s">
        <v>207</v>
      </c>
      <c r="DC9" s="80">
        <f>IF(ob14_1=0,0,
IF(desc14_1=0,DC7*ob14_1,
IF(desc_por_ob="No",0,
IF(AND(desc_por_ob="Yes",ob14_1&gt;desc14_1),"wrong data",(DC7*ob14_1)))))</f>
        <v>0</v>
      </c>
      <c r="DD9" s="80">
        <f>IF(ob14_1=0,0,
IF(desc14_1=0,DD7*ob14_1,
IF(desc_por_ob="No",0,
IF(AND(desc_por_ob="Yes",ob14_1&gt;desc14_1),"wrong data",(DD7*ob14_1)))))</f>
        <v>0</v>
      </c>
      <c r="DE9" s="80">
        <f>IF(ob14_1=0,0,
IF(desc14_1=0,DE7*ob14_1,
IF(desc_por_ob="No",0,
IF(AND(desc_por_ob="Yes",ob14_1&gt;desc14_1),"wrong data",(DE7*ob14_1)))))</f>
        <v>0</v>
      </c>
      <c r="DF9" s="80">
        <f>IF(ob14_1=0,0,
IF(desc14_1=0,DF7*ob14_1,
IF(desc_por_ob="No",0,
IF(AND(desc_por_ob="Yes",ob14_1&gt;desc14_1),"wrong data",(DF7*ob14_1)))))</f>
        <v>0</v>
      </c>
      <c r="DG9" s="80" t="s">
        <v>7</v>
      </c>
      <c r="DH9" s="511"/>
      <c r="DI9" s="96"/>
    </row>
    <row r="10" spans="2:113" s="97" customFormat="1" ht="15" thickBot="1">
      <c r="B10" s="100" t="str">
        <f>IF(OR(uso=3,uso=4),"Progressed","Discontinued")</f>
        <v>Discontinued</v>
      </c>
      <c r="C10" s="315">
        <f>IF(desc1_1=0,0,
IF(AND(desc_por_ob="Yes",ob1_1&gt;desc1_1),"wrong data",C7-C8-C9))</f>
        <v>0</v>
      </c>
      <c r="D10" s="315">
        <f>IF(desc1_1=0,0,
IF(AND(desc_por_ob="Yes",ob1_1&gt;desc1_1),"wrong data",D7-D8-D9))</f>
        <v>0</v>
      </c>
      <c r="E10" s="315">
        <f>IF(desc1_1=0,0,
IF(AND(desc_por_ob="Yes",ob1_1&gt;desc1_1),"wrong data",E7-E8-E9))</f>
        <v>0</v>
      </c>
      <c r="F10" s="315">
        <f>IF(desc1_1=0,0,
IF(AND(desc_por_ob="Yes",ob1_1&gt;desc1_1),"wrong data",F7-F8-F9))</f>
        <v>0</v>
      </c>
      <c r="G10" s="315" t="s">
        <v>7</v>
      </c>
      <c r="H10" s="512"/>
      <c r="I10" s="96"/>
      <c r="J10" s="100" t="str">
        <f>IF(OR(uso=3,uso=4),"Progressed","Discontinued")</f>
        <v>Discontinued</v>
      </c>
      <c r="K10" s="315">
        <f>IF(desc2_1=0,0,
IF(AND(desc_por_ob="Yes",ob2_1&gt;desc2_1),"wrong data",K7-K8-K9))</f>
        <v>0</v>
      </c>
      <c r="L10" s="315">
        <f>IF(desc2_1=0,0,
IF(AND(desc_por_ob="Yes",ob2_1&gt;desc2_1),"wrong data",L7-L8-L9))</f>
        <v>0</v>
      </c>
      <c r="M10" s="315">
        <f>IF(desc2_1=0,0,
IF(AND(desc_por_ob="Yes",ob2_1&gt;desc2_1),"wrong data",M7-M8-M9))</f>
        <v>0</v>
      </c>
      <c r="N10" s="315">
        <f>IF(desc2_1=0,0,
IF(AND(desc_por_ob="Yes",ob2_1&gt;desc2_1),"wrong data",N7-N8-N9))</f>
        <v>0</v>
      </c>
      <c r="O10" s="315" t="s">
        <v>7</v>
      </c>
      <c r="P10" s="512"/>
      <c r="Q10" s="96"/>
      <c r="R10" s="100" t="s">
        <v>208</v>
      </c>
      <c r="S10" s="315">
        <f>IF(desc3_1=0,0,
IF(AND(desc_por_ob="Yes",ob3_1&gt;desc3_1),"wrong data",S7-S8-S9))</f>
        <v>0</v>
      </c>
      <c r="T10" s="315">
        <f>IF(desc3_1=0,0,
IF(AND(desc_por_ob="Yes",ob3_1&gt;desc3_1),"wrong data",T7-T8-T9))</f>
        <v>0</v>
      </c>
      <c r="U10" s="315">
        <f>IF(desc3_1=0,0,
IF(AND(desc_por_ob="Yes",ob3_1&gt;desc3_1),"wrong data",U7-U8-U9))</f>
        <v>0</v>
      </c>
      <c r="V10" s="315">
        <f>IF(desc3_1=0,0,
IF(AND(desc_por_ob="Yes",ob3_1&gt;desc3_1),"wrong data",V7-V8-V9))</f>
        <v>0</v>
      </c>
      <c r="W10" s="315" t="s">
        <v>7</v>
      </c>
      <c r="X10" s="512"/>
      <c r="Y10" s="96"/>
      <c r="Z10" s="100" t="s">
        <v>208</v>
      </c>
      <c r="AA10" s="315">
        <f>IF(desc4_1=0,0,
IF(AND(desc_por_ob="Yes",ob4_1&gt;desc4_1),"wrong data",AA7-AA8-AA9))</f>
        <v>0</v>
      </c>
      <c r="AB10" s="315">
        <f>IF(desc4_1=0,0,
IF(AND(desc_por_ob="Yes",ob4_1&gt;desc4_1),"wrong data",AB7-AB8-AB9))</f>
        <v>0</v>
      </c>
      <c r="AC10" s="315">
        <f>IF(desc4_1=0,0,
IF(AND(desc_por_ob="Yes",ob4_1&gt;desc4_1),"wrong data",AC7-AC8-AC9))</f>
        <v>0</v>
      </c>
      <c r="AD10" s="315">
        <f>IF(desc4_1=0,0,
IF(AND(desc_por_ob="Yes",ob4_1&gt;desc4_1),"wrong data",AD7-AD8-AD9))</f>
        <v>0</v>
      </c>
      <c r="AE10" s="315" t="s">
        <v>7</v>
      </c>
      <c r="AF10" s="512"/>
      <c r="AG10" s="96"/>
      <c r="AH10" s="100" t="s">
        <v>208</v>
      </c>
      <c r="AI10" s="315">
        <f>IF(desc5_1=0,0,
IF(AND(desc_por_ob="Yes",ob5_1&gt;desc5_1),"wrong data",AI7-AI8-AI9))</f>
        <v>0</v>
      </c>
      <c r="AJ10" s="315">
        <f>IF(desc5_1=0,0,
IF(AND(desc_por_ob="Yes",ob5_1&gt;desc5_1),"wrong data",AJ7-AJ8-AJ9))</f>
        <v>0</v>
      </c>
      <c r="AK10" s="315">
        <f>IF(desc5_1=0,0,
IF(AND(desc_por_ob="Yes",ob5_1&gt;desc5_1),"wrong data",AK7-AK8-AK9))</f>
        <v>0</v>
      </c>
      <c r="AL10" s="315">
        <f>IF(desc5_1=0,0,
IF(AND(desc_por_ob="Yes",ob5_1&gt;desc5_1),"wrong data",AL7-AL8-AL9))</f>
        <v>0</v>
      </c>
      <c r="AM10" s="315" t="s">
        <v>7</v>
      </c>
      <c r="AN10" s="512"/>
      <c r="AO10" s="96"/>
      <c r="AP10" s="100" t="s">
        <v>208</v>
      </c>
      <c r="AQ10" s="315">
        <f>IF(desc6_1=0,0,
IF(AND(desc_por_ob="Yes",ob6_1&gt;desc6_1),"wrong data",AQ7-AQ8-AQ9))</f>
        <v>0</v>
      </c>
      <c r="AR10" s="315">
        <f>IF(desc6_1=0,0,
IF(AND(desc_por_ob="Yes",ob6_1&gt;desc6_1),"wrong data",AR7-AR8-AR9))</f>
        <v>0</v>
      </c>
      <c r="AS10" s="315">
        <f>IF(desc6_1=0,0,
IF(AND(desc_por_ob="Yes",ob6_1&gt;desc6_1),"wrong data",AS7-AS8-AS9))</f>
        <v>0</v>
      </c>
      <c r="AT10" s="315">
        <f>IF(desc6_1=0,0,
IF(AND(desc_por_ob="Yes",ob6_1&gt;desc6_1),"wrong data",AT7-AT8-AT9))</f>
        <v>0</v>
      </c>
      <c r="AU10" s="315" t="s">
        <v>7</v>
      </c>
      <c r="AV10" s="512"/>
      <c r="AW10" s="96"/>
      <c r="AX10" s="100" t="s">
        <v>208</v>
      </c>
      <c r="AY10" s="315">
        <f>IF(desc7_1=0,0,
IF(AND(desc_por_ob="Yes",ob7_1&gt;desc7_1),"wrong data",AY7-AY8-AY9))</f>
        <v>0</v>
      </c>
      <c r="AZ10" s="315">
        <f>IF(desc7_1=0,0,
IF(AND(desc_por_ob="Yes",ob7_1&gt;desc7_1),"wrong data",AZ7-AZ8-AZ9))</f>
        <v>0</v>
      </c>
      <c r="BA10" s="315">
        <f>IF(desc7_1=0,0,
IF(AND(desc_por_ob="Yes",ob7_1&gt;desc7_1),"wrong data",BA7-BA8-BA9))</f>
        <v>0</v>
      </c>
      <c r="BB10" s="315">
        <f>IF(desc7_1=0,0,
IF(AND(desc_por_ob="Yes",ob7_1&gt;desc7_1),"wrong data",BB7-BB8-BB9))</f>
        <v>0</v>
      </c>
      <c r="BC10" s="315" t="s">
        <v>7</v>
      </c>
      <c r="BD10" s="512"/>
      <c r="BE10" s="96"/>
      <c r="BF10" s="100" t="s">
        <v>208</v>
      </c>
      <c r="BG10" s="315">
        <f>IF(desc8_1=0,0,
IF(AND(desc_por_ob="Yes",ob8_1&gt;desc8_1),"wrong data",BG7-BG8-BG9))</f>
        <v>0</v>
      </c>
      <c r="BH10" s="315">
        <f>IF(desc8_1=0,0,
IF(AND(desc_por_ob="Yes",ob8_1&gt;desc8_1),"wrong data",BH7-BH8-BH9))</f>
        <v>0</v>
      </c>
      <c r="BI10" s="315">
        <f>IF(desc8_1=0,0,
IF(AND(desc_por_ob="Yes",ob8_1&gt;desc8_1),"wrong data",BI7-BI8-BI9))</f>
        <v>0</v>
      </c>
      <c r="BJ10" s="315">
        <f>IF(desc8_1=0,0,
IF(AND(desc_por_ob="Yes",ob8_1&gt;desc8_1),"wrong data",BJ7-BJ8-BJ9))</f>
        <v>0</v>
      </c>
      <c r="BK10" s="315" t="s">
        <v>7</v>
      </c>
      <c r="BL10" s="512"/>
      <c r="BM10" s="96"/>
      <c r="BN10" s="100" t="s">
        <v>208</v>
      </c>
      <c r="BO10" s="315">
        <f>IF(desc9_1=0,0,
IF(AND(desc_por_ob="Yes",ob9_1&gt;desc9_1),"wrong data",BO7-BO8-BO9))</f>
        <v>0</v>
      </c>
      <c r="BP10" s="315">
        <f>IF(desc9_1=0,0,
IF(AND(desc_por_ob="Yes",ob9_1&gt;desc9_1),"wrong data",BP7-BP8-BP9))</f>
        <v>0</v>
      </c>
      <c r="BQ10" s="315">
        <f>IF(desc9_1=0,0,
IF(AND(desc_por_ob="Yes",ob9_1&gt;desc9_1),"wrong data",BQ7-BQ8-BQ9))</f>
        <v>0</v>
      </c>
      <c r="BR10" s="315">
        <f>IF(desc9_1=0,0,
IF(AND(desc_por_ob="Yes",ob9_1&gt;desc9_1),"wrong data",BR7-BR8-BR9))</f>
        <v>0</v>
      </c>
      <c r="BS10" s="315" t="s">
        <v>7</v>
      </c>
      <c r="BT10" s="512"/>
      <c r="BU10" s="96"/>
      <c r="BV10" s="100" t="s">
        <v>208</v>
      </c>
      <c r="BW10" s="315">
        <f>IF(desc10_1=0,0,
IF(AND(desc_por_ob="Yes",ob10_1&gt;desc10_1),"wrong data",BW7-BW8-BW9))</f>
        <v>0</v>
      </c>
      <c r="BX10" s="315">
        <f>IF(desc10_1=0,0,
IF(AND(desc_por_ob="Yes",ob10_1&gt;desc10_1),"wrong data",BX7-BX8-BX9))</f>
        <v>0</v>
      </c>
      <c r="BY10" s="315">
        <f>IF(desc10_1=0,0,
IF(AND(desc_por_ob="Yes",ob10_1&gt;desc10_1),"wrong data",BY7-BY8-BY9))</f>
        <v>0</v>
      </c>
      <c r="BZ10" s="315">
        <f>IF(desc10_1=0,0,
IF(AND(desc_por_ob="Yes",ob10_1&gt;desc10_1),"wrong data",BZ7-BZ8-BZ9))</f>
        <v>0</v>
      </c>
      <c r="CA10" s="315" t="s">
        <v>7</v>
      </c>
      <c r="CB10" s="512"/>
      <c r="CC10" s="96"/>
      <c r="CD10" s="100" t="s">
        <v>208</v>
      </c>
      <c r="CE10" s="315">
        <f>IF(desc11_1=0,0,
IF(AND(desc_por_ob="Yes",ob11_1&gt;desc11_1),"wrong data",CE7-CE8-CE9))</f>
        <v>0</v>
      </c>
      <c r="CF10" s="315">
        <f>IF(desc11_1=0,0,
IF(AND(desc_por_ob="Yes",ob11_1&gt;desc11_1),"wrong data",CF7-CF8-CF9))</f>
        <v>0</v>
      </c>
      <c r="CG10" s="315">
        <f>IF(desc11_1=0,0,
IF(AND(desc_por_ob="Yes",ob11_1&gt;desc11_1),"wrong data",CG7-CG8-CG9))</f>
        <v>0</v>
      </c>
      <c r="CH10" s="315">
        <f>IF(desc11_1=0,0,
IF(AND(desc_por_ob="Yes",ob11_1&gt;desc11_1),"wrong data",CH7-CH8-CH9))</f>
        <v>0</v>
      </c>
      <c r="CI10" s="315" t="s">
        <v>7</v>
      </c>
      <c r="CJ10" s="512"/>
      <c r="CK10" s="96"/>
      <c r="CL10" s="100" t="s">
        <v>208</v>
      </c>
      <c r="CM10" s="315">
        <f>IF(desc12_1=0,0,
IF(AND(desc_por_ob="Yes",ob12_1&gt;desc12_1),"wrong data",CM7-CM8-CM9))</f>
        <v>0</v>
      </c>
      <c r="CN10" s="315">
        <f>IF(desc12_1=0,0,
IF(AND(desc_por_ob="Yes",ob12_1&gt;desc12_1),"wrong data",CN7-CN8-CN9))</f>
        <v>0</v>
      </c>
      <c r="CO10" s="315">
        <f>IF(desc12_1=0,0,
IF(AND(desc_por_ob="Yes",ob12_1&gt;desc12_1),"wrong data",CO7-CO8-CO9))</f>
        <v>0</v>
      </c>
      <c r="CP10" s="315">
        <f>IF(desc12_1=0,0,
IF(AND(desc_por_ob="Yes",ob12_1&gt;desc12_1),"wrong data",CP7-CP8-CP9))</f>
        <v>0</v>
      </c>
      <c r="CQ10" s="315" t="s">
        <v>7</v>
      </c>
      <c r="CR10" s="512"/>
      <c r="CS10" s="96"/>
      <c r="CT10" s="100" t="s">
        <v>208</v>
      </c>
      <c r="CU10" s="315">
        <f>IF(desc13_1=0,0,
IF(AND(desc_por_ob="Yes",ob13_1&gt;desc13_1),"wrong data",CU7-CU8-CU9))</f>
        <v>0</v>
      </c>
      <c r="CV10" s="315">
        <f>IF(desc13_1=0,0,
IF(AND(desc_por_ob="Yes",ob13_1&gt;desc13_1),"wrong data",CV7-CV8-CV9))</f>
        <v>0</v>
      </c>
      <c r="CW10" s="315">
        <f>IF(desc13_1=0,0,
IF(AND(desc_por_ob="Yes",ob13_1&gt;desc13_1),"wrong data",CW7-CW8-CW9))</f>
        <v>0</v>
      </c>
      <c r="CX10" s="315">
        <f>IF(desc13_1=0,0,
IF(AND(desc_por_ob="Yes",ob13_1&gt;desc13_1),"wrong data",CX7-CX8-CX9))</f>
        <v>0</v>
      </c>
      <c r="CY10" s="315" t="s">
        <v>7</v>
      </c>
      <c r="CZ10" s="512"/>
      <c r="DA10" s="96"/>
      <c r="DB10" s="100" t="s">
        <v>208</v>
      </c>
      <c r="DC10" s="315">
        <f>IF(desc14_1=0,0,
IF(AND(desc_por_ob="Yes",ob14_1&gt;desc14_1),"wrong data",DC7-DC8-DC9))</f>
        <v>0</v>
      </c>
      <c r="DD10" s="315">
        <f>IF(desc14_1=0,0,
IF(AND(desc_por_ob="Yes",ob14_1&gt;desc14_1),"wrong data",DD7-DD8-DD9))</f>
        <v>0</v>
      </c>
      <c r="DE10" s="315">
        <f>IF(desc14_1=0,0,
IF(AND(desc_por_ob="Yes",ob14_1&gt;desc14_1),"wrong data",DE7-DE8-DE9))</f>
        <v>0</v>
      </c>
      <c r="DF10" s="315">
        <f>IF(desc14_1=0,0,
IF(AND(desc_por_ob="Yes",ob14_1&gt;desc14_1),"wrong data",DF7-DF8-DF9))</f>
        <v>0</v>
      </c>
      <c r="DG10" s="315" t="s">
        <v>7</v>
      </c>
      <c r="DH10" s="512"/>
      <c r="DI10" s="96"/>
    </row>
    <row r="11" spans="2:113" s="97" customFormat="1" ht="15" customHeight="1">
      <c r="B11" s="98" t="str">
        <f>IF(OR(uso=3,uso=4),"Progression-free","On treatment")</f>
        <v>On treatment</v>
      </c>
      <c r="C11" s="314">
        <f>IF(AND(desc1_2=0,ob1_2=0),C8,
IF(AND(desc1_2=0,ob1_2&gt;0),C7*(1-ob1_2),C7*(1-desc1_2)))</f>
        <v>4950.1446658799996</v>
      </c>
      <c r="D11" s="314">
        <f>IF(AND(desc1_2=0,ob1_2=0),D8,
IF(AND(desc1_2=0,ob1_2&gt;0),D7*(1-ob1_2),D7*(1-desc1_2)))</f>
        <v>4980.7215748199997</v>
      </c>
      <c r="E11" s="314">
        <f>IF(AND(desc1_2=0,ob1_2=0),E8,
IF(AND(desc1_2=0,ob1_2&gt;0),E7*(1-ob1_2),E7*(1-desc1_2)))</f>
        <v>5009.9978922</v>
      </c>
      <c r="F11" s="314" t="s">
        <v>7</v>
      </c>
      <c r="G11" s="314" t="s">
        <v>7</v>
      </c>
      <c r="H11" s="510" t="s">
        <v>306</v>
      </c>
      <c r="I11" s="96"/>
      <c r="J11" s="98" t="str">
        <f>IF(OR(uso=3,uso=4),"Progression-free","On treatment")</f>
        <v>On treatment</v>
      </c>
      <c r="K11" s="314">
        <f>IF(AND(desc2_2=0,ob2_2=0),K8,
IF(AND(desc2_2=0,ob2_2&gt;0),K7*(1-ob2_2),K7*(1-desc2_2)))</f>
        <v>4950.1446658799996</v>
      </c>
      <c r="L11" s="314">
        <f>IF(AND(desc2_2=0,ob2_2=0),L8,
IF(AND(desc2_2=0,ob2_2&gt;0),L7*(1-ob2_2),L7*(1-desc2_2)))</f>
        <v>4980.7215748199997</v>
      </c>
      <c r="M11" s="314">
        <f>IF(AND(desc2_2=0,ob2_2=0),M8,
IF(AND(desc2_2=0,ob2_2&gt;0),M7*(1-ob2_2),M7*(1-desc2_2)))</f>
        <v>5009.9978922</v>
      </c>
      <c r="N11" s="314" t="s">
        <v>7</v>
      </c>
      <c r="O11" s="314" t="s">
        <v>7</v>
      </c>
      <c r="P11" s="510" t="s">
        <v>306</v>
      </c>
      <c r="Q11" s="96"/>
      <c r="R11" s="98" t="s">
        <v>206</v>
      </c>
      <c r="S11" s="314">
        <f>IF(AND(desc3_2=0,ob3_2=0),S8,
IF(AND(desc3_2=0,ob3_2&gt;0),S7*(1-ob3_2),S7*(1-desc3_2)))</f>
        <v>4950.1446658799996</v>
      </c>
      <c r="T11" s="314">
        <f>IF(AND(desc3_2=0,ob3_2=0),T8,
IF(AND(desc3_2=0,ob3_2&gt;0),T7*(1-ob3_2),T7*(1-desc3_2)))</f>
        <v>4980.7215748199997</v>
      </c>
      <c r="U11" s="314">
        <f>IF(AND(desc3_2=0,ob3_2=0),U8,
IF(AND(desc3_2=0,ob3_2&gt;0),U7*(1-ob3_2),U7*(1-desc3_2)))</f>
        <v>5009.9978922</v>
      </c>
      <c r="V11" s="314" t="s">
        <v>7</v>
      </c>
      <c r="W11" s="314" t="s">
        <v>7</v>
      </c>
      <c r="X11" s="510" t="s">
        <v>306</v>
      </c>
      <c r="Y11" s="96"/>
      <c r="Z11" s="98" t="s">
        <v>206</v>
      </c>
      <c r="AA11" s="314">
        <f>IF(AND(desc4_2=0,ob4_2=0),AA8,
IF(AND(desc4_2=0,ob4_2&gt;0),AA7*(1-ob4_2),AA7*(1-desc4_2)))</f>
        <v>4950.1446658799996</v>
      </c>
      <c r="AB11" s="314">
        <f>IF(AND(desc4_2=0,ob4_2=0),AB8,
IF(AND(desc4_2=0,ob4_2&gt;0),AB7*(1-ob4_2),AB7*(1-desc4_2)))</f>
        <v>4980.7215748199997</v>
      </c>
      <c r="AC11" s="314">
        <f>IF(AND(desc4_2=0,ob4_2=0),AC8,
IF(AND(desc4_2=0,ob4_2&gt;0),AC7*(1-ob4_2),AC7*(1-desc4_2)))</f>
        <v>5009.9978922</v>
      </c>
      <c r="AD11" s="314" t="s">
        <v>7</v>
      </c>
      <c r="AE11" s="314" t="s">
        <v>7</v>
      </c>
      <c r="AF11" s="510" t="s">
        <v>306</v>
      </c>
      <c r="AG11" s="96"/>
      <c r="AH11" s="98" t="s">
        <v>206</v>
      </c>
      <c r="AI11" s="314">
        <f>IF(AND(desc5_2=0,ob5_2=0),AI8,
IF(AND(desc5_2=0,ob5_2&gt;0),AI7*(1-ob5_2),AI7*(1-desc5_2)))</f>
        <v>4950.1446658799996</v>
      </c>
      <c r="AJ11" s="314">
        <f>IF(AND(desc5_2=0,ob5_2=0),AJ8,
IF(AND(desc5_2=0,ob5_2&gt;0),AJ7*(1-ob5_2),AJ7*(1-desc5_2)))</f>
        <v>4980.7215748199997</v>
      </c>
      <c r="AK11" s="314">
        <f>IF(AND(desc5_2=0,ob5_2=0),AK8,
IF(AND(desc5_2=0,ob5_2&gt;0),AK7*(1-ob5_2),AK7*(1-desc5_2)))</f>
        <v>5009.9978922</v>
      </c>
      <c r="AL11" s="314" t="s">
        <v>7</v>
      </c>
      <c r="AM11" s="314" t="s">
        <v>7</v>
      </c>
      <c r="AN11" s="510" t="s">
        <v>306</v>
      </c>
      <c r="AO11" s="96"/>
      <c r="AP11" s="98" t="s">
        <v>206</v>
      </c>
      <c r="AQ11" s="314">
        <f>IF(AND(desc6_2=0,ob6_2=0),AQ8,
IF(AND(desc6_2=0,ob6_2&gt;0),AQ7*(1-ob6_2),AQ7*(1-desc6_2)))</f>
        <v>4950.1446658799996</v>
      </c>
      <c r="AR11" s="314">
        <f>IF(AND(desc6_2=0,ob6_2=0),AR8,
IF(AND(desc6_2=0,ob6_2&gt;0),AR7*(1-ob6_2),AR7*(1-desc6_2)))</f>
        <v>4980.7215748199997</v>
      </c>
      <c r="AS11" s="314">
        <f>IF(AND(desc6_2=0,ob6_2=0),AS8,
IF(AND(desc6_2=0,ob6_2&gt;0),AS7*(1-ob6_2),AS7*(1-desc6_2)))</f>
        <v>5009.9978922</v>
      </c>
      <c r="AT11" s="314" t="s">
        <v>7</v>
      </c>
      <c r="AU11" s="314" t="s">
        <v>7</v>
      </c>
      <c r="AV11" s="510" t="s">
        <v>306</v>
      </c>
      <c r="AW11" s="96"/>
      <c r="AX11" s="98" t="s">
        <v>206</v>
      </c>
      <c r="AY11" s="314">
        <f>IF(AND(desc7_2=0,ob7_2=0),AY8,
IF(AND(desc7_2=0,ob7_2&gt;0),AY7*(1-ob7_2),AY7*(1-desc7_2)))</f>
        <v>4950.1446658799996</v>
      </c>
      <c r="AZ11" s="314">
        <f>IF(AND(desc7_2=0,ob7_2=0),AZ8,
IF(AND(desc7_2=0,ob7_2&gt;0),AZ7*(1-ob7_2),AZ7*(1-desc7_2)))</f>
        <v>4980.7215748199997</v>
      </c>
      <c r="BA11" s="314">
        <f>IF(AND(desc7_2=0,ob7_2=0),BA8,
IF(AND(desc7_2=0,ob7_2&gt;0),BA7*(1-ob7_2),BA7*(1-desc7_2)))</f>
        <v>5009.9978922</v>
      </c>
      <c r="BB11" s="314" t="s">
        <v>7</v>
      </c>
      <c r="BC11" s="314" t="s">
        <v>7</v>
      </c>
      <c r="BD11" s="510" t="s">
        <v>306</v>
      </c>
      <c r="BE11" s="96"/>
      <c r="BF11" s="98" t="s">
        <v>206</v>
      </c>
      <c r="BG11" s="314">
        <f>IF(AND(desc8_2=0,ob8_2=0),BG8,
IF(AND(desc8_2=0,ob8_2&gt;0),BG7*(1-ob8_2),BG7*(1-desc8_2)))</f>
        <v>4950.1446658799996</v>
      </c>
      <c r="BH11" s="314">
        <f>IF(AND(desc8_2=0,ob8_2=0),BH8,
IF(AND(desc8_2=0,ob8_2&gt;0),BH7*(1-ob8_2),BH7*(1-desc8_2)))</f>
        <v>4980.7215748199997</v>
      </c>
      <c r="BI11" s="314">
        <f>IF(AND(desc8_2=0,ob8_2=0),BI8,
IF(AND(desc8_2=0,ob8_2&gt;0),BI7*(1-ob8_2),BI7*(1-desc8_2)))</f>
        <v>5009.9978922</v>
      </c>
      <c r="BJ11" s="314" t="s">
        <v>7</v>
      </c>
      <c r="BK11" s="314" t="s">
        <v>7</v>
      </c>
      <c r="BL11" s="510" t="s">
        <v>306</v>
      </c>
      <c r="BM11" s="96"/>
      <c r="BN11" s="98" t="s">
        <v>206</v>
      </c>
      <c r="BO11" s="314">
        <f>IF(AND(desc9_2=0,ob9_2=0),BO8,
IF(AND(desc9_2=0,ob9_2&gt;0),BO7*(1-ob9_2),BO7*(1-desc9_2)))</f>
        <v>4950.1446658799996</v>
      </c>
      <c r="BP11" s="314">
        <f>IF(AND(desc9_2=0,ob9_2=0),BP8,
IF(AND(desc9_2=0,ob9_2&gt;0),BP7*(1-ob9_2),BP7*(1-desc9_2)))</f>
        <v>4980.7215748199997</v>
      </c>
      <c r="BQ11" s="314">
        <f>IF(AND(desc9_2=0,ob9_2=0),BQ8,
IF(AND(desc9_2=0,ob9_2&gt;0),BQ7*(1-ob9_2),BQ7*(1-desc9_2)))</f>
        <v>5009.9978922</v>
      </c>
      <c r="BR11" s="314" t="s">
        <v>7</v>
      </c>
      <c r="BS11" s="314" t="s">
        <v>7</v>
      </c>
      <c r="BT11" s="510" t="s">
        <v>306</v>
      </c>
      <c r="BU11" s="96"/>
      <c r="BV11" s="98" t="s">
        <v>206</v>
      </c>
      <c r="BW11" s="314">
        <f>IF(AND(desc10_2=0,ob10_2=0),BW8,
IF(AND(desc10_2=0,ob10_2&gt;0),BW7*(1-ob10_2),BW7*(1-desc10_2)))</f>
        <v>4950.1446658799996</v>
      </c>
      <c r="BX11" s="314">
        <f>IF(AND(desc10_2=0,ob10_2=0),BX8,
IF(AND(desc10_2=0,ob10_2&gt;0),BX7*(1-ob10_2),BX7*(1-desc10_2)))</f>
        <v>4980.7215748199997</v>
      </c>
      <c r="BY11" s="314">
        <f>IF(AND(desc10_2=0,ob10_2=0),BY8,
IF(AND(desc10_2=0,ob10_2&gt;0),BY7*(1-ob10_2),BY7*(1-desc10_2)))</f>
        <v>5009.9978922</v>
      </c>
      <c r="BZ11" s="314" t="s">
        <v>7</v>
      </c>
      <c r="CA11" s="314" t="s">
        <v>7</v>
      </c>
      <c r="CB11" s="510" t="s">
        <v>306</v>
      </c>
      <c r="CC11" s="96"/>
      <c r="CD11" s="98" t="s">
        <v>206</v>
      </c>
      <c r="CE11" s="314">
        <f>IF(AND(desc11_2=0,ob11_2=0),CE8,
IF(AND(desc11_2=0,ob11_2&gt;0),CE7*(1-ob11_2),CE7*(1-desc11_2)))</f>
        <v>4950.1446658799996</v>
      </c>
      <c r="CF11" s="314">
        <f>IF(AND(desc11_2=0,ob11_2=0),CF8,
IF(AND(desc11_2=0,ob11_2&gt;0),CF7*(1-ob11_2),CF7*(1-desc11_2)))</f>
        <v>4980.7215748199997</v>
      </c>
      <c r="CG11" s="314">
        <f>IF(AND(desc11_2=0,ob11_2=0),CG8,
IF(AND(desc11_2=0,ob11_2&gt;0),CG7*(1-ob11_2),CG7*(1-desc11_2)))</f>
        <v>5009.9978922</v>
      </c>
      <c r="CH11" s="314" t="s">
        <v>7</v>
      </c>
      <c r="CI11" s="314" t="s">
        <v>7</v>
      </c>
      <c r="CJ11" s="510" t="s">
        <v>306</v>
      </c>
      <c r="CK11" s="96"/>
      <c r="CL11" s="98" t="s">
        <v>206</v>
      </c>
      <c r="CM11" s="314">
        <f>IF(AND(desc12_2=0,ob12_2=0),CM8,
IF(AND(desc12_2=0,ob12_2&gt;0),CM7*(1-ob12_2),CM7*(1-desc12_2)))</f>
        <v>4950.1446658799996</v>
      </c>
      <c r="CN11" s="314">
        <f>IF(AND(desc12_2=0,ob12_2=0),CN8,
IF(AND(desc12_2=0,ob12_2&gt;0),CN7*(1-ob12_2),CN7*(1-desc12_2)))</f>
        <v>4980.7215748199997</v>
      </c>
      <c r="CO11" s="314">
        <f>IF(AND(desc12_2=0,ob12_2=0),CO8,
IF(AND(desc12_2=0,ob12_2&gt;0),CO7*(1-ob12_2),CO7*(1-desc12_2)))</f>
        <v>5009.9978922</v>
      </c>
      <c r="CP11" s="314" t="s">
        <v>7</v>
      </c>
      <c r="CQ11" s="314" t="s">
        <v>7</v>
      </c>
      <c r="CR11" s="510" t="s">
        <v>306</v>
      </c>
      <c r="CS11" s="96"/>
      <c r="CT11" s="98" t="s">
        <v>206</v>
      </c>
      <c r="CU11" s="314">
        <f>IF(AND(desc13_2=0,ob13_2=0),CU8,
IF(AND(desc13_2=0,ob13_2&gt;0),CU7*(1-ob13_2),CU7*(1-desc13_2)))</f>
        <v>4950.1446658799996</v>
      </c>
      <c r="CV11" s="314">
        <f>IF(AND(desc13_2=0,ob13_2=0),CV8,
IF(AND(desc13_2=0,ob13_2&gt;0),CV7*(1-ob13_2),CV7*(1-desc13_2)))</f>
        <v>4980.7215748199997</v>
      </c>
      <c r="CW11" s="314">
        <f>IF(AND(desc13_2=0,ob13_2=0),CW8,
IF(AND(desc13_2=0,ob13_2&gt;0),CW7*(1-ob13_2),CW7*(1-desc13_2)))</f>
        <v>5009.9978922</v>
      </c>
      <c r="CX11" s="314" t="s">
        <v>7</v>
      </c>
      <c r="CY11" s="314" t="s">
        <v>7</v>
      </c>
      <c r="CZ11" s="510" t="s">
        <v>306</v>
      </c>
      <c r="DA11" s="96"/>
      <c r="DB11" s="98" t="s">
        <v>206</v>
      </c>
      <c r="DC11" s="314">
        <f>IF(AND(desc14_2=0,ob14_2=0),DC8,
IF(AND(desc14_2=0,ob14_2&gt;0),DC7*(1-ob14_2),DC7*(1-desc14_2)))</f>
        <v>4950.1446658799996</v>
      </c>
      <c r="DD11" s="314">
        <f>IF(AND(desc14_2=0,ob14_2=0),DD8,
IF(AND(desc14_2=0,ob14_2&gt;0),DD7*(1-ob14_2),DD7*(1-desc14_2)))</f>
        <v>4980.7215748199997</v>
      </c>
      <c r="DE11" s="314">
        <f>IF(AND(desc14_2=0,ob14_2=0),DE8,
IF(AND(desc14_2=0,ob14_2&gt;0),DE7*(1-ob14_2),DE7*(1-desc14_2)))</f>
        <v>5009.9978922</v>
      </c>
      <c r="DF11" s="314" t="s">
        <v>7</v>
      </c>
      <c r="DG11" s="314" t="s">
        <v>7</v>
      </c>
      <c r="DH11" s="510" t="s">
        <v>306</v>
      </c>
      <c r="DI11" s="96"/>
    </row>
    <row r="12" spans="2:113" s="97" customFormat="1">
      <c r="B12" s="99" t="s">
        <v>207</v>
      </c>
      <c r="C12" s="80">
        <f>IF(ob1_2=0,0,
IF(desc1_2=0,C7*ob1_2,
IF(desc_por_ob="No",0,
IF(AND(desc_por_ob="Yes",ob1_2&gt;desc1_2),"wrong data",(C7*ob1_2)))))</f>
        <v>0</v>
      </c>
      <c r="D12" s="80">
        <f>IF(ob1_2=0,0,
IF(desc1_2=0,D7*ob1_2,
IF(desc_por_ob="No",0,
IF(AND(desc_por_ob="Yes",ob1_2&gt;desc1_2),"wrong data",(D7*ob1_2)))))</f>
        <v>0</v>
      </c>
      <c r="E12" s="80">
        <f>IF(ob1_2=0,0,
IF(desc1_2=0,E7*ob1_2,
IF(desc_por_ob="No",0,
IF(AND(desc_por_ob="Yes",ob1_2&gt;desc1_2),"wrong data",(E7*ob1_2)))))</f>
        <v>0</v>
      </c>
      <c r="F12" s="80" t="s">
        <v>7</v>
      </c>
      <c r="G12" s="80" t="s">
        <v>7</v>
      </c>
      <c r="H12" s="511"/>
      <c r="I12" s="96"/>
      <c r="J12" s="99" t="s">
        <v>207</v>
      </c>
      <c r="K12" s="80">
        <f>IF(ob2_2=0,0,
IF(desc2_2=0,K7*ob2_2,
IF(desc_por_ob="No",0,
IF(AND(desc_por_ob="Yes",ob2_2&gt;desc2_2),"wrong data",(K7*ob2_2)))))</f>
        <v>0</v>
      </c>
      <c r="L12" s="80">
        <f>IF(ob2_2=0,0,
IF(desc2_2=0,L7*ob2_2,
IF(desc_por_ob="No",0,
IF(AND(desc_por_ob="Yes",ob2_2&gt;desc2_2),"wrong data",(L7*ob2_2)))))</f>
        <v>0</v>
      </c>
      <c r="M12" s="80">
        <f>IF(ob2_2=0,0,
IF(desc2_2=0,M7*ob2_2,
IF(desc_por_ob="No",0,
IF(AND(desc_por_ob="Yes",ob2_2&gt;desc2_2),"wrong data",(M7*ob2_2)))))</f>
        <v>0</v>
      </c>
      <c r="N12" s="80" t="s">
        <v>7</v>
      </c>
      <c r="O12" s="80" t="s">
        <v>7</v>
      </c>
      <c r="P12" s="511"/>
      <c r="Q12" s="96"/>
      <c r="R12" s="99" t="s">
        <v>207</v>
      </c>
      <c r="S12" s="80">
        <f>IF(ob3_2=0,0,
IF(desc3_2=0,S7*ob3_2,
IF(desc_por_ob="No",0,
IF(AND(desc_por_ob="Yes",ob3_2&gt;desc3_2),"wrong data",(S7*ob3_2)))))</f>
        <v>0</v>
      </c>
      <c r="T12" s="80">
        <f>IF(ob3_2=0,0,
IF(desc3_2=0,T7*ob3_2,
IF(desc_por_ob="No",0,
IF(AND(desc_por_ob="Yes",ob3_2&gt;desc3_2),"wrong data",(T7*ob3_2)))))</f>
        <v>0</v>
      </c>
      <c r="U12" s="80">
        <f>IF(ob3_2=0,0,
IF(desc3_2=0,U7*ob3_2,
IF(desc_por_ob="No",0,
IF(AND(desc_por_ob="Yes",ob3_2&gt;desc3_2),"wrong data",(U7*ob3_2)))))</f>
        <v>0</v>
      </c>
      <c r="V12" s="80" t="s">
        <v>7</v>
      </c>
      <c r="W12" s="80" t="s">
        <v>7</v>
      </c>
      <c r="X12" s="511"/>
      <c r="Y12" s="96"/>
      <c r="Z12" s="99" t="s">
        <v>207</v>
      </c>
      <c r="AA12" s="80">
        <f>IF(ob4_2=0,0,
IF(desc4_2=0,AA7*ob4_2,
IF(desc_por_ob="No",0,
IF(AND(desc_por_ob="Yes",ob4_2&gt;desc4_2),"wrong data",(AA7*ob4_2)))))</f>
        <v>0</v>
      </c>
      <c r="AB12" s="80">
        <f>IF(ob4_2=0,0,
IF(desc4_2=0,AB7*ob4_2,
IF(desc_por_ob="No",0,
IF(AND(desc_por_ob="Yes",ob4_2&gt;desc4_2),"wrong data",(AB7*ob4_2)))))</f>
        <v>0</v>
      </c>
      <c r="AC12" s="80">
        <f>IF(ob4_2=0,0,
IF(desc4_2=0,AC7*ob4_2,
IF(desc_por_ob="No",0,
IF(AND(desc_por_ob="Yes",ob4_2&gt;desc4_2),"wrong data",(AC7*ob4_2)))))</f>
        <v>0</v>
      </c>
      <c r="AD12" s="80" t="s">
        <v>7</v>
      </c>
      <c r="AE12" s="80" t="s">
        <v>7</v>
      </c>
      <c r="AF12" s="511"/>
      <c r="AG12" s="96"/>
      <c r="AH12" s="99" t="s">
        <v>207</v>
      </c>
      <c r="AI12" s="80">
        <f>IF(ob5_2=0,0,
IF(desc5_2=0,AI7*ob5_2,
IF(desc_por_ob="No",0,
IF(AND(desc_por_ob="Yes",ob5_2&gt;desc5_2),"wrong data",(AI7*ob5_2)))))</f>
        <v>0</v>
      </c>
      <c r="AJ12" s="80">
        <f>IF(ob5_2=0,0,
IF(desc5_2=0,AJ7*ob5_2,
IF(desc_por_ob="No",0,
IF(AND(desc_por_ob="Yes",ob5_2&gt;desc5_2),"wrong data",(AJ7*ob5_2)))))</f>
        <v>0</v>
      </c>
      <c r="AK12" s="80">
        <f>IF(ob5_2=0,0,
IF(desc5_2=0,AK7*ob5_2,
IF(desc_por_ob="No",0,
IF(AND(desc_por_ob="Yes",ob5_2&gt;desc5_2),"wrong data",(AK7*ob5_2)))))</f>
        <v>0</v>
      </c>
      <c r="AL12" s="80" t="s">
        <v>7</v>
      </c>
      <c r="AM12" s="80" t="s">
        <v>7</v>
      </c>
      <c r="AN12" s="511"/>
      <c r="AO12" s="96"/>
      <c r="AP12" s="99" t="s">
        <v>207</v>
      </c>
      <c r="AQ12" s="80">
        <f>IF(ob6_2=0,0,
IF(desc6_2=0,AQ7*ob6_2,
IF(desc_por_ob="No",0,
IF(AND(desc_por_ob="Yes",ob6_2&gt;desc6_2),"wrong data",(AQ7*ob6_2)))))</f>
        <v>0</v>
      </c>
      <c r="AR12" s="80">
        <f>IF(ob6_2=0,0,
IF(desc6_2=0,AR7*ob6_2,
IF(desc_por_ob="No",0,
IF(AND(desc_por_ob="Yes",ob6_2&gt;desc6_2),"wrong data",(AR7*ob6_2)))))</f>
        <v>0</v>
      </c>
      <c r="AS12" s="80">
        <f>IF(ob6_2=0,0,
IF(desc6_2=0,AS7*ob6_2,
IF(desc_por_ob="No",0,
IF(AND(desc_por_ob="Yes",ob6_2&gt;desc6_2),"wrong data",(AS7*ob6_2)))))</f>
        <v>0</v>
      </c>
      <c r="AT12" s="80" t="s">
        <v>7</v>
      </c>
      <c r="AU12" s="80" t="s">
        <v>7</v>
      </c>
      <c r="AV12" s="511"/>
      <c r="AW12" s="96"/>
      <c r="AX12" s="99" t="s">
        <v>207</v>
      </c>
      <c r="AY12" s="80">
        <f>IF(ob7_2=0,0,
IF(desc7_2=0,AY7*ob7_2,
IF(desc_por_ob="No",0,
IF(AND(desc_por_ob="Yes",ob7_2&gt;desc7_2),"wrong data",(AY7*ob7_2)))))</f>
        <v>0</v>
      </c>
      <c r="AZ12" s="80">
        <f>IF(ob7_2=0,0,
IF(desc7_2=0,AZ7*ob7_2,
IF(desc_por_ob="No",0,
IF(AND(desc_por_ob="Yes",ob7_2&gt;desc7_2),"wrong data",(AZ7*ob7_2)))))</f>
        <v>0</v>
      </c>
      <c r="BA12" s="80">
        <f>IF(ob7_2=0,0,
IF(desc7_2=0,BA7*ob7_2,
IF(desc_por_ob="No",0,
IF(AND(desc_por_ob="Yes",ob7_2&gt;desc7_2),"wrong data",(BA7*ob7_2)))))</f>
        <v>0</v>
      </c>
      <c r="BB12" s="80" t="s">
        <v>7</v>
      </c>
      <c r="BC12" s="80" t="s">
        <v>7</v>
      </c>
      <c r="BD12" s="511"/>
      <c r="BE12" s="96"/>
      <c r="BF12" s="99" t="s">
        <v>207</v>
      </c>
      <c r="BG12" s="80">
        <f>IF(ob8_2=0,0,
IF(desc8_2=0,BG7*ob8_2,
IF(desc_por_ob="No",0,
IF(AND(desc_por_ob="Yes",ob8_2&gt;desc8_2),"wrong data",(BG7*ob8_2)))))</f>
        <v>0</v>
      </c>
      <c r="BH12" s="80">
        <f>IF(ob8_2=0,0,
IF(desc8_2=0,BH7*ob8_2,
IF(desc_por_ob="No",0,
IF(AND(desc_por_ob="Yes",ob8_2&gt;desc8_2),"wrong data",(BH7*ob8_2)))))</f>
        <v>0</v>
      </c>
      <c r="BI12" s="80">
        <f>IF(ob8_2=0,0,
IF(desc8_2=0,BI7*ob8_2,
IF(desc_por_ob="No",0,
IF(AND(desc_por_ob="Yes",ob8_2&gt;desc8_2),"wrong data",(BI7*ob8_2)))))</f>
        <v>0</v>
      </c>
      <c r="BJ12" s="80" t="s">
        <v>7</v>
      </c>
      <c r="BK12" s="80" t="s">
        <v>7</v>
      </c>
      <c r="BL12" s="511"/>
      <c r="BM12" s="96"/>
      <c r="BN12" s="99" t="s">
        <v>207</v>
      </c>
      <c r="BO12" s="80">
        <f>IF(ob9_2=0,0,
IF(desc9_2=0,BO7*ob9_2,
IF(desc_por_ob="No",0,
IF(AND(desc_por_ob="Yes",ob9_2&gt;desc9_2),"wrong data",(BO7*ob9_2)))))</f>
        <v>0</v>
      </c>
      <c r="BP12" s="80">
        <f>IF(ob9_2=0,0,
IF(desc9_2=0,BP7*ob9_2,
IF(desc_por_ob="No",0,
IF(AND(desc_por_ob="Yes",ob9_2&gt;desc9_2),"wrong data",(BP7*ob9_2)))))</f>
        <v>0</v>
      </c>
      <c r="BQ12" s="80">
        <f>IF(ob9_2=0,0,
IF(desc9_2=0,BQ7*ob9_2,
IF(desc_por_ob="No",0,
IF(AND(desc_por_ob="Yes",ob9_2&gt;desc9_2),"wrong data",(BQ7*ob9_2)))))</f>
        <v>0</v>
      </c>
      <c r="BR12" s="80" t="s">
        <v>7</v>
      </c>
      <c r="BS12" s="80" t="s">
        <v>7</v>
      </c>
      <c r="BT12" s="511"/>
      <c r="BU12" s="96"/>
      <c r="BV12" s="99" t="s">
        <v>207</v>
      </c>
      <c r="BW12" s="80">
        <f>IF(ob10_2=0,0,
IF(desc10_2=0,BW7*ob10_2,
IF(desc_por_ob="No",0,
IF(AND(desc_por_ob="Yes",ob10_2&gt;desc10_2),"wrong data",(BW7*ob10_2)))))</f>
        <v>0</v>
      </c>
      <c r="BX12" s="80">
        <f>IF(ob10_2=0,0,
IF(desc10_2=0,BX7*ob10_2,
IF(desc_por_ob="No",0,
IF(AND(desc_por_ob="Yes",ob10_2&gt;desc10_2),"wrong data",(BX7*ob10_2)))))</f>
        <v>0</v>
      </c>
      <c r="BY12" s="80">
        <f>IF(ob10_2=0,0,
IF(desc10_2=0,BY7*ob10_2,
IF(desc_por_ob="No",0,
IF(AND(desc_por_ob="Yes",ob10_2&gt;desc10_2),"wrong data",(BY7*ob10_2)))))</f>
        <v>0</v>
      </c>
      <c r="BZ12" s="80" t="s">
        <v>7</v>
      </c>
      <c r="CA12" s="80" t="s">
        <v>7</v>
      </c>
      <c r="CB12" s="511"/>
      <c r="CC12" s="96"/>
      <c r="CD12" s="99" t="s">
        <v>207</v>
      </c>
      <c r="CE12" s="80">
        <f>IF(ob11_2=0,0,
IF(desc11_2=0,CE7*ob11_2,
IF(desc_por_ob="No",0,
IF(AND(desc_por_ob="Yes",ob11_2&gt;desc11_2),"wrong data",(CE7*ob11_2)))))</f>
        <v>0</v>
      </c>
      <c r="CF12" s="80">
        <f>IF(ob11_2=0,0,
IF(desc11_2=0,CF7*ob11_2,
IF(desc_por_ob="No",0,
IF(AND(desc_por_ob="Yes",ob11_2&gt;desc11_2),"wrong data",(CF7*ob11_2)))))</f>
        <v>0</v>
      </c>
      <c r="CG12" s="80">
        <f>IF(ob11_2=0,0,
IF(desc11_2=0,CG7*ob11_2,
IF(desc_por_ob="No",0,
IF(AND(desc_por_ob="Yes",ob11_2&gt;desc11_2),"wrong data",(CG7*ob11_2)))))</f>
        <v>0</v>
      </c>
      <c r="CH12" s="80" t="s">
        <v>7</v>
      </c>
      <c r="CI12" s="80" t="s">
        <v>7</v>
      </c>
      <c r="CJ12" s="511"/>
      <c r="CK12" s="96"/>
      <c r="CL12" s="99" t="s">
        <v>207</v>
      </c>
      <c r="CM12" s="80">
        <f>IF(ob12_2=0,0,
IF(desc12_2=0,CM7*ob12_2,
IF(desc_por_ob="No",0,
IF(AND(desc_por_ob="Yes",ob12_2&gt;desc12_2),"wrong data",(CM7*ob12_2)))))</f>
        <v>0</v>
      </c>
      <c r="CN12" s="80">
        <f>IF(ob12_2=0,0,
IF(desc12_2=0,CN7*ob12_2,
IF(desc_por_ob="No",0,
IF(AND(desc_por_ob="Yes",ob12_2&gt;desc12_2),"wrong data",(CN7*ob12_2)))))</f>
        <v>0</v>
      </c>
      <c r="CO12" s="80">
        <f>IF(ob12_2=0,0,
IF(desc12_2=0,CO7*ob12_2,
IF(desc_por_ob="No",0,
IF(AND(desc_por_ob="Yes",ob12_2&gt;desc12_2),"wrong data",(CO7*ob12_2)))))</f>
        <v>0</v>
      </c>
      <c r="CP12" s="80" t="s">
        <v>7</v>
      </c>
      <c r="CQ12" s="80" t="s">
        <v>7</v>
      </c>
      <c r="CR12" s="511"/>
      <c r="CS12" s="96"/>
      <c r="CT12" s="99" t="s">
        <v>207</v>
      </c>
      <c r="CU12" s="80">
        <f>IF(ob13_2=0,0,
IF(desc13_2=0,CU7*ob13_2,
IF(desc_por_ob="No",0,
IF(AND(desc_por_ob="Yes",ob13_2&gt;desc13_2),"wrong data",(CU7*ob13_2)))))</f>
        <v>0</v>
      </c>
      <c r="CV12" s="80">
        <f>IF(ob13_2=0,0,
IF(desc13_2=0,CV7*ob13_2,
IF(desc_por_ob="No",0,
IF(AND(desc_por_ob="Yes",ob13_2&gt;desc13_2),"wrong data",(CV7*ob13_2)))))</f>
        <v>0</v>
      </c>
      <c r="CW12" s="80">
        <f>IF(ob13_2=0,0,
IF(desc13_2=0,CW7*ob13_2,
IF(desc_por_ob="No",0,
IF(AND(desc_por_ob="Yes",ob13_2&gt;desc13_2),"wrong data",(CW7*ob13_2)))))</f>
        <v>0</v>
      </c>
      <c r="CX12" s="80" t="s">
        <v>7</v>
      </c>
      <c r="CY12" s="80" t="s">
        <v>7</v>
      </c>
      <c r="CZ12" s="511"/>
      <c r="DA12" s="96"/>
      <c r="DB12" s="99" t="s">
        <v>207</v>
      </c>
      <c r="DC12" s="80">
        <f>IF(ob14_2=0,0,
IF(desc14_2=0,DC7*ob14_2,
IF(desc_por_ob="No",0,
IF(AND(desc_por_ob="Yes",ob14_2&gt;desc14_2),"wrong data",(DC7*ob14_2)))))</f>
        <v>0</v>
      </c>
      <c r="DD12" s="80">
        <f>IF(ob14_2=0,0,
IF(desc14_2=0,DD7*ob14_2,
IF(desc_por_ob="No",0,
IF(AND(desc_por_ob="Yes",ob14_2&gt;desc14_2),"wrong data",(DD7*ob14_2)))))</f>
        <v>0</v>
      </c>
      <c r="DE12" s="80">
        <f>IF(ob14_2=0,0,
IF(desc14_2=0,DE7*ob14_2,
IF(desc_por_ob="No",0,
IF(AND(desc_por_ob="Yes",ob14_2&gt;desc14_2),"wrong data",(DE7*ob14_2)))))</f>
        <v>0</v>
      </c>
      <c r="DF12" s="80" t="s">
        <v>7</v>
      </c>
      <c r="DG12" s="80" t="s">
        <v>7</v>
      </c>
      <c r="DH12" s="511"/>
      <c r="DI12" s="96"/>
    </row>
    <row r="13" spans="2:113" s="97" customFormat="1" ht="15" thickBot="1">
      <c r="B13" s="100" t="str">
        <f>IF(OR(uso=3,uso=4),"Progressed","Discontinued")</f>
        <v>Discontinued</v>
      </c>
      <c r="C13" s="315">
        <f>IF(desc1_2=0,0,
IF(AND(desc_por_ob="Yes",ob1_2&gt;desc1_2),"wrong data",C7-C11-C12))</f>
        <v>0</v>
      </c>
      <c r="D13" s="315">
        <f>IF(desc1_2=0,0,
IF(AND(desc_por_ob="Yes",ob1_2&gt;desc1_2),"wrong data",D7-D11-D12))</f>
        <v>0</v>
      </c>
      <c r="E13" s="315">
        <f>IF(desc1_2=0,0,
IF(AND(desc_por_ob="Yes",ob1_2&gt;desc1_2),"wrong data",E7-E11-E12))</f>
        <v>0</v>
      </c>
      <c r="F13" s="315" t="s">
        <v>7</v>
      </c>
      <c r="G13" s="315" t="s">
        <v>7</v>
      </c>
      <c r="H13" s="512"/>
      <c r="I13" s="96"/>
      <c r="J13" s="100" t="str">
        <f>IF(OR(uso=3,uso=4),"Progressed","Discontinued")</f>
        <v>Discontinued</v>
      </c>
      <c r="K13" s="315">
        <f>IF(desc2_2=0,0,
IF(AND(desc_por_ob="Yes",ob2_2&gt;desc2_2),"wrong data",K7-K11-K12))</f>
        <v>0</v>
      </c>
      <c r="L13" s="315">
        <f>IF(desc2_2=0,0,
IF(AND(desc_por_ob="Yes",ob2_2&gt;desc2_2),"wrong data",L7-L11-L12))</f>
        <v>0</v>
      </c>
      <c r="M13" s="315">
        <f>IF(desc2_2=0,0,
IF(AND(desc_por_ob="Yes",ob2_2&gt;desc2_2),"wrong data",M7-M11-M12))</f>
        <v>0</v>
      </c>
      <c r="N13" s="315" t="s">
        <v>7</v>
      </c>
      <c r="O13" s="315" t="s">
        <v>7</v>
      </c>
      <c r="P13" s="512"/>
      <c r="Q13" s="96"/>
      <c r="R13" s="100" t="s">
        <v>208</v>
      </c>
      <c r="S13" s="315">
        <f>IF(desc3_2=0,0,
IF(AND(desc_por_ob="Yes",ob3_2&gt;desc3_2),"wrong data",S7-S11-S12))</f>
        <v>0</v>
      </c>
      <c r="T13" s="315">
        <f>IF(desc3_2=0,0,
IF(AND(desc_por_ob="Yes",ob3_2&gt;desc3_2),"wrong data",T7-T11-T12))</f>
        <v>0</v>
      </c>
      <c r="U13" s="315">
        <f>IF(desc3_2=0,0,
IF(AND(desc_por_ob="Yes",ob3_2&gt;desc3_2),"wrong data",U7-U11-U12))</f>
        <v>0</v>
      </c>
      <c r="V13" s="315" t="s">
        <v>7</v>
      </c>
      <c r="W13" s="315" t="s">
        <v>7</v>
      </c>
      <c r="X13" s="512"/>
      <c r="Y13" s="96"/>
      <c r="Z13" s="100" t="s">
        <v>208</v>
      </c>
      <c r="AA13" s="315">
        <f>IF(desc4_2=0,0,
IF(AND(desc_por_ob="Yes",ob4_2&gt;desc4_2),"wrong data",AA7-AA11-AA12))</f>
        <v>0</v>
      </c>
      <c r="AB13" s="315">
        <f>IF(desc4_2=0,0,
IF(AND(desc_por_ob="Yes",ob4_2&gt;desc4_2),"wrong data",AB7-AB11-AB12))</f>
        <v>0</v>
      </c>
      <c r="AC13" s="315">
        <f>IF(desc4_2=0,0,
IF(AND(desc_por_ob="Yes",ob4_2&gt;desc4_2),"wrong data",AC7-AC11-AC12))</f>
        <v>0</v>
      </c>
      <c r="AD13" s="315" t="s">
        <v>7</v>
      </c>
      <c r="AE13" s="315" t="s">
        <v>7</v>
      </c>
      <c r="AF13" s="512"/>
      <c r="AG13" s="96"/>
      <c r="AH13" s="100" t="s">
        <v>208</v>
      </c>
      <c r="AI13" s="315">
        <f>IF(desc5_2=0,0,
IF(AND(desc_por_ob="Yes",ob5_2&gt;desc5_2),"wrong data",AI7-AI11-AI12))</f>
        <v>0</v>
      </c>
      <c r="AJ13" s="315">
        <f>IF(desc5_2=0,0,
IF(AND(desc_por_ob="Yes",ob5_2&gt;desc5_2),"wrong data",AJ7-AJ11-AJ12))</f>
        <v>0</v>
      </c>
      <c r="AK13" s="315">
        <f>IF(desc5_2=0,0,
IF(AND(desc_por_ob="Yes",ob5_2&gt;desc5_2),"wrong data",AK7-AK11-AK12))</f>
        <v>0</v>
      </c>
      <c r="AL13" s="315" t="s">
        <v>7</v>
      </c>
      <c r="AM13" s="315" t="s">
        <v>7</v>
      </c>
      <c r="AN13" s="512"/>
      <c r="AO13" s="96"/>
      <c r="AP13" s="100" t="s">
        <v>208</v>
      </c>
      <c r="AQ13" s="315">
        <f>IF(desc6_2=0,0,
IF(AND(desc_por_ob="Yes",ob6_2&gt;desc6_2),"wrong data",AQ7-AQ11-AQ12))</f>
        <v>0</v>
      </c>
      <c r="AR13" s="315">
        <f>IF(desc6_2=0,0,
IF(AND(desc_por_ob="Yes",ob6_2&gt;desc6_2),"wrong data",AR7-AR11-AR12))</f>
        <v>0</v>
      </c>
      <c r="AS13" s="315">
        <f>IF(desc6_2=0,0,
IF(AND(desc_por_ob="Yes",ob6_2&gt;desc6_2),"wrong data",AS7-AS11-AS12))</f>
        <v>0</v>
      </c>
      <c r="AT13" s="315" t="s">
        <v>7</v>
      </c>
      <c r="AU13" s="315" t="s">
        <v>7</v>
      </c>
      <c r="AV13" s="512"/>
      <c r="AW13" s="96"/>
      <c r="AX13" s="100" t="s">
        <v>208</v>
      </c>
      <c r="AY13" s="315">
        <f>IF(desc7_2=0,0,
IF(AND(desc_por_ob="Yes",ob7_2&gt;desc7_2),"wrong data",AY7-AY11-AY12))</f>
        <v>0</v>
      </c>
      <c r="AZ13" s="315">
        <f>IF(desc7_2=0,0,
IF(AND(desc_por_ob="Yes",ob7_2&gt;desc7_2),"wrong data",AZ7-AZ11-AZ12))</f>
        <v>0</v>
      </c>
      <c r="BA13" s="315">
        <f>IF(desc7_2=0,0,
IF(AND(desc_por_ob="Yes",ob7_2&gt;desc7_2),"wrong data",BA7-BA11-BA12))</f>
        <v>0</v>
      </c>
      <c r="BB13" s="315" t="s">
        <v>7</v>
      </c>
      <c r="BC13" s="315" t="s">
        <v>7</v>
      </c>
      <c r="BD13" s="512"/>
      <c r="BE13" s="96"/>
      <c r="BF13" s="100" t="s">
        <v>208</v>
      </c>
      <c r="BG13" s="315">
        <f>IF(desc8_2=0,0,
IF(AND(desc_por_ob="Yes",ob8_2&gt;desc8_2),"wrong data",BG7-BG11-BG12))</f>
        <v>0</v>
      </c>
      <c r="BH13" s="315">
        <f>IF(desc8_2=0,0,
IF(AND(desc_por_ob="Yes",ob8_2&gt;desc8_2),"wrong data",BH7-BH11-BH12))</f>
        <v>0</v>
      </c>
      <c r="BI13" s="315">
        <f>IF(desc8_2=0,0,
IF(AND(desc_por_ob="Yes",ob8_2&gt;desc8_2),"wrong data",BI7-BI11-BI12))</f>
        <v>0</v>
      </c>
      <c r="BJ13" s="315" t="s">
        <v>7</v>
      </c>
      <c r="BK13" s="315" t="s">
        <v>7</v>
      </c>
      <c r="BL13" s="512"/>
      <c r="BM13" s="96"/>
      <c r="BN13" s="100" t="s">
        <v>208</v>
      </c>
      <c r="BO13" s="315">
        <f>IF(desc9_2=0,0,
IF(AND(desc_por_ob="Yes",ob9_2&gt;desc9_2),"wrong data",BO7-BO11-BO12))</f>
        <v>0</v>
      </c>
      <c r="BP13" s="315">
        <f>IF(desc9_2=0,0,
IF(AND(desc_por_ob="Yes",ob9_2&gt;desc9_2),"wrong data",BP7-BP11-BP12))</f>
        <v>0</v>
      </c>
      <c r="BQ13" s="315">
        <f>IF(desc9_2=0,0,
IF(AND(desc_por_ob="Yes",ob9_2&gt;desc9_2),"wrong data",BQ7-BQ11-BQ12))</f>
        <v>0</v>
      </c>
      <c r="BR13" s="315" t="s">
        <v>7</v>
      </c>
      <c r="BS13" s="315" t="s">
        <v>7</v>
      </c>
      <c r="BT13" s="512"/>
      <c r="BU13" s="96"/>
      <c r="BV13" s="100" t="s">
        <v>208</v>
      </c>
      <c r="BW13" s="315">
        <f>IF(desc10_2=0,0,
IF(AND(desc_por_ob="Yes",ob10_2&gt;desc10_2),"wrong data",BW7-BW11-BW12))</f>
        <v>0</v>
      </c>
      <c r="BX13" s="315">
        <f>IF(desc10_2=0,0,
IF(AND(desc_por_ob="Yes",ob10_2&gt;desc10_2),"wrong data",BX7-BX11-BX12))</f>
        <v>0</v>
      </c>
      <c r="BY13" s="315">
        <f>IF(desc10_2=0,0,
IF(AND(desc_por_ob="Yes",ob10_2&gt;desc10_2),"wrong data",BY7-BY11-BY12))</f>
        <v>0</v>
      </c>
      <c r="BZ13" s="315" t="s">
        <v>7</v>
      </c>
      <c r="CA13" s="315" t="s">
        <v>7</v>
      </c>
      <c r="CB13" s="512"/>
      <c r="CC13" s="96"/>
      <c r="CD13" s="100" t="s">
        <v>208</v>
      </c>
      <c r="CE13" s="315">
        <f>IF(desc11_2=0,0,
IF(AND(desc_por_ob="Yes",ob11_2&gt;desc11_2),"wrong data",CE7-CE11-CE12))</f>
        <v>0</v>
      </c>
      <c r="CF13" s="315">
        <f>IF(desc11_2=0,0,
IF(AND(desc_por_ob="Yes",ob11_2&gt;desc11_2),"wrong data",CF7-CF11-CF12))</f>
        <v>0</v>
      </c>
      <c r="CG13" s="315">
        <f>IF(desc11_2=0,0,
IF(AND(desc_por_ob="Yes",ob11_2&gt;desc11_2),"wrong data",CG7-CG11-CG12))</f>
        <v>0</v>
      </c>
      <c r="CH13" s="315" t="s">
        <v>7</v>
      </c>
      <c r="CI13" s="315" t="s">
        <v>7</v>
      </c>
      <c r="CJ13" s="512"/>
      <c r="CK13" s="96"/>
      <c r="CL13" s="100" t="s">
        <v>208</v>
      </c>
      <c r="CM13" s="315">
        <f>IF(desc12_2=0,0,
IF(AND(desc_por_ob="Yes",ob12_2&gt;desc12_2),"wrong data",CM7-CM11-CM12))</f>
        <v>0</v>
      </c>
      <c r="CN13" s="315">
        <f>IF(desc12_2=0,0,
IF(AND(desc_por_ob="Yes",ob12_2&gt;desc12_2),"wrong data",CN7-CN11-CN12))</f>
        <v>0</v>
      </c>
      <c r="CO13" s="315">
        <f>IF(desc12_2=0,0,
IF(AND(desc_por_ob="Yes",ob12_2&gt;desc12_2),"wrong data",CO7-CO11-CO12))</f>
        <v>0</v>
      </c>
      <c r="CP13" s="315" t="s">
        <v>7</v>
      </c>
      <c r="CQ13" s="315" t="s">
        <v>7</v>
      </c>
      <c r="CR13" s="512"/>
      <c r="CS13" s="96"/>
      <c r="CT13" s="100" t="s">
        <v>208</v>
      </c>
      <c r="CU13" s="315">
        <f>IF(desc13_2=0,0,
IF(AND(desc_por_ob="Yes",ob13_2&gt;desc13_2),"wrong data",CU7-CU11-CU12))</f>
        <v>0</v>
      </c>
      <c r="CV13" s="315">
        <f>IF(desc13_2=0,0,
IF(AND(desc_por_ob="Yes",ob13_2&gt;desc13_2),"wrong data",CV7-CV11-CV12))</f>
        <v>0</v>
      </c>
      <c r="CW13" s="315">
        <f>IF(desc13_2=0,0,
IF(AND(desc_por_ob="Yes",ob13_2&gt;desc13_2),"wrong data",CW7-CW11-CW12))</f>
        <v>0</v>
      </c>
      <c r="CX13" s="315" t="s">
        <v>7</v>
      </c>
      <c r="CY13" s="315" t="s">
        <v>7</v>
      </c>
      <c r="CZ13" s="512"/>
      <c r="DA13" s="96"/>
      <c r="DB13" s="100" t="s">
        <v>208</v>
      </c>
      <c r="DC13" s="315">
        <f>IF(desc14_2=0,0,
IF(AND(desc_por_ob="Yes",ob14_2&gt;desc14_2),"wrong data",DC7-DC11-DC12))</f>
        <v>0</v>
      </c>
      <c r="DD13" s="315">
        <f>IF(desc14_2=0,0,
IF(AND(desc_por_ob="Yes",ob14_2&gt;desc14_2),"wrong data",DD7-DD11-DD12))</f>
        <v>0</v>
      </c>
      <c r="DE13" s="315">
        <f>IF(desc14_2=0,0,
IF(AND(desc_por_ob="Yes",ob14_2&gt;desc14_2),"wrong data",DE7-DE11-DE12))</f>
        <v>0</v>
      </c>
      <c r="DF13" s="315" t="s">
        <v>7</v>
      </c>
      <c r="DG13" s="315" t="s">
        <v>7</v>
      </c>
      <c r="DH13" s="512"/>
      <c r="DI13" s="96"/>
    </row>
    <row r="14" spans="2:113" s="97" customFormat="1" ht="15" customHeight="1">
      <c r="B14" s="98" t="str">
        <f>IF(OR(uso=3,uso=4),"Progression-free","On treatment")</f>
        <v>On treatment</v>
      </c>
      <c r="C14" s="314">
        <f>IF(AND(desc1_3=0,ob1_3=0),C11,
IF(AND(desc1_3=0,ob1_3&gt;0),C7*(1-ob1_3),C7*(1-desc1_3)))</f>
        <v>4950.1446658799996</v>
      </c>
      <c r="D14" s="314">
        <f>IF(AND(desc1_3=0,ob1_3=0),D11,
IF(AND(desc1_3=0,ob1_3&gt;0),D7*(1-ob1_3),D7*(1-desc1_3)))</f>
        <v>4980.7215748199997</v>
      </c>
      <c r="E14" s="314" t="s">
        <v>7</v>
      </c>
      <c r="F14" s="314" t="s">
        <v>7</v>
      </c>
      <c r="G14" s="314" t="s">
        <v>7</v>
      </c>
      <c r="H14" s="510" t="s">
        <v>307</v>
      </c>
      <c r="I14" s="96"/>
      <c r="J14" s="98" t="str">
        <f>IF(OR(uso=3,uso=4),"Progression-free","On treatment")</f>
        <v>On treatment</v>
      </c>
      <c r="K14" s="314">
        <f>IF(AND(desc2_3=0,ob2_3=0),K11,
IF(AND(desc2_3=0,ob2_3&gt;0),K7*(1-ob2_3),K7*(1-desc2_3)))</f>
        <v>4950.1446658799996</v>
      </c>
      <c r="L14" s="314">
        <f>IF(AND(desc2_3=0,ob2_3=0),L11,
IF(AND(desc2_3=0,ob2_3&gt;0),L7*(1-ob2_3),L7*(1-desc2_3)))</f>
        <v>4980.7215748199997</v>
      </c>
      <c r="M14" s="314" t="s">
        <v>7</v>
      </c>
      <c r="N14" s="314" t="s">
        <v>7</v>
      </c>
      <c r="O14" s="314" t="s">
        <v>7</v>
      </c>
      <c r="P14" s="510" t="s">
        <v>307</v>
      </c>
      <c r="Q14" s="96"/>
      <c r="R14" s="98" t="s">
        <v>206</v>
      </c>
      <c r="S14" s="314">
        <f>IF(AND(desc3_3=0,ob3_3=0),S11,
IF(AND(desc3_3=0,ob3_3&gt;0),S7*(1-ob3_3),S7*(1-desc3_3)))</f>
        <v>4950.1446658799996</v>
      </c>
      <c r="T14" s="314">
        <f>IF(AND(desc3_3=0,ob3_3=0),T11,
IF(AND(desc3_3=0,ob3_3&gt;0),T7*(1-ob3_3),T7*(1-desc3_3)))</f>
        <v>4980.7215748199997</v>
      </c>
      <c r="U14" s="314" t="s">
        <v>7</v>
      </c>
      <c r="V14" s="314" t="s">
        <v>7</v>
      </c>
      <c r="W14" s="314" t="s">
        <v>7</v>
      </c>
      <c r="X14" s="510" t="s">
        <v>307</v>
      </c>
      <c r="Y14" s="96"/>
      <c r="Z14" s="98" t="s">
        <v>206</v>
      </c>
      <c r="AA14" s="314">
        <f>IF(AND(desc4_3=0,ob4_3=0),AA11,
IF(AND(desc4_3=0,ob4_3&gt;0),AA7*(1-ob4_3),AA7*(1-desc4_3)))</f>
        <v>4950.1446658799996</v>
      </c>
      <c r="AB14" s="314">
        <f>IF(AND(desc4_3=0,ob4_3=0),AB11,
IF(AND(desc4_3=0,ob4_3&gt;0),AB7*(1-ob4_3),AB7*(1-desc4_3)))</f>
        <v>4980.7215748199997</v>
      </c>
      <c r="AC14" s="314" t="s">
        <v>7</v>
      </c>
      <c r="AD14" s="314" t="s">
        <v>7</v>
      </c>
      <c r="AE14" s="314" t="s">
        <v>7</v>
      </c>
      <c r="AF14" s="510" t="s">
        <v>307</v>
      </c>
      <c r="AG14" s="96"/>
      <c r="AH14" s="98" t="s">
        <v>206</v>
      </c>
      <c r="AI14" s="314">
        <f>IF(AND(desc5_3=0,ob5_3=0),AI11,
IF(AND(desc5_3=0,ob5_3&gt;0),AI7*(1-ob5_3),AI7*(1-desc5_3)))</f>
        <v>4950.1446658799996</v>
      </c>
      <c r="AJ14" s="314">
        <f>IF(AND(desc5_3=0,ob5_3=0),AJ11,
IF(AND(desc5_3=0,ob5_3&gt;0),AJ7*(1-ob5_3),AJ7*(1-desc5_3)))</f>
        <v>4980.7215748199997</v>
      </c>
      <c r="AK14" s="314" t="s">
        <v>7</v>
      </c>
      <c r="AL14" s="314" t="s">
        <v>7</v>
      </c>
      <c r="AM14" s="314" t="s">
        <v>7</v>
      </c>
      <c r="AN14" s="510" t="s">
        <v>307</v>
      </c>
      <c r="AO14" s="96"/>
      <c r="AP14" s="98" t="s">
        <v>206</v>
      </c>
      <c r="AQ14" s="314">
        <f>IF(AND(desc6_3=0,ob6_3=0),AQ11,
IF(AND(desc6_3=0,ob6_3&gt;0),AQ7*(1-ob6_3),AQ7*(1-desc6_3)))</f>
        <v>4950.1446658799996</v>
      </c>
      <c r="AR14" s="314">
        <f>IF(AND(desc6_3=0,ob6_3=0),AR11,
IF(AND(desc6_3=0,ob6_3&gt;0),AR7*(1-ob6_3),AR7*(1-desc6_3)))</f>
        <v>4980.7215748199997</v>
      </c>
      <c r="AS14" s="314" t="s">
        <v>7</v>
      </c>
      <c r="AT14" s="314" t="s">
        <v>7</v>
      </c>
      <c r="AU14" s="314" t="s">
        <v>7</v>
      </c>
      <c r="AV14" s="510" t="s">
        <v>307</v>
      </c>
      <c r="AW14" s="96"/>
      <c r="AX14" s="98" t="s">
        <v>206</v>
      </c>
      <c r="AY14" s="314">
        <f>IF(AND(desc7_3=0,ob7_3=0),AY11,
IF(AND(desc7_3=0,ob7_3&gt;0),AY7*(1-ob7_3),AY7*(1-desc7_3)))</f>
        <v>4950.1446658799996</v>
      </c>
      <c r="AZ14" s="314">
        <f>IF(AND(desc7_3=0,ob7_3=0),AZ11,
IF(AND(desc7_3=0,ob7_3&gt;0),AZ7*(1-ob7_3),AZ7*(1-desc7_3)))</f>
        <v>4980.7215748199997</v>
      </c>
      <c r="BA14" s="314" t="s">
        <v>7</v>
      </c>
      <c r="BB14" s="314" t="s">
        <v>7</v>
      </c>
      <c r="BC14" s="314" t="s">
        <v>7</v>
      </c>
      <c r="BD14" s="510" t="s">
        <v>307</v>
      </c>
      <c r="BE14" s="96"/>
      <c r="BF14" s="98" t="s">
        <v>206</v>
      </c>
      <c r="BG14" s="314">
        <f>IF(AND(desc8_3=0,ob8_3=0),BG11,
IF(AND(desc8_3=0,ob8_3&gt;0),BG7*(1-ob8_3),BG7*(1-desc8_3)))</f>
        <v>4950.1446658799996</v>
      </c>
      <c r="BH14" s="314">
        <f>IF(AND(desc8_3=0,ob8_3=0),BH11,
IF(AND(desc8_3=0,ob8_3&gt;0),BH7*(1-ob8_3),BH7*(1-desc8_3)))</f>
        <v>4980.7215748199997</v>
      </c>
      <c r="BI14" s="314" t="s">
        <v>7</v>
      </c>
      <c r="BJ14" s="314" t="s">
        <v>7</v>
      </c>
      <c r="BK14" s="314" t="s">
        <v>7</v>
      </c>
      <c r="BL14" s="510" t="s">
        <v>307</v>
      </c>
      <c r="BM14" s="96"/>
      <c r="BN14" s="98" t="s">
        <v>206</v>
      </c>
      <c r="BO14" s="314">
        <f>IF(AND(desc9_3=0,ob9_3=0),BO11,
IF(AND(desc9_3=0,ob9_3&gt;0),BO7*(1-ob9_3),BO7*(1-desc9_3)))</f>
        <v>4950.1446658799996</v>
      </c>
      <c r="BP14" s="314">
        <f>IF(AND(desc9_3=0,ob9_3=0),BP11,
IF(AND(desc9_3=0,ob9_3&gt;0),BP7*(1-ob9_3),BP7*(1-desc9_3)))</f>
        <v>4980.7215748199997</v>
      </c>
      <c r="BQ14" s="314" t="s">
        <v>7</v>
      </c>
      <c r="BR14" s="314" t="s">
        <v>7</v>
      </c>
      <c r="BS14" s="314" t="s">
        <v>7</v>
      </c>
      <c r="BT14" s="510" t="s">
        <v>307</v>
      </c>
      <c r="BU14" s="96"/>
      <c r="BV14" s="98" t="s">
        <v>206</v>
      </c>
      <c r="BW14" s="314">
        <f>IF(AND(desc10_3=0,ob10_3=0),BW11,
IF(AND(desc10_3=0,ob10_3&gt;0),BW7*(1-ob10_3),BW7*(1-desc10_3)))</f>
        <v>4950.1446658799996</v>
      </c>
      <c r="BX14" s="314">
        <f>IF(AND(desc10_3=0,ob10_3=0),BX11,
IF(AND(desc10_3=0,ob10_3&gt;0),BX7*(1-ob10_3),BX7*(1-desc10_3)))</f>
        <v>4980.7215748199997</v>
      </c>
      <c r="BY14" s="314" t="s">
        <v>7</v>
      </c>
      <c r="BZ14" s="314" t="s">
        <v>7</v>
      </c>
      <c r="CA14" s="314" t="s">
        <v>7</v>
      </c>
      <c r="CB14" s="510" t="s">
        <v>307</v>
      </c>
      <c r="CC14" s="96"/>
      <c r="CD14" s="98" t="s">
        <v>206</v>
      </c>
      <c r="CE14" s="314">
        <f>IF(AND(desc11_3=0,ob11_3=0),CE11,
IF(AND(desc11_3=0,ob11_3&gt;0),CE7*(1-ob11_3),CE7*(1-desc11_3)))</f>
        <v>4950.1446658799996</v>
      </c>
      <c r="CF14" s="314">
        <f>IF(AND(desc11_3=0,ob11_3=0),CF11,
IF(AND(desc11_3=0,ob11_3&gt;0),CF7*(1-ob11_3),CF7*(1-desc11_3)))</f>
        <v>4980.7215748199997</v>
      </c>
      <c r="CG14" s="314" t="s">
        <v>7</v>
      </c>
      <c r="CH14" s="314" t="s">
        <v>7</v>
      </c>
      <c r="CI14" s="314" t="s">
        <v>7</v>
      </c>
      <c r="CJ14" s="510" t="s">
        <v>307</v>
      </c>
      <c r="CK14" s="96"/>
      <c r="CL14" s="98" t="s">
        <v>206</v>
      </c>
      <c r="CM14" s="314">
        <f>IF(AND(desc12_3=0,ob12_3=0),CM11,
IF(AND(desc12_3=0,ob12_3&gt;0),CM7*(1-ob12_3),CM7*(1-desc12_3)))</f>
        <v>4950.1446658799996</v>
      </c>
      <c r="CN14" s="314">
        <f>IF(AND(desc12_3=0,ob12_3=0),CN11,
IF(AND(desc12_3=0,ob12_3&gt;0),CN7*(1-ob12_3),CN7*(1-desc12_3)))</f>
        <v>4980.7215748199997</v>
      </c>
      <c r="CO14" s="314" t="s">
        <v>7</v>
      </c>
      <c r="CP14" s="314" t="s">
        <v>7</v>
      </c>
      <c r="CQ14" s="314" t="s">
        <v>7</v>
      </c>
      <c r="CR14" s="510" t="s">
        <v>307</v>
      </c>
      <c r="CS14" s="96"/>
      <c r="CT14" s="98" t="s">
        <v>206</v>
      </c>
      <c r="CU14" s="314">
        <f>IF(AND(desc13_3=0,ob13_3=0),CU11,
IF(AND(desc13_3=0,ob13_3&gt;0),CU7*(1-ob13_3),CU7*(1-desc13_3)))</f>
        <v>4950.1446658799996</v>
      </c>
      <c r="CV14" s="314">
        <f>IF(AND(desc13_3=0,ob13_3=0),CV11,
IF(AND(desc13_3=0,ob13_3&gt;0),CV7*(1-ob13_3),CV7*(1-desc13_3)))</f>
        <v>4980.7215748199997</v>
      </c>
      <c r="CW14" s="314" t="s">
        <v>7</v>
      </c>
      <c r="CX14" s="314" t="s">
        <v>7</v>
      </c>
      <c r="CY14" s="314" t="s">
        <v>7</v>
      </c>
      <c r="CZ14" s="510" t="s">
        <v>307</v>
      </c>
      <c r="DA14" s="96"/>
      <c r="DB14" s="98" t="s">
        <v>206</v>
      </c>
      <c r="DC14" s="314">
        <f>IF(AND(desc14_3=0,ob14_3=0),DC11,
IF(AND(desc14_3=0,ob14_3&gt;0),DC7*(1-ob14_3),DC7*(1-desc14_3)))</f>
        <v>4950.1446658799996</v>
      </c>
      <c r="DD14" s="314">
        <f>IF(AND(desc14_3=0,ob14_3=0),DD11,
IF(AND(desc14_3=0,ob14_3&gt;0),DD7*(1-ob14_3),DD7*(1-desc14_3)))</f>
        <v>4980.7215748199997</v>
      </c>
      <c r="DE14" s="314" t="s">
        <v>7</v>
      </c>
      <c r="DF14" s="314" t="s">
        <v>7</v>
      </c>
      <c r="DG14" s="314" t="s">
        <v>7</v>
      </c>
      <c r="DH14" s="510" t="s">
        <v>307</v>
      </c>
      <c r="DI14" s="96"/>
    </row>
    <row r="15" spans="2:113" s="97" customFormat="1">
      <c r="B15" s="99" t="s">
        <v>207</v>
      </c>
      <c r="C15" s="80">
        <f>IF(ob1_3=0,0,
IF(desc1_3=0,C7*ob1_3,
IF(desc_por_ob="No",0,
IF(AND(desc_por_ob="Yes",ob1_3&gt;desc1_3),"wrong data",(C7*ob1_3)))))</f>
        <v>0</v>
      </c>
      <c r="D15" s="80">
        <f>IF(ob1_3=0,0,
IF(desc1_3=0,D7*ob1_3,
IF(desc_por_ob="No",0,
IF(AND(desc_por_ob="Yes",ob1_3&gt;desc1_3),"wrong data",(D7*ob1_3)))))</f>
        <v>0</v>
      </c>
      <c r="E15" s="80" t="s">
        <v>7</v>
      </c>
      <c r="F15" s="80" t="s">
        <v>7</v>
      </c>
      <c r="G15" s="80" t="s">
        <v>7</v>
      </c>
      <c r="H15" s="511"/>
      <c r="I15" s="96"/>
      <c r="J15" s="99" t="s">
        <v>207</v>
      </c>
      <c r="K15" s="80">
        <f>IF(ob2_3=0,0,
IF(desc2_3=0,K7*ob2_3,
IF(desc_por_ob="No",0,
IF(AND(desc_por_ob="Yes",ob2_3&gt;desc2_3),"wrong data",(K7*ob2_3)))))</f>
        <v>0</v>
      </c>
      <c r="L15" s="80">
        <f>IF(ob2_3=0,0,
IF(desc2_3=0,L7*ob2_3,
IF(desc_por_ob="No",0,
IF(AND(desc_por_ob="Yes",ob2_3&gt;desc2_3),"wrong data",(L7*ob2_3)))))</f>
        <v>0</v>
      </c>
      <c r="M15" s="80" t="s">
        <v>7</v>
      </c>
      <c r="N15" s="80" t="s">
        <v>7</v>
      </c>
      <c r="O15" s="80" t="s">
        <v>7</v>
      </c>
      <c r="P15" s="511"/>
      <c r="Q15" s="96"/>
      <c r="R15" s="99" t="s">
        <v>207</v>
      </c>
      <c r="S15" s="80">
        <f>IF(ob3_3=0,0,
IF(desc3_3=0,S7*ob3_3,
IF(desc_por_ob="No",0,
IF(AND(desc_por_ob="Yes",ob3_3&gt;desc3_3),"wrong data",(S7*ob3_3)))))</f>
        <v>0</v>
      </c>
      <c r="T15" s="80">
        <f>IF(ob3_3=0,0,
IF(desc3_3=0,T7*ob3_3,
IF(desc_por_ob="No",0,
IF(AND(desc_por_ob="Yes",ob3_3&gt;desc3_3),"wrong data",(T7*ob3_3)))))</f>
        <v>0</v>
      </c>
      <c r="U15" s="80" t="s">
        <v>7</v>
      </c>
      <c r="V15" s="80" t="s">
        <v>7</v>
      </c>
      <c r="W15" s="80" t="s">
        <v>7</v>
      </c>
      <c r="X15" s="511"/>
      <c r="Y15" s="96"/>
      <c r="Z15" s="99" t="s">
        <v>207</v>
      </c>
      <c r="AA15" s="80">
        <f>IF(ob4_3=0,0,
IF(desc4_3=0,AA7*ob4_3,
IF(desc_por_ob="No",0,
IF(AND(desc_por_ob="Yes",ob4_3&gt;desc4_3),"wrong data",(AA7*ob4_3)))))</f>
        <v>0</v>
      </c>
      <c r="AB15" s="80">
        <f>IF(ob4_3=0,0,
IF(desc4_3=0,AB7*ob4_3,
IF(desc_por_ob="No",0,
IF(AND(desc_por_ob="Yes",ob4_3&gt;desc4_3),"wrong data",(AB7*ob4_3)))))</f>
        <v>0</v>
      </c>
      <c r="AC15" s="80" t="s">
        <v>7</v>
      </c>
      <c r="AD15" s="80" t="s">
        <v>7</v>
      </c>
      <c r="AE15" s="80" t="s">
        <v>7</v>
      </c>
      <c r="AF15" s="511"/>
      <c r="AG15" s="96"/>
      <c r="AH15" s="99" t="s">
        <v>207</v>
      </c>
      <c r="AI15" s="80">
        <f>IF(ob5_3=0,0,
IF(desc5_3=0,AI7*ob5_3,
IF(desc_por_ob="No",0,
IF(AND(desc_por_ob="Yes",ob5_3&gt;desc5_3),"wrong data",(AI7*ob5_3)))))</f>
        <v>0</v>
      </c>
      <c r="AJ15" s="80">
        <f>IF(ob5_3=0,0,
IF(desc5_3=0,AJ7*ob5_3,
IF(desc_por_ob="No",0,
IF(AND(desc_por_ob="Yes",ob5_3&gt;desc5_3),"wrong data",(AJ7*ob5_3)))))</f>
        <v>0</v>
      </c>
      <c r="AK15" s="80" t="s">
        <v>7</v>
      </c>
      <c r="AL15" s="80" t="s">
        <v>7</v>
      </c>
      <c r="AM15" s="80" t="s">
        <v>7</v>
      </c>
      <c r="AN15" s="511"/>
      <c r="AO15" s="96"/>
      <c r="AP15" s="99" t="s">
        <v>207</v>
      </c>
      <c r="AQ15" s="80">
        <f>IF(ob6_3=0,0,
IF(desc6_3=0,AQ7*ob6_3,
IF(desc_por_ob="No",0,
IF(AND(desc_por_ob="Yes",ob6_3&gt;desc6_3),"wrong data",(AQ7*ob6_3)))))</f>
        <v>0</v>
      </c>
      <c r="AR15" s="80">
        <f>IF(ob6_3=0,0,
IF(desc6_3=0,AR7*ob6_3,
IF(desc_por_ob="No",0,
IF(AND(desc_por_ob="Yes",ob6_3&gt;desc6_3),"wrong data",(AR7*ob6_3)))))</f>
        <v>0</v>
      </c>
      <c r="AS15" s="80" t="s">
        <v>7</v>
      </c>
      <c r="AT15" s="80" t="s">
        <v>7</v>
      </c>
      <c r="AU15" s="80" t="s">
        <v>7</v>
      </c>
      <c r="AV15" s="511"/>
      <c r="AW15" s="96"/>
      <c r="AX15" s="99" t="s">
        <v>207</v>
      </c>
      <c r="AY15" s="80">
        <f>IF(ob7_3=0,0,
IF(desc7_3=0,AY7*ob7_3,
IF(desc_por_ob="No",0,
IF(AND(desc_por_ob="Yes",ob7_3&gt;desc7_3),"wrong data",(AY7*ob7_3)))))</f>
        <v>0</v>
      </c>
      <c r="AZ15" s="80">
        <f>IF(ob7_3=0,0,
IF(desc7_3=0,AZ7*ob7_3,
IF(desc_por_ob="No",0,
IF(AND(desc_por_ob="Yes",ob7_3&gt;desc7_3),"wrong data",(AZ7*ob7_3)))))</f>
        <v>0</v>
      </c>
      <c r="BA15" s="80" t="s">
        <v>7</v>
      </c>
      <c r="BB15" s="80" t="s">
        <v>7</v>
      </c>
      <c r="BC15" s="80" t="s">
        <v>7</v>
      </c>
      <c r="BD15" s="511"/>
      <c r="BE15" s="96"/>
      <c r="BF15" s="99" t="s">
        <v>207</v>
      </c>
      <c r="BG15" s="80">
        <f>IF(ob8_3=0,0,
IF(desc8_3=0,BG7*ob8_3,
IF(desc_por_ob="No",0,
IF(AND(desc_por_ob="Yes",ob8_3&gt;desc8_3),"wrong data",(BG7*ob8_3)))))</f>
        <v>0</v>
      </c>
      <c r="BH15" s="80">
        <f>IF(ob8_3=0,0,
IF(desc8_3=0,BH7*ob8_3,
IF(desc_por_ob="No",0,
IF(AND(desc_por_ob="Yes",ob8_3&gt;desc8_3),"wrong data",(BH7*ob8_3)))))</f>
        <v>0</v>
      </c>
      <c r="BI15" s="80" t="s">
        <v>7</v>
      </c>
      <c r="BJ15" s="80" t="s">
        <v>7</v>
      </c>
      <c r="BK15" s="80" t="s">
        <v>7</v>
      </c>
      <c r="BL15" s="511"/>
      <c r="BM15" s="96"/>
      <c r="BN15" s="99" t="s">
        <v>207</v>
      </c>
      <c r="BO15" s="80">
        <f>IF(ob9_3=0,0,
IF(desc9_3=0,BO7*ob9_3,
IF(desc_por_ob="No",0,
IF(AND(desc_por_ob="Yes",ob9_3&gt;desc9_3),"wrong data",(BO7*ob9_3)))))</f>
        <v>0</v>
      </c>
      <c r="BP15" s="80">
        <f>IF(ob9_3=0,0,
IF(desc9_3=0,BP7*ob9_3,
IF(desc_por_ob="No",0,
IF(AND(desc_por_ob="Yes",ob9_3&gt;desc9_3),"wrong data",(BP7*ob9_3)))))</f>
        <v>0</v>
      </c>
      <c r="BQ15" s="80" t="s">
        <v>7</v>
      </c>
      <c r="BR15" s="80" t="s">
        <v>7</v>
      </c>
      <c r="BS15" s="80" t="s">
        <v>7</v>
      </c>
      <c r="BT15" s="511"/>
      <c r="BU15" s="96"/>
      <c r="BV15" s="99" t="s">
        <v>207</v>
      </c>
      <c r="BW15" s="80">
        <f>IF(ob10_3=0,0,
IF(desc10_3=0,BW7*ob10_3,
IF(desc_por_ob="No",0,
IF(AND(desc_por_ob="Yes",ob10_3&gt;desc10_3),"wrong data",(BW7*ob10_3)))))</f>
        <v>0</v>
      </c>
      <c r="BX15" s="80">
        <f>IF(ob10_3=0,0,
IF(desc10_3=0,BX7*ob10_3,
IF(desc_por_ob="No",0,
IF(AND(desc_por_ob="Yes",ob10_3&gt;desc10_3),"wrong data",(BX7*ob10_3)))))</f>
        <v>0</v>
      </c>
      <c r="BY15" s="80" t="s">
        <v>7</v>
      </c>
      <c r="BZ15" s="80" t="s">
        <v>7</v>
      </c>
      <c r="CA15" s="80" t="s">
        <v>7</v>
      </c>
      <c r="CB15" s="511"/>
      <c r="CC15" s="96"/>
      <c r="CD15" s="99" t="s">
        <v>207</v>
      </c>
      <c r="CE15" s="80">
        <f>IF(ob11_3=0,0,
IF(desc11_3=0,CE7*ob11_3,
IF(desc_por_ob="No",0,
IF(AND(desc_por_ob="Yes",ob11_3&gt;desc11_3),"wrong data",(CE7*ob11_3)))))</f>
        <v>0</v>
      </c>
      <c r="CF15" s="80">
        <f>IF(ob11_3=0,0,
IF(desc11_3=0,CF7*ob11_3,
IF(desc_por_ob="No",0,
IF(AND(desc_por_ob="Yes",ob11_3&gt;desc11_3),"wrong data",(CF7*ob11_3)))))</f>
        <v>0</v>
      </c>
      <c r="CG15" s="80" t="s">
        <v>7</v>
      </c>
      <c r="CH15" s="80" t="s">
        <v>7</v>
      </c>
      <c r="CI15" s="80" t="s">
        <v>7</v>
      </c>
      <c r="CJ15" s="511"/>
      <c r="CK15" s="96"/>
      <c r="CL15" s="99" t="s">
        <v>207</v>
      </c>
      <c r="CM15" s="80">
        <f>IF(ob12_3=0,0,
IF(desc12_3=0,CM7*ob12_3,
IF(desc_por_ob="No",0,
IF(AND(desc_por_ob="Yes",ob12_3&gt;desc12_3),"wrong data",(CM7*ob12_3)))))</f>
        <v>0</v>
      </c>
      <c r="CN15" s="80">
        <f>IF(ob12_3=0,0,
IF(desc12_3=0,CN7*ob12_3,
IF(desc_por_ob="No",0,
IF(AND(desc_por_ob="Yes",ob12_3&gt;desc12_3),"wrong data",(CN7*ob12_3)))))</f>
        <v>0</v>
      </c>
      <c r="CO15" s="80" t="s">
        <v>7</v>
      </c>
      <c r="CP15" s="80" t="s">
        <v>7</v>
      </c>
      <c r="CQ15" s="80" t="s">
        <v>7</v>
      </c>
      <c r="CR15" s="511"/>
      <c r="CS15" s="96"/>
      <c r="CT15" s="99" t="s">
        <v>207</v>
      </c>
      <c r="CU15" s="80">
        <f>IF(ob13_3=0,0,
IF(desc13_3=0,CU7*ob13_3,
IF(desc_por_ob="No",0,
IF(AND(desc_por_ob="Yes",ob13_3&gt;desc13_3),"wrong data",(CU7*ob13_3)))))</f>
        <v>0</v>
      </c>
      <c r="CV15" s="80">
        <f>IF(ob13_3=0,0,
IF(desc13_3=0,CV7*ob13_3,
IF(desc_por_ob="No",0,
IF(AND(desc_por_ob="Yes",ob13_3&gt;desc13_3),"wrong data",(CV7*ob13_3)))))</f>
        <v>0</v>
      </c>
      <c r="CW15" s="80" t="s">
        <v>7</v>
      </c>
      <c r="CX15" s="80" t="s">
        <v>7</v>
      </c>
      <c r="CY15" s="80" t="s">
        <v>7</v>
      </c>
      <c r="CZ15" s="511"/>
      <c r="DA15" s="96"/>
      <c r="DB15" s="99" t="s">
        <v>207</v>
      </c>
      <c r="DC15" s="80">
        <f>IF(ob14_3=0,0,
IF(desc14_3=0,DC7*ob14_3,
IF(desc_por_ob="No",0,
IF(AND(desc_por_ob="Yes",ob14_3&gt;desc14_3),"wrong data",(DC7*ob14_3)))))</f>
        <v>0</v>
      </c>
      <c r="DD15" s="80">
        <f>IF(ob14_3=0,0,
IF(desc14_3=0,DD7*ob14_3,
IF(desc_por_ob="No",0,
IF(AND(desc_por_ob="Yes",ob14_3&gt;desc14_3),"wrong data",(DD7*ob14_3)))))</f>
        <v>0</v>
      </c>
      <c r="DE15" s="80" t="s">
        <v>7</v>
      </c>
      <c r="DF15" s="80" t="s">
        <v>7</v>
      </c>
      <c r="DG15" s="80" t="s">
        <v>7</v>
      </c>
      <c r="DH15" s="511"/>
      <c r="DI15" s="96"/>
    </row>
    <row r="16" spans="2:113" s="97" customFormat="1" ht="15" thickBot="1">
      <c r="B16" s="100" t="str">
        <f>IF(OR(uso=3,uso=4),"Progressed","Discontinued")</f>
        <v>Discontinued</v>
      </c>
      <c r="C16" s="315">
        <f>IF(desc1_3=0,0,
IF(AND(desc_por_ob="Yes",ob1_3&gt;desc1_3),"wrong data",C7-C14-C15))</f>
        <v>0</v>
      </c>
      <c r="D16" s="315">
        <f>IF(desc1_3=0,0,
IF(AND(desc_por_ob="Yes",ob1_3&gt;desc1_3),"wrong data",D7-D14-D15))</f>
        <v>0</v>
      </c>
      <c r="E16" s="315" t="s">
        <v>7</v>
      </c>
      <c r="F16" s="315" t="s">
        <v>7</v>
      </c>
      <c r="G16" s="315" t="s">
        <v>7</v>
      </c>
      <c r="H16" s="512"/>
      <c r="I16" s="96"/>
      <c r="J16" s="100" t="str">
        <f>IF(OR(uso=3,uso=4),"Progressed","Discontinued")</f>
        <v>Discontinued</v>
      </c>
      <c r="K16" s="315">
        <f>IF(desc2_3=0,0,
IF(AND(desc_por_ob="Yes",ob2_3&gt;desc2_3),"wrong data",K7-K14-K15))</f>
        <v>0</v>
      </c>
      <c r="L16" s="315">
        <f>IF(desc2_3=0,0,
IF(AND(desc_por_ob="Yes",ob2_3&gt;desc2_3),"wrong data",L7-L14-L15))</f>
        <v>0</v>
      </c>
      <c r="M16" s="315" t="s">
        <v>7</v>
      </c>
      <c r="N16" s="315" t="s">
        <v>7</v>
      </c>
      <c r="O16" s="315" t="s">
        <v>7</v>
      </c>
      <c r="P16" s="512"/>
      <c r="Q16" s="96"/>
      <c r="R16" s="100" t="s">
        <v>208</v>
      </c>
      <c r="S16" s="315">
        <f>IF(desc3_3=0,0,
IF(AND(desc_por_ob="Yes",ob3_3&gt;desc3_3),"wrong data",S7-S14-S15))</f>
        <v>0</v>
      </c>
      <c r="T16" s="315">
        <f>IF(desc3_3=0,0,
IF(AND(desc_por_ob="Yes",ob3_3&gt;desc3_3),"wrong data",T7-T14-T15))</f>
        <v>0</v>
      </c>
      <c r="U16" s="315" t="s">
        <v>7</v>
      </c>
      <c r="V16" s="315" t="s">
        <v>7</v>
      </c>
      <c r="W16" s="315" t="s">
        <v>7</v>
      </c>
      <c r="X16" s="512"/>
      <c r="Y16" s="96"/>
      <c r="Z16" s="100" t="s">
        <v>208</v>
      </c>
      <c r="AA16" s="315">
        <f>IF(desc4_3=0,0,
IF(AND(desc_por_ob="Yes",ob4_3&gt;desc4_3),"wrong data",AA7-AA14-AA15))</f>
        <v>0</v>
      </c>
      <c r="AB16" s="315">
        <f>IF(desc4_3=0,0,
IF(AND(desc_por_ob="Yes",ob4_3&gt;desc4_3),"wrong data",AB7-AB14-AB15))</f>
        <v>0</v>
      </c>
      <c r="AC16" s="315" t="s">
        <v>7</v>
      </c>
      <c r="AD16" s="315" t="s">
        <v>7</v>
      </c>
      <c r="AE16" s="315" t="s">
        <v>7</v>
      </c>
      <c r="AF16" s="512"/>
      <c r="AG16" s="96"/>
      <c r="AH16" s="100" t="s">
        <v>208</v>
      </c>
      <c r="AI16" s="315">
        <f>IF(desc5_3=0,0,
IF(AND(desc_por_ob="Yes",ob5_3&gt;desc5_3),"wrong data",AI7-AI14-AI15))</f>
        <v>0</v>
      </c>
      <c r="AJ16" s="315">
        <f>IF(desc5_3=0,0,
IF(AND(desc_por_ob="Yes",ob5_3&gt;desc5_3),"wrong data",AJ7-AJ14-AJ15))</f>
        <v>0</v>
      </c>
      <c r="AK16" s="315" t="s">
        <v>7</v>
      </c>
      <c r="AL16" s="315" t="s">
        <v>7</v>
      </c>
      <c r="AM16" s="315" t="s">
        <v>7</v>
      </c>
      <c r="AN16" s="512"/>
      <c r="AO16" s="96"/>
      <c r="AP16" s="100" t="s">
        <v>208</v>
      </c>
      <c r="AQ16" s="315">
        <f>IF(desc6_3=0,0,
IF(AND(desc_por_ob="Yes",ob6_3&gt;desc6_3),"wrong data",AQ7-AQ14-AQ15))</f>
        <v>0</v>
      </c>
      <c r="AR16" s="315">
        <f>IF(desc6_3=0,0,
IF(AND(desc_por_ob="Yes",ob6_3&gt;desc6_3),"wrong data",AR7-AR14-AR15))</f>
        <v>0</v>
      </c>
      <c r="AS16" s="315" t="s">
        <v>7</v>
      </c>
      <c r="AT16" s="315" t="s">
        <v>7</v>
      </c>
      <c r="AU16" s="315" t="s">
        <v>7</v>
      </c>
      <c r="AV16" s="512"/>
      <c r="AW16" s="96"/>
      <c r="AX16" s="100" t="s">
        <v>208</v>
      </c>
      <c r="AY16" s="315">
        <f>IF(desc7_3=0,0,
IF(AND(desc_por_ob="Yes",ob7_3&gt;desc7_3),"wrong data",AY7-AY14-AY15))</f>
        <v>0</v>
      </c>
      <c r="AZ16" s="315">
        <f>IF(desc7_3=0,0,
IF(AND(desc_por_ob="Yes",ob7_3&gt;desc7_3),"wrong data",AZ7-AZ14-AZ15))</f>
        <v>0</v>
      </c>
      <c r="BA16" s="315" t="s">
        <v>7</v>
      </c>
      <c r="BB16" s="315" t="s">
        <v>7</v>
      </c>
      <c r="BC16" s="315" t="s">
        <v>7</v>
      </c>
      <c r="BD16" s="512"/>
      <c r="BE16" s="96"/>
      <c r="BF16" s="100" t="s">
        <v>208</v>
      </c>
      <c r="BG16" s="315">
        <f>IF(desc8_3=0,0,
IF(AND(desc_por_ob="Yes",ob8_3&gt;desc8_3),"wrong data",BG7-BG14-BG15))</f>
        <v>0</v>
      </c>
      <c r="BH16" s="315">
        <f>IF(desc8_3=0,0,
IF(AND(desc_por_ob="Yes",ob8_3&gt;desc8_3),"wrong data",BH7-BH14-BH15))</f>
        <v>0</v>
      </c>
      <c r="BI16" s="315" t="s">
        <v>7</v>
      </c>
      <c r="BJ16" s="315" t="s">
        <v>7</v>
      </c>
      <c r="BK16" s="315" t="s">
        <v>7</v>
      </c>
      <c r="BL16" s="512"/>
      <c r="BM16" s="96"/>
      <c r="BN16" s="100" t="s">
        <v>208</v>
      </c>
      <c r="BO16" s="315">
        <f>IF(desc9_3=0,0,
IF(AND(desc_por_ob="Yes",ob9_3&gt;desc9_3),"wrong data",BO7-BO14-BO15))</f>
        <v>0</v>
      </c>
      <c r="BP16" s="315">
        <f>IF(desc9_3=0,0,
IF(AND(desc_por_ob="Yes",ob9_3&gt;desc9_3),"wrong data",BP7-BP14-BP15))</f>
        <v>0</v>
      </c>
      <c r="BQ16" s="315" t="s">
        <v>7</v>
      </c>
      <c r="BR16" s="315" t="s">
        <v>7</v>
      </c>
      <c r="BS16" s="315" t="s">
        <v>7</v>
      </c>
      <c r="BT16" s="512"/>
      <c r="BU16" s="96"/>
      <c r="BV16" s="100" t="s">
        <v>208</v>
      </c>
      <c r="BW16" s="315">
        <f>IF(desc10_3=0,0,
IF(AND(desc_por_ob="Yes",ob10_3&gt;desc10_3),"wrong data",BW7-BW14-BW15))</f>
        <v>0</v>
      </c>
      <c r="BX16" s="315">
        <f>IF(desc10_3=0,0,
IF(AND(desc_por_ob="Yes",ob10_3&gt;desc10_3),"wrong data",BX7-BX14-BX15))</f>
        <v>0</v>
      </c>
      <c r="BY16" s="315" t="s">
        <v>7</v>
      </c>
      <c r="BZ16" s="315" t="s">
        <v>7</v>
      </c>
      <c r="CA16" s="315" t="s">
        <v>7</v>
      </c>
      <c r="CB16" s="512"/>
      <c r="CC16" s="96"/>
      <c r="CD16" s="100" t="s">
        <v>208</v>
      </c>
      <c r="CE16" s="315">
        <f>IF(desc11_3=0,0,
IF(AND(desc_por_ob="Yes",ob11_3&gt;desc11_3),"wrong data",CE7-CE14-CE15))</f>
        <v>0</v>
      </c>
      <c r="CF16" s="315">
        <f>IF(desc11_3=0,0,
IF(AND(desc_por_ob="Yes",ob11_3&gt;desc11_3),"wrong data",CF7-CF14-CF15))</f>
        <v>0</v>
      </c>
      <c r="CG16" s="315" t="s">
        <v>7</v>
      </c>
      <c r="CH16" s="315" t="s">
        <v>7</v>
      </c>
      <c r="CI16" s="315" t="s">
        <v>7</v>
      </c>
      <c r="CJ16" s="512"/>
      <c r="CK16" s="96"/>
      <c r="CL16" s="100" t="s">
        <v>208</v>
      </c>
      <c r="CM16" s="315">
        <f>IF(desc12_3=0,0,
IF(AND(desc_por_ob="Yes",ob12_3&gt;desc12_3),"wrong data",CM7-CM14-CM15))</f>
        <v>0</v>
      </c>
      <c r="CN16" s="315">
        <f>IF(desc12_3=0,0,
IF(AND(desc_por_ob="Yes",ob12_3&gt;desc12_3),"wrong data",CN7-CN14-CN15))</f>
        <v>0</v>
      </c>
      <c r="CO16" s="315" t="s">
        <v>7</v>
      </c>
      <c r="CP16" s="315" t="s">
        <v>7</v>
      </c>
      <c r="CQ16" s="315" t="s">
        <v>7</v>
      </c>
      <c r="CR16" s="512"/>
      <c r="CS16" s="96"/>
      <c r="CT16" s="100" t="s">
        <v>208</v>
      </c>
      <c r="CU16" s="315">
        <f>IF(desc13_3=0,0,
IF(AND(desc_por_ob="Yes",ob13_3&gt;desc13_3),"wrong data",CU7-CU14-CU15))</f>
        <v>0</v>
      </c>
      <c r="CV16" s="315">
        <f>IF(desc13_3=0,0,
IF(AND(desc_por_ob="Yes",ob13_3&gt;desc13_3),"wrong data",CV7-CV14-CV15))</f>
        <v>0</v>
      </c>
      <c r="CW16" s="315" t="s">
        <v>7</v>
      </c>
      <c r="CX16" s="315" t="s">
        <v>7</v>
      </c>
      <c r="CY16" s="315" t="s">
        <v>7</v>
      </c>
      <c r="CZ16" s="512"/>
      <c r="DA16" s="96"/>
      <c r="DB16" s="100" t="s">
        <v>208</v>
      </c>
      <c r="DC16" s="315">
        <f>IF(desc14_3=0,0,
IF(AND(desc_por_ob="Yes",ob14_3&gt;desc14_3),"wrong data",DC7-DC14-DC15))</f>
        <v>0</v>
      </c>
      <c r="DD16" s="315">
        <f>IF(desc14_3=0,0,
IF(AND(desc_por_ob="Yes",ob14_3&gt;desc14_3),"wrong data",DD7-DD14-DD15))</f>
        <v>0</v>
      </c>
      <c r="DE16" s="315" t="s">
        <v>7</v>
      </c>
      <c r="DF16" s="315" t="s">
        <v>7</v>
      </c>
      <c r="DG16" s="315" t="s">
        <v>7</v>
      </c>
      <c r="DH16" s="512"/>
      <c r="DI16" s="96"/>
    </row>
    <row r="17" spans="2:113" s="97" customFormat="1" ht="15" customHeight="1">
      <c r="B17" s="98" t="str">
        <f>IF(OR(uso=3,uso=4),"Progression-free","On treatment")</f>
        <v>On treatment</v>
      </c>
      <c r="C17" s="314">
        <f>IF(AND(desc1_4=0,ob1_4=0),C14,
IF(AND(desc1_4=0,ob1_4&gt;0),C7*(1-ob1_4),C7*(1-desc1_4)))</f>
        <v>4950.1446658799996</v>
      </c>
      <c r="D17" s="314" t="s">
        <v>7</v>
      </c>
      <c r="E17" s="314" t="s">
        <v>7</v>
      </c>
      <c r="F17" s="314" t="s">
        <v>7</v>
      </c>
      <c r="G17" s="314" t="s">
        <v>7</v>
      </c>
      <c r="H17" s="510" t="s">
        <v>308</v>
      </c>
      <c r="I17" s="96"/>
      <c r="J17" s="98" t="str">
        <f>IF(OR(uso=3,uso=4),"Progression-free","On treatment")</f>
        <v>On treatment</v>
      </c>
      <c r="K17" s="314">
        <f>IF(AND(desc2_4=0,ob2_4=0),K14,
IF(AND(desc2_4=0,ob2_4&gt;0),K7*(1-ob2_4),K7*(1-desc2_4)))</f>
        <v>4950.1446658799996</v>
      </c>
      <c r="L17" s="314" t="s">
        <v>7</v>
      </c>
      <c r="M17" s="314" t="s">
        <v>7</v>
      </c>
      <c r="N17" s="314" t="s">
        <v>7</v>
      </c>
      <c r="O17" s="314" t="s">
        <v>7</v>
      </c>
      <c r="P17" s="510" t="s">
        <v>308</v>
      </c>
      <c r="Q17" s="96"/>
      <c r="R17" s="98" t="s">
        <v>206</v>
      </c>
      <c r="S17" s="314">
        <f>IF(AND(desc3_4=0,ob3_4=0),S14,
IF(AND(desc3_4=0,ob3_4&gt;0),S7*(1-ob3_4),S7*(1-desc3_4)))</f>
        <v>4950.1446658799996</v>
      </c>
      <c r="T17" s="314" t="s">
        <v>7</v>
      </c>
      <c r="U17" s="314" t="s">
        <v>7</v>
      </c>
      <c r="V17" s="314" t="s">
        <v>7</v>
      </c>
      <c r="W17" s="314" t="s">
        <v>7</v>
      </c>
      <c r="X17" s="510" t="s">
        <v>308</v>
      </c>
      <c r="Y17" s="96"/>
      <c r="Z17" s="98" t="s">
        <v>206</v>
      </c>
      <c r="AA17" s="314">
        <f>IF(AND(desc4_4=0,ob4_4=0),AA14,
IF(AND(desc4_4=0,ob4_4&gt;0),AA7*(1-ob4_4),AA7*(1-desc4_4)))</f>
        <v>4950.1446658799996</v>
      </c>
      <c r="AB17" s="314" t="s">
        <v>7</v>
      </c>
      <c r="AC17" s="314" t="s">
        <v>7</v>
      </c>
      <c r="AD17" s="314" t="s">
        <v>7</v>
      </c>
      <c r="AE17" s="314" t="s">
        <v>7</v>
      </c>
      <c r="AF17" s="510" t="s">
        <v>308</v>
      </c>
      <c r="AG17" s="96"/>
      <c r="AH17" s="98" t="s">
        <v>206</v>
      </c>
      <c r="AI17" s="314">
        <f>IF(AND(desc5_4=0,ob5_4=0),AI14,
IF(AND(desc5_4=0,ob5_4&gt;0),AI7*(1-ob5_4),AI7*(1-desc5_4)))</f>
        <v>4950.1446658799996</v>
      </c>
      <c r="AJ17" s="314" t="s">
        <v>7</v>
      </c>
      <c r="AK17" s="314" t="s">
        <v>7</v>
      </c>
      <c r="AL17" s="314" t="s">
        <v>7</v>
      </c>
      <c r="AM17" s="314" t="s">
        <v>7</v>
      </c>
      <c r="AN17" s="510" t="s">
        <v>308</v>
      </c>
      <c r="AO17" s="96"/>
      <c r="AP17" s="98" t="s">
        <v>206</v>
      </c>
      <c r="AQ17" s="314">
        <f>IF(AND(desc6_4=0,ob6_4=0),AQ14,
IF(AND(desc6_4=0,ob6_4&gt;0),AQ7*(1-ob6_4),AQ7*(1-desc6_4)))</f>
        <v>4950.1446658799996</v>
      </c>
      <c r="AR17" s="314" t="s">
        <v>7</v>
      </c>
      <c r="AS17" s="314" t="s">
        <v>7</v>
      </c>
      <c r="AT17" s="314" t="s">
        <v>7</v>
      </c>
      <c r="AU17" s="314" t="s">
        <v>7</v>
      </c>
      <c r="AV17" s="510" t="s">
        <v>308</v>
      </c>
      <c r="AW17" s="96"/>
      <c r="AX17" s="98" t="s">
        <v>206</v>
      </c>
      <c r="AY17" s="314">
        <f>IF(AND(desc7_4=0,ob7_4=0),AY14,
IF(AND(desc7_4=0,ob7_4&gt;0),AY7*(1-ob7_4),AY7*(1-desc7_4)))</f>
        <v>4950.1446658799996</v>
      </c>
      <c r="AZ17" s="314" t="s">
        <v>7</v>
      </c>
      <c r="BA17" s="314" t="s">
        <v>7</v>
      </c>
      <c r="BB17" s="314" t="s">
        <v>7</v>
      </c>
      <c r="BC17" s="314" t="s">
        <v>7</v>
      </c>
      <c r="BD17" s="510" t="s">
        <v>308</v>
      </c>
      <c r="BE17" s="96"/>
      <c r="BF17" s="98" t="s">
        <v>206</v>
      </c>
      <c r="BG17" s="314">
        <f>IF(AND(desc8_4=0,ob8_4=0),BG14,
IF(AND(desc8_4=0,ob8_4&gt;0),BG7*(1-ob8_4),BG7*(1-desc8_4)))</f>
        <v>4950.1446658799996</v>
      </c>
      <c r="BH17" s="314" t="s">
        <v>7</v>
      </c>
      <c r="BI17" s="314" t="s">
        <v>7</v>
      </c>
      <c r="BJ17" s="314" t="s">
        <v>7</v>
      </c>
      <c r="BK17" s="314" t="s">
        <v>7</v>
      </c>
      <c r="BL17" s="510" t="s">
        <v>308</v>
      </c>
      <c r="BM17" s="96"/>
      <c r="BN17" s="98" t="s">
        <v>206</v>
      </c>
      <c r="BO17" s="314">
        <f>IF(AND(desc9_4=0,ob9_4=0),BO14,
IF(AND(desc9_4=0,ob9_4&gt;0),BO7*(1-ob9_4),BO7*(1-desc9_4)))</f>
        <v>4950.1446658799996</v>
      </c>
      <c r="BP17" s="314" t="s">
        <v>7</v>
      </c>
      <c r="BQ17" s="314" t="s">
        <v>7</v>
      </c>
      <c r="BR17" s="314" t="s">
        <v>7</v>
      </c>
      <c r="BS17" s="314" t="s">
        <v>7</v>
      </c>
      <c r="BT17" s="510" t="s">
        <v>308</v>
      </c>
      <c r="BU17" s="96"/>
      <c r="BV17" s="98" t="s">
        <v>206</v>
      </c>
      <c r="BW17" s="314">
        <f>IF(AND(desc10_4=0,ob10_4=0),BW14,
IF(AND(desc10_4=0,ob10_4&gt;0),BW7*(1-ob10_4),BW7*(1-desc10_4)))</f>
        <v>4950.1446658799996</v>
      </c>
      <c r="BX17" s="314" t="s">
        <v>7</v>
      </c>
      <c r="BY17" s="314" t="s">
        <v>7</v>
      </c>
      <c r="BZ17" s="314" t="s">
        <v>7</v>
      </c>
      <c r="CA17" s="314" t="s">
        <v>7</v>
      </c>
      <c r="CB17" s="510" t="s">
        <v>308</v>
      </c>
      <c r="CC17" s="96"/>
      <c r="CD17" s="98" t="s">
        <v>206</v>
      </c>
      <c r="CE17" s="314">
        <f>IF(AND(desc11_4=0,ob11_4=0),CE14,
IF(AND(desc11_4=0,ob11_4&gt;0),CE7*(1-ob11_4),CE7*(1-desc11_4)))</f>
        <v>4950.1446658799996</v>
      </c>
      <c r="CF17" s="314" t="s">
        <v>7</v>
      </c>
      <c r="CG17" s="314" t="s">
        <v>7</v>
      </c>
      <c r="CH17" s="314" t="s">
        <v>7</v>
      </c>
      <c r="CI17" s="314" t="s">
        <v>7</v>
      </c>
      <c r="CJ17" s="510" t="s">
        <v>308</v>
      </c>
      <c r="CK17" s="96"/>
      <c r="CL17" s="98" t="s">
        <v>206</v>
      </c>
      <c r="CM17" s="314">
        <f>IF(AND(desc12_4=0,ob12_4=0),CM14,
IF(AND(desc12_4=0,ob12_4&gt;0),CM7*(1-ob12_4),CM7*(1-desc12_4)))</f>
        <v>4950.1446658799996</v>
      </c>
      <c r="CN17" s="314" t="s">
        <v>7</v>
      </c>
      <c r="CO17" s="314" t="s">
        <v>7</v>
      </c>
      <c r="CP17" s="314" t="s">
        <v>7</v>
      </c>
      <c r="CQ17" s="314" t="s">
        <v>7</v>
      </c>
      <c r="CR17" s="510" t="s">
        <v>308</v>
      </c>
      <c r="CS17" s="96"/>
      <c r="CT17" s="98" t="s">
        <v>206</v>
      </c>
      <c r="CU17" s="314">
        <f>IF(AND(desc13_4=0,ob13_4=0),CU14,
IF(AND(desc13_4=0,ob13_4&gt;0),CU7*(1-ob13_4),CU7*(1-desc13_4)))</f>
        <v>4950.1446658799996</v>
      </c>
      <c r="CV17" s="314" t="s">
        <v>7</v>
      </c>
      <c r="CW17" s="314" t="s">
        <v>7</v>
      </c>
      <c r="CX17" s="314" t="s">
        <v>7</v>
      </c>
      <c r="CY17" s="314" t="s">
        <v>7</v>
      </c>
      <c r="CZ17" s="510" t="s">
        <v>308</v>
      </c>
      <c r="DA17" s="96"/>
      <c r="DB17" s="98" t="s">
        <v>206</v>
      </c>
      <c r="DC17" s="314">
        <f>IF(AND(desc14_4=0,ob14_4=0),DC14,
IF(AND(desc14_4=0,ob14_4&gt;0),DC7*(1-ob14_4),DC7*(1-desc14_4)))</f>
        <v>4950.1446658799996</v>
      </c>
      <c r="DD17" s="314" t="s">
        <v>7</v>
      </c>
      <c r="DE17" s="314" t="s">
        <v>7</v>
      </c>
      <c r="DF17" s="314" t="s">
        <v>7</v>
      </c>
      <c r="DG17" s="314" t="s">
        <v>7</v>
      </c>
      <c r="DH17" s="510" t="s">
        <v>308</v>
      </c>
      <c r="DI17" s="96"/>
    </row>
    <row r="18" spans="2:113" s="97" customFormat="1">
      <c r="B18" s="99" t="s">
        <v>207</v>
      </c>
      <c r="C18" s="80">
        <f>IF(ob1_4=0,0,
IF(desc1_4=0,C7*ob1_4,
IF(desc_por_ob="No",0,
IF(AND(desc_por_ob="Yes",ob1_4&gt;desc1_4),"wrong data",(C7*ob1_4)))))</f>
        <v>0</v>
      </c>
      <c r="D18" s="80" t="s">
        <v>7</v>
      </c>
      <c r="E18" s="80" t="s">
        <v>7</v>
      </c>
      <c r="F18" s="80" t="s">
        <v>7</v>
      </c>
      <c r="G18" s="80" t="s">
        <v>7</v>
      </c>
      <c r="H18" s="511"/>
      <c r="I18" s="96"/>
      <c r="J18" s="99" t="s">
        <v>207</v>
      </c>
      <c r="K18" s="80">
        <f>IF(ob2_4=0,0,
IF(desc2_4=0,K7*ob2_4,
IF(desc_por_ob="No",0,
IF(AND(desc_por_ob="Yes",ob2_4&gt;desc2_4),"wrong data",(K7*ob2_4)))))</f>
        <v>0</v>
      </c>
      <c r="L18" s="80" t="s">
        <v>7</v>
      </c>
      <c r="M18" s="80" t="s">
        <v>7</v>
      </c>
      <c r="N18" s="80" t="s">
        <v>7</v>
      </c>
      <c r="O18" s="80" t="s">
        <v>7</v>
      </c>
      <c r="P18" s="511"/>
      <c r="Q18" s="96"/>
      <c r="R18" s="99" t="s">
        <v>207</v>
      </c>
      <c r="S18" s="80">
        <f>IF(ob3_4=0,0,
IF(desc3_4=0,S7*ob3_4,
IF(desc_por_ob="No",0,
IF(AND(desc_por_ob="Yes",ob3_4&gt;desc3_4),"wrong data",(S7*ob3_4)))))</f>
        <v>0</v>
      </c>
      <c r="T18" s="80" t="s">
        <v>7</v>
      </c>
      <c r="U18" s="80" t="s">
        <v>7</v>
      </c>
      <c r="V18" s="80" t="s">
        <v>7</v>
      </c>
      <c r="W18" s="80" t="s">
        <v>7</v>
      </c>
      <c r="X18" s="511"/>
      <c r="Y18" s="96"/>
      <c r="Z18" s="99" t="s">
        <v>207</v>
      </c>
      <c r="AA18" s="80">
        <f>IF(ob4_4=0,0,
IF(desc4_4=0,AA7*ob4_4,
IF(desc_por_ob="No",0,
IF(AND(desc_por_ob="Yes",ob4_4&gt;desc4_4),"wrong data",(AA7*ob4_4)))))</f>
        <v>0</v>
      </c>
      <c r="AB18" s="80" t="s">
        <v>7</v>
      </c>
      <c r="AC18" s="80" t="s">
        <v>7</v>
      </c>
      <c r="AD18" s="80" t="s">
        <v>7</v>
      </c>
      <c r="AE18" s="80" t="s">
        <v>7</v>
      </c>
      <c r="AF18" s="511"/>
      <c r="AG18" s="96"/>
      <c r="AH18" s="99" t="s">
        <v>207</v>
      </c>
      <c r="AI18" s="80">
        <f>IF(ob5_4=0,0,
IF(desc5_4=0,AI7*ob5_4,
IF(desc_por_ob="No",0,
IF(AND(desc_por_ob="Yes",ob5_4&gt;desc5_4),"wrong data",(AI7*ob5_4)))))</f>
        <v>0</v>
      </c>
      <c r="AJ18" s="80" t="s">
        <v>7</v>
      </c>
      <c r="AK18" s="80" t="s">
        <v>7</v>
      </c>
      <c r="AL18" s="80" t="s">
        <v>7</v>
      </c>
      <c r="AM18" s="80" t="s">
        <v>7</v>
      </c>
      <c r="AN18" s="511"/>
      <c r="AO18" s="96"/>
      <c r="AP18" s="99" t="s">
        <v>207</v>
      </c>
      <c r="AQ18" s="80">
        <f>IF(ob6_4=0,0,
IF(desc6_4=0,AQ7*ob6_4,
IF(desc_por_ob="No",0,
IF(AND(desc_por_ob="Yes",ob6_4&gt;desc6_4),"wrong data",(AQ7*ob6_4)))))</f>
        <v>0</v>
      </c>
      <c r="AR18" s="80" t="s">
        <v>7</v>
      </c>
      <c r="AS18" s="80" t="s">
        <v>7</v>
      </c>
      <c r="AT18" s="80" t="s">
        <v>7</v>
      </c>
      <c r="AU18" s="80" t="s">
        <v>7</v>
      </c>
      <c r="AV18" s="511"/>
      <c r="AW18" s="96"/>
      <c r="AX18" s="99" t="s">
        <v>207</v>
      </c>
      <c r="AY18" s="80">
        <f>IF(ob7_4=0,0,
IF(desc7_4=0,AY7*ob7_4,
IF(desc_por_ob="No",0,
IF(AND(desc_por_ob="Yes",ob7_4&gt;desc7_4),"wrong data",(AY7*ob7_4)))))</f>
        <v>0</v>
      </c>
      <c r="AZ18" s="80" t="s">
        <v>7</v>
      </c>
      <c r="BA18" s="80" t="s">
        <v>7</v>
      </c>
      <c r="BB18" s="80" t="s">
        <v>7</v>
      </c>
      <c r="BC18" s="80" t="s">
        <v>7</v>
      </c>
      <c r="BD18" s="511"/>
      <c r="BE18" s="96"/>
      <c r="BF18" s="99" t="s">
        <v>207</v>
      </c>
      <c r="BG18" s="80">
        <f>IF(ob8_4=0,0,
IF(desc8_4=0,BG7*ob8_4,
IF(desc_por_ob="No",0,
IF(AND(desc_por_ob="Yes",ob8_4&gt;desc8_4),"wrong data",(BG7*ob8_4)))))</f>
        <v>0</v>
      </c>
      <c r="BH18" s="80" t="s">
        <v>7</v>
      </c>
      <c r="BI18" s="80" t="s">
        <v>7</v>
      </c>
      <c r="BJ18" s="80" t="s">
        <v>7</v>
      </c>
      <c r="BK18" s="80" t="s">
        <v>7</v>
      </c>
      <c r="BL18" s="511"/>
      <c r="BM18" s="96"/>
      <c r="BN18" s="99" t="s">
        <v>207</v>
      </c>
      <c r="BO18" s="80">
        <f>IF(ob9_4=0,0,
IF(desc9_4=0,BO7*ob9_4,
IF(desc_por_ob="No",0,
IF(AND(desc_por_ob="Yes",ob9_4&gt;desc9_4),"wrong data",(BO7*ob9_4)))))</f>
        <v>0</v>
      </c>
      <c r="BP18" s="80" t="s">
        <v>7</v>
      </c>
      <c r="BQ18" s="80" t="s">
        <v>7</v>
      </c>
      <c r="BR18" s="80" t="s">
        <v>7</v>
      </c>
      <c r="BS18" s="80" t="s">
        <v>7</v>
      </c>
      <c r="BT18" s="511"/>
      <c r="BU18" s="96"/>
      <c r="BV18" s="99" t="s">
        <v>207</v>
      </c>
      <c r="BW18" s="80">
        <f>IF(ob10_4=0,0,
IF(desc10_4=0,BW7*ob10_4,
IF(desc_por_ob="No",0,
IF(AND(desc_por_ob="Yes",ob10_4&gt;desc10_4),"wrong data",(BW7*ob10_4)))))</f>
        <v>0</v>
      </c>
      <c r="BX18" s="80" t="s">
        <v>7</v>
      </c>
      <c r="BY18" s="80" t="s">
        <v>7</v>
      </c>
      <c r="BZ18" s="80" t="s">
        <v>7</v>
      </c>
      <c r="CA18" s="80" t="s">
        <v>7</v>
      </c>
      <c r="CB18" s="511"/>
      <c r="CC18" s="96"/>
      <c r="CD18" s="99" t="s">
        <v>207</v>
      </c>
      <c r="CE18" s="80">
        <f>IF(ob11_4=0,0,
IF(desc11_4=0,CE7*ob11_4,
IF(desc_por_ob="No",0,
IF(AND(desc_por_ob="Yes",ob11_4&gt;desc11_4),"wrong data",(CE7*ob11_4)))))</f>
        <v>0</v>
      </c>
      <c r="CF18" s="80" t="s">
        <v>7</v>
      </c>
      <c r="CG18" s="80" t="s">
        <v>7</v>
      </c>
      <c r="CH18" s="80" t="s">
        <v>7</v>
      </c>
      <c r="CI18" s="80" t="s">
        <v>7</v>
      </c>
      <c r="CJ18" s="511"/>
      <c r="CK18" s="96"/>
      <c r="CL18" s="99" t="s">
        <v>207</v>
      </c>
      <c r="CM18" s="80">
        <f>IF(ob12_4=0,0,
IF(desc12_4=0,CM7*ob12_4,
IF(desc_por_ob="No",0,
IF(AND(desc_por_ob="Yes",ob12_4&gt;desc12_4),"wrong data",(CM7*ob12_4)))))</f>
        <v>0</v>
      </c>
      <c r="CN18" s="80" t="s">
        <v>7</v>
      </c>
      <c r="CO18" s="80" t="s">
        <v>7</v>
      </c>
      <c r="CP18" s="80" t="s">
        <v>7</v>
      </c>
      <c r="CQ18" s="80" t="s">
        <v>7</v>
      </c>
      <c r="CR18" s="511"/>
      <c r="CS18" s="96"/>
      <c r="CT18" s="99" t="s">
        <v>207</v>
      </c>
      <c r="CU18" s="80">
        <f>IF(ob13_4=0,0,
IF(desc13_4=0,CU7*ob13_4,
IF(desc_por_ob="No",0,
IF(AND(desc_por_ob="Yes",ob13_4&gt;desc13_4),"wrong data",(CU7*ob13_4)))))</f>
        <v>0</v>
      </c>
      <c r="CV18" s="80" t="s">
        <v>7</v>
      </c>
      <c r="CW18" s="80" t="s">
        <v>7</v>
      </c>
      <c r="CX18" s="80" t="s">
        <v>7</v>
      </c>
      <c r="CY18" s="80" t="s">
        <v>7</v>
      </c>
      <c r="CZ18" s="511"/>
      <c r="DA18" s="96"/>
      <c r="DB18" s="99" t="s">
        <v>207</v>
      </c>
      <c r="DC18" s="80">
        <f>IF(ob14_4=0,0,
IF(desc14_4=0,DC7*ob14_4,
IF(desc_por_ob="No",0,
IF(AND(desc_por_ob="Yes",ob14_4&gt;desc14_4),"wrong data",(DC7*ob14_4)))))</f>
        <v>0</v>
      </c>
      <c r="DD18" s="80" t="s">
        <v>7</v>
      </c>
      <c r="DE18" s="80" t="s">
        <v>7</v>
      </c>
      <c r="DF18" s="80" t="s">
        <v>7</v>
      </c>
      <c r="DG18" s="80" t="s">
        <v>7</v>
      </c>
      <c r="DH18" s="511"/>
      <c r="DI18" s="96"/>
    </row>
    <row r="19" spans="2:113" s="97" customFormat="1" ht="15" thickBot="1">
      <c r="B19" s="100" t="str">
        <f>IF(OR(uso=3,uso=4),"Progressed","Discontinued")</f>
        <v>Discontinued</v>
      </c>
      <c r="C19" s="315">
        <f>IF(desc1_4=0,0,
IF(AND(desc_por_ob="Yes",ob1_4&gt;desc1_4),"wrong data",C7-C17-C18))</f>
        <v>0</v>
      </c>
      <c r="D19" s="315" t="s">
        <v>7</v>
      </c>
      <c r="E19" s="315" t="s">
        <v>7</v>
      </c>
      <c r="F19" s="315" t="s">
        <v>7</v>
      </c>
      <c r="G19" s="315" t="s">
        <v>7</v>
      </c>
      <c r="H19" s="512"/>
      <c r="I19" s="96"/>
      <c r="J19" s="100" t="str">
        <f>IF(OR(uso=3,uso=4),"Progressed","Discontinued")</f>
        <v>Discontinued</v>
      </c>
      <c r="K19" s="315">
        <f>IF(desc2_4=0,0,
IF(AND(desc_por_ob="Yes",ob2_4&gt;desc2_4),"wrong data",K7-K17-K18))</f>
        <v>0</v>
      </c>
      <c r="L19" s="315" t="s">
        <v>7</v>
      </c>
      <c r="M19" s="315" t="s">
        <v>7</v>
      </c>
      <c r="N19" s="315" t="s">
        <v>7</v>
      </c>
      <c r="O19" s="315" t="s">
        <v>7</v>
      </c>
      <c r="P19" s="512"/>
      <c r="Q19" s="96"/>
      <c r="R19" s="100" t="s">
        <v>208</v>
      </c>
      <c r="S19" s="315">
        <f>IF(desc3_4=0,0,
IF(AND(desc_por_ob="Yes",ob3_4&gt;desc3_4),"wrong data",S7-S17-S18))</f>
        <v>0</v>
      </c>
      <c r="T19" s="315" t="s">
        <v>7</v>
      </c>
      <c r="U19" s="315" t="s">
        <v>7</v>
      </c>
      <c r="V19" s="315" t="s">
        <v>7</v>
      </c>
      <c r="W19" s="315" t="s">
        <v>7</v>
      </c>
      <c r="X19" s="512"/>
      <c r="Y19" s="96"/>
      <c r="Z19" s="100" t="s">
        <v>208</v>
      </c>
      <c r="AA19" s="315">
        <f>IF(desc4_4=0,0,
IF(AND(desc_por_ob="Yes",ob4_4&gt;desc4_4),"wrong data",AA7-AA17-AA18))</f>
        <v>0</v>
      </c>
      <c r="AB19" s="315" t="s">
        <v>7</v>
      </c>
      <c r="AC19" s="315" t="s">
        <v>7</v>
      </c>
      <c r="AD19" s="315" t="s">
        <v>7</v>
      </c>
      <c r="AE19" s="315" t="s">
        <v>7</v>
      </c>
      <c r="AF19" s="512"/>
      <c r="AG19" s="96"/>
      <c r="AH19" s="100" t="s">
        <v>208</v>
      </c>
      <c r="AI19" s="315">
        <f>IF(desc5_4=0,0,
IF(AND(desc_por_ob="Yes",ob5_4&gt;desc5_4),"wrong data",AI7-AI17-AI18))</f>
        <v>0</v>
      </c>
      <c r="AJ19" s="315" t="s">
        <v>7</v>
      </c>
      <c r="AK19" s="315" t="s">
        <v>7</v>
      </c>
      <c r="AL19" s="315" t="s">
        <v>7</v>
      </c>
      <c r="AM19" s="315" t="s">
        <v>7</v>
      </c>
      <c r="AN19" s="512"/>
      <c r="AO19" s="96"/>
      <c r="AP19" s="100" t="s">
        <v>208</v>
      </c>
      <c r="AQ19" s="315">
        <f>IF(desc6_4=0,0,
IF(AND(desc_por_ob="Yes",ob6_4&gt;desc6_4),"wrong data",AQ7-AQ17-AQ18))</f>
        <v>0</v>
      </c>
      <c r="AR19" s="315" t="s">
        <v>7</v>
      </c>
      <c r="AS19" s="315" t="s">
        <v>7</v>
      </c>
      <c r="AT19" s="315" t="s">
        <v>7</v>
      </c>
      <c r="AU19" s="315" t="s">
        <v>7</v>
      </c>
      <c r="AV19" s="512"/>
      <c r="AW19" s="96"/>
      <c r="AX19" s="100" t="s">
        <v>208</v>
      </c>
      <c r="AY19" s="315">
        <f>IF(desc7_4=0,0,
IF(AND(desc_por_ob="Yes",ob7_4&gt;desc7_4),"wrong data",AY7-AY17-AY18))</f>
        <v>0</v>
      </c>
      <c r="AZ19" s="315" t="s">
        <v>7</v>
      </c>
      <c r="BA19" s="315" t="s">
        <v>7</v>
      </c>
      <c r="BB19" s="315" t="s">
        <v>7</v>
      </c>
      <c r="BC19" s="315" t="s">
        <v>7</v>
      </c>
      <c r="BD19" s="512"/>
      <c r="BE19" s="96"/>
      <c r="BF19" s="100" t="s">
        <v>208</v>
      </c>
      <c r="BG19" s="315">
        <f>IF(desc8_4=0,0,
IF(AND(desc_por_ob="Yes",ob8_4&gt;desc8_4),"wrong data",BG7-BG17-BG18))</f>
        <v>0</v>
      </c>
      <c r="BH19" s="315" t="s">
        <v>7</v>
      </c>
      <c r="BI19" s="315" t="s">
        <v>7</v>
      </c>
      <c r="BJ19" s="315" t="s">
        <v>7</v>
      </c>
      <c r="BK19" s="315" t="s">
        <v>7</v>
      </c>
      <c r="BL19" s="512"/>
      <c r="BM19" s="96"/>
      <c r="BN19" s="100" t="s">
        <v>208</v>
      </c>
      <c r="BO19" s="315">
        <f>IF(desc9_4=0,0,
IF(AND(desc_por_ob="Yes",ob9_4&gt;desc9_4),"wrong data",BO7-BO17-BO18))</f>
        <v>0</v>
      </c>
      <c r="BP19" s="315" t="s">
        <v>7</v>
      </c>
      <c r="BQ19" s="315" t="s">
        <v>7</v>
      </c>
      <c r="BR19" s="315" t="s">
        <v>7</v>
      </c>
      <c r="BS19" s="315" t="s">
        <v>7</v>
      </c>
      <c r="BT19" s="512"/>
      <c r="BU19" s="96"/>
      <c r="BV19" s="100" t="s">
        <v>208</v>
      </c>
      <c r="BW19" s="315">
        <f>IF(desc10_4=0,0,
IF(AND(desc_por_ob="Yes",ob10_4&gt;desc10_4),"wrong data",BW7-BW17-BW18))</f>
        <v>0</v>
      </c>
      <c r="BX19" s="315" t="s">
        <v>7</v>
      </c>
      <c r="BY19" s="315" t="s">
        <v>7</v>
      </c>
      <c r="BZ19" s="315" t="s">
        <v>7</v>
      </c>
      <c r="CA19" s="315" t="s">
        <v>7</v>
      </c>
      <c r="CB19" s="512"/>
      <c r="CC19" s="96"/>
      <c r="CD19" s="100" t="s">
        <v>208</v>
      </c>
      <c r="CE19" s="315">
        <f>IF(desc11_4=0,0,
IF(AND(desc_por_ob="Yes",ob11_4&gt;desc11_4),"wrong data",CE7-CE17-CE18))</f>
        <v>0</v>
      </c>
      <c r="CF19" s="315" t="s">
        <v>7</v>
      </c>
      <c r="CG19" s="315" t="s">
        <v>7</v>
      </c>
      <c r="CH19" s="315" t="s">
        <v>7</v>
      </c>
      <c r="CI19" s="315" t="s">
        <v>7</v>
      </c>
      <c r="CJ19" s="512"/>
      <c r="CK19" s="96"/>
      <c r="CL19" s="100" t="s">
        <v>208</v>
      </c>
      <c r="CM19" s="315">
        <f>IF(desc12_4=0,0,
IF(AND(desc_por_ob="Yes",ob12_4&gt;desc12_4),"wrong data",CM7-CM17-CM18))</f>
        <v>0</v>
      </c>
      <c r="CN19" s="315" t="s">
        <v>7</v>
      </c>
      <c r="CO19" s="315" t="s">
        <v>7</v>
      </c>
      <c r="CP19" s="315" t="s">
        <v>7</v>
      </c>
      <c r="CQ19" s="315" t="s">
        <v>7</v>
      </c>
      <c r="CR19" s="512"/>
      <c r="CS19" s="96"/>
      <c r="CT19" s="100" t="s">
        <v>208</v>
      </c>
      <c r="CU19" s="315">
        <f>IF(desc13_4=0,0,
IF(AND(desc_por_ob="Yes",ob13_4&gt;desc13_4),"wrong data",CU7-CU17-CU18))</f>
        <v>0</v>
      </c>
      <c r="CV19" s="315" t="s">
        <v>7</v>
      </c>
      <c r="CW19" s="315" t="s">
        <v>7</v>
      </c>
      <c r="CX19" s="315" t="s">
        <v>7</v>
      </c>
      <c r="CY19" s="315" t="s">
        <v>7</v>
      </c>
      <c r="CZ19" s="512"/>
      <c r="DA19" s="96"/>
      <c r="DB19" s="100" t="s">
        <v>208</v>
      </c>
      <c r="DC19" s="315">
        <f>IF(desc14_4=0,0,
IF(AND(desc_por_ob="Yes",ob14_4&gt;desc14_4),"wrong data",DC7-DC17-DC18))</f>
        <v>0</v>
      </c>
      <c r="DD19" s="315" t="s">
        <v>7</v>
      </c>
      <c r="DE19" s="315" t="s">
        <v>7</v>
      </c>
      <c r="DF19" s="315" t="s">
        <v>7</v>
      </c>
      <c r="DG19" s="315" t="s">
        <v>7</v>
      </c>
      <c r="DH19" s="512"/>
      <c r="DI19" s="96"/>
    </row>
    <row r="20" spans="2:113">
      <c r="C20" s="308" t="str">
        <f>IF(AND(SUM(C8:C10)=C7,SUM(C11:C13)=C7,SUM(C14:C16)=C7,SUM(C17:C19)=C7),"ok","conferir")</f>
        <v>ok</v>
      </c>
      <c r="D20" s="308" t="str">
        <f>IF(AND(SUM(D8:D10)=D7,SUM(D11:D13)=D7,SUM(D14:D16)=D7),"ok","conferir")</f>
        <v>ok</v>
      </c>
      <c r="E20" s="308" t="str">
        <f>IF(AND(SUM(E8:E10)=E7,SUM(E11:E13)=E7),"ok","conferir")</f>
        <v>ok</v>
      </c>
      <c r="F20" s="308" t="str">
        <f>IF(AND(SUM(F8:F10)=F7),"ok","conferir")</f>
        <v>ok</v>
      </c>
      <c r="K20" s="308" t="str">
        <f>IF(AND(SUM(K8:K10)=K7,SUM(K11:K13)=K7,SUM(K14:K16)=K7,SUM(K17:K19)=K7),"ok","conferir")</f>
        <v>ok</v>
      </c>
      <c r="L20" s="308" t="str">
        <f>IF(AND(SUM(L8:L10)=L7,SUM(L11:L13)=L7,SUM(L14:L16)=L7),"ok","conferir")</f>
        <v>ok</v>
      </c>
      <c r="M20" s="308" t="str">
        <f>IF(AND(SUM(M8:M10)=M7,SUM(M11:M13)=M7),"ok","conferir")</f>
        <v>ok</v>
      </c>
      <c r="N20" s="308" t="str">
        <f>IF(AND(SUM(N8:N10)=N7),"ok","conferir")</f>
        <v>ok</v>
      </c>
      <c r="S20" s="308" t="str">
        <f>IF(AND(SUM(S8:S10)=S7,SUM(S11:S13)=S7,SUM(S14:S16)=S7,SUM(S17:S19)=S7),"ok","conferir")</f>
        <v>ok</v>
      </c>
      <c r="T20" s="308" t="str">
        <f>IF(AND(SUM(T8:T10)=T7,SUM(T11:T13)=T7,SUM(T14:T16)=T7),"ok","conferir")</f>
        <v>ok</v>
      </c>
      <c r="U20" s="308" t="str">
        <f>IF(AND(SUM(U8:U10)=U7,SUM(U11:U13)=U7),"ok","conferir")</f>
        <v>ok</v>
      </c>
      <c r="V20" s="308" t="str">
        <f>IF(AND(SUM(V8:V10)=V7),"ok","conferir")</f>
        <v>ok</v>
      </c>
      <c r="AA20" s="308" t="str">
        <f>IF(AND(SUM(AA8:AA10)=AA7,SUM(AA11:AA13)=AA7,SUM(AA14:AA16)=AA7,SUM(AA17:AA19)=AA7),"ok","conferir")</f>
        <v>ok</v>
      </c>
      <c r="AB20" s="308" t="str">
        <f>IF(AND(SUM(AB8:AB10)=AB7,SUM(AB11:AB13)=AB7,SUM(AB14:AB16)=AB7),"ok","conferir")</f>
        <v>ok</v>
      </c>
      <c r="AC20" s="308" t="str">
        <f>IF(AND(SUM(AC8:AC10)=AC7,SUM(AC11:AC13)=AC7),"ok","conferir")</f>
        <v>ok</v>
      </c>
      <c r="AD20" s="308" t="str">
        <f>IF(AND(SUM(AD8:AD10)=AD7),"ok","conferir")</f>
        <v>ok</v>
      </c>
      <c r="AI20" s="308" t="str">
        <f>IF(AND(SUM(AI8:AI10)=AI7,SUM(AI11:AI13)=AI7,SUM(AI14:AI16)=AI7,SUM(AI17:AI19)=AI7),"ok","conferir")</f>
        <v>ok</v>
      </c>
      <c r="AJ20" s="308" t="str">
        <f>IF(AND(SUM(AJ8:AJ10)=AJ7,SUM(AJ11:AJ13)=AJ7,SUM(AJ14:AJ16)=AJ7),"ok","conferir")</f>
        <v>ok</v>
      </c>
      <c r="AK20" s="308" t="str">
        <f>IF(AND(SUM(AK8:AK10)=AK7,SUM(AK11:AK13)=AK7),"ok","conferir")</f>
        <v>ok</v>
      </c>
      <c r="AL20" s="308" t="str">
        <f>IF(AND(SUM(AL8:AL10)=AL7),"ok","conferir")</f>
        <v>ok</v>
      </c>
      <c r="AQ20" s="308" t="str">
        <f>IF(AND(SUM(AQ8:AQ10)=AQ7,SUM(AQ11:AQ13)=AQ7,SUM(AQ14:AQ16)=AQ7,SUM(AQ17:AQ19)=AQ7),"ok","conferir")</f>
        <v>ok</v>
      </c>
      <c r="AR20" s="308" t="str">
        <f>IF(AND(SUM(AR8:AR10)=AR7,SUM(AR11:AR13)=AR7,SUM(AR14:AR16)=AR7),"ok","conferir")</f>
        <v>ok</v>
      </c>
      <c r="AS20" s="308" t="str">
        <f>IF(AND(SUM(AS8:AS10)=AS7,SUM(AS11:AS13)=AS7),"ok","conferir")</f>
        <v>ok</v>
      </c>
      <c r="AT20" s="308" t="str">
        <f>IF(AND(SUM(AT8:AT10)=AT7),"ok","conferir")</f>
        <v>ok</v>
      </c>
      <c r="AY20" s="308" t="str">
        <f>IF(AND(SUM(AY8:AY10)=AY7,SUM(AY11:AY13)=AY7,SUM(AY14:AY16)=AY7,SUM(AY17:AY19)=AY7),"ok","conferir")</f>
        <v>ok</v>
      </c>
      <c r="AZ20" s="308" t="str">
        <f>IF(AND(SUM(AZ8:AZ10)=AZ7,SUM(AZ11:AZ13)=AZ7,SUM(AZ14:AZ16)=AZ7),"ok","conferir")</f>
        <v>ok</v>
      </c>
      <c r="BA20" s="308" t="str">
        <f>IF(AND(SUM(BA8:BA10)=BA7,SUM(BA11:BA13)=BA7),"ok","conferir")</f>
        <v>ok</v>
      </c>
      <c r="BB20" s="308" t="str">
        <f>IF(AND(SUM(BB8:BB10)=BB7),"ok","conferir")</f>
        <v>ok</v>
      </c>
      <c r="BG20" s="308" t="str">
        <f>IF(AND(SUM(BG8:BG10)=BG7,SUM(BG11:BG13)=BG7,SUM(BG14:BG16)=BG7,SUM(BG17:BG19)=BG7),"ok","conferir")</f>
        <v>ok</v>
      </c>
      <c r="BH20" s="308" t="str">
        <f>IF(AND(SUM(BH8:BH10)=BH7,SUM(BH11:BH13)=BH7,SUM(BH14:BH16)=BH7),"ok","conferir")</f>
        <v>ok</v>
      </c>
      <c r="BI20" s="308" t="str">
        <f>IF(AND(SUM(BI8:BI10)=BI7,SUM(BI11:BI13)=BI7),"ok","conferir")</f>
        <v>ok</v>
      </c>
      <c r="BJ20" s="308" t="str">
        <f>IF(AND(SUM(BJ8:BJ10)=BJ7),"ok","conferir")</f>
        <v>ok</v>
      </c>
      <c r="BO20" s="308" t="str">
        <f>IF(AND(SUM(BO8:BO10)=BO7,SUM(BO11:BO13)=BO7,SUM(BO14:BO16)=BO7,SUM(BO17:BO19)=BO7),"ok","conferir")</f>
        <v>ok</v>
      </c>
      <c r="BP20" s="308" t="str">
        <f>IF(AND(SUM(BP8:BP10)=BP7,SUM(BP11:BP13)=BP7,SUM(BP14:BP16)=BP7),"ok","conferir")</f>
        <v>ok</v>
      </c>
      <c r="BQ20" s="308" t="str">
        <f>IF(AND(SUM(BQ8:BQ10)=BQ7,SUM(BQ11:BQ13)=BQ7),"ok","conferir")</f>
        <v>ok</v>
      </c>
      <c r="BR20" s="308" t="str">
        <f>IF(AND(SUM(BR8:BR10)=BR7),"ok","conferir")</f>
        <v>ok</v>
      </c>
      <c r="BW20" s="308" t="str">
        <f>IF(AND(SUM(BW8:BW10)=BW7,SUM(BW11:BW13)=BW7,SUM(BW14:BW16)=BW7,SUM(BW17:BW19)=BW7),"ok","conferir")</f>
        <v>ok</v>
      </c>
      <c r="BX20" s="308" t="str">
        <f>IF(AND(SUM(BX8:BX10)=BX7,SUM(BX11:BX13)=BX7,SUM(BX14:BX16)=BX7),"ok","conferir")</f>
        <v>ok</v>
      </c>
      <c r="BY20" s="308" t="str">
        <f>IF(AND(SUM(BY8:BY10)=BY7,SUM(BY11:BY13)=BY7),"ok","conferir")</f>
        <v>ok</v>
      </c>
      <c r="BZ20" s="308" t="str">
        <f>IF(AND(SUM(BZ8:BZ10)=BZ7),"ok","conferir")</f>
        <v>ok</v>
      </c>
      <c r="CE20" s="308" t="str">
        <f>IF(AND(SUM(CE8:CE10)=CE7,SUM(CE11:CE13)=CE7,SUM(CE14:CE16)=CE7,SUM(CE17:CE19)=CE7),"ok","conferir")</f>
        <v>ok</v>
      </c>
      <c r="CF20" s="308" t="str">
        <f>IF(AND(SUM(CF8:CF10)=CF7,SUM(CF11:CF13)=CF7,SUM(CF14:CF16)=CF7),"ok","conferir")</f>
        <v>ok</v>
      </c>
      <c r="CG20" s="308" t="str">
        <f>IF(AND(SUM(CG8:CG10)=CG7,SUM(CG11:CG13)=CG7),"ok","conferir")</f>
        <v>ok</v>
      </c>
      <c r="CH20" s="308" t="str">
        <f>IF(AND(SUM(CH8:CH10)=CH7),"ok","conferir")</f>
        <v>ok</v>
      </c>
      <c r="CM20" s="308" t="str">
        <f>IF(AND(SUM(CM8:CM10)=CM7,SUM(CM11:CM13)=CM7,SUM(CM14:CM16)=CM7,SUM(CM17:CM19)=CM7),"ok","conferir")</f>
        <v>ok</v>
      </c>
      <c r="CN20" s="308" t="str">
        <f>IF(AND(SUM(CN8:CN10)=CN7,SUM(CN11:CN13)=CN7,SUM(CN14:CN16)=CN7),"ok","conferir")</f>
        <v>ok</v>
      </c>
      <c r="CO20" s="308" t="str">
        <f>IF(AND(SUM(CO8:CO10)=CO7,SUM(CO11:CO13)=CO7),"ok","conferir")</f>
        <v>ok</v>
      </c>
      <c r="CP20" s="308" t="str">
        <f>IF(AND(SUM(CP8:CP10)=CP7),"ok","conferir")</f>
        <v>ok</v>
      </c>
      <c r="CU20" s="308" t="str">
        <f>IF(AND(SUM(CU8:CU10)=CU7,SUM(CU11:CU13)=CU7,SUM(CU14:CU16)=CU7,SUM(CU17:CU19)=CU7),"ok","conferir")</f>
        <v>ok</v>
      </c>
      <c r="CV20" s="308" t="str">
        <f>IF(AND(SUM(CV8:CV10)=CV7,SUM(CV11:CV13)=CV7,SUM(CV14:CV16)=CV7),"ok","conferir")</f>
        <v>ok</v>
      </c>
      <c r="CW20" s="308" t="str">
        <f>IF(AND(SUM(CW8:CW10)=CW7,SUM(CW11:CW13)=CW7),"ok","conferir")</f>
        <v>ok</v>
      </c>
      <c r="CX20" s="308" t="str">
        <f>IF(AND(SUM(CX8:CX10)=CX7),"ok","conferir")</f>
        <v>ok</v>
      </c>
      <c r="DC20" s="308" t="str">
        <f>IF(AND(SUM(DC8:DC10)=DC7,SUM(DC11:DC13)=DC7,SUM(DC14:DC16)=DC7,SUM(DC17:DC19)=DC7),"ok","conferir")</f>
        <v>ok</v>
      </c>
      <c r="DD20" s="308" t="str">
        <f>IF(AND(SUM(DD8:DD10)=DD7,SUM(DD11:DD13)=DD7,SUM(DD14:DD16)=DD7),"ok","conferir")</f>
        <v>ok</v>
      </c>
      <c r="DE20" s="308" t="str">
        <f>IF(AND(SUM(DE8:DE10)=DE7,SUM(DE11:DE13)=DE7),"ok","conferir")</f>
        <v>ok</v>
      </c>
      <c r="DF20" s="308" t="str">
        <f>IF(AND(SUM(DF8:DF10)=DF7),"ok","conferir")</f>
        <v>ok</v>
      </c>
    </row>
    <row r="22" spans="2:113" s="81" customFormat="1">
      <c r="B22" s="120"/>
      <c r="C22" s="120"/>
      <c r="D22" s="120"/>
      <c r="E22" s="120"/>
      <c r="F22" s="120"/>
      <c r="G22" s="120"/>
      <c r="H22" s="82"/>
      <c r="I22" s="82"/>
      <c r="J22" s="120"/>
      <c r="K22" s="120"/>
      <c r="L22" s="120"/>
      <c r="M22" s="120"/>
      <c r="N22" s="120"/>
      <c r="O22" s="120"/>
      <c r="P22" s="82"/>
      <c r="Q22" s="82"/>
      <c r="R22" s="120"/>
      <c r="S22" s="120"/>
      <c r="T22" s="120"/>
      <c r="U22" s="120"/>
      <c r="V22" s="120"/>
      <c r="W22" s="120"/>
      <c r="X22" s="82"/>
      <c r="Y22" s="82"/>
      <c r="Z22" s="120"/>
      <c r="AA22" s="120"/>
      <c r="AB22" s="120"/>
      <c r="AC22" s="120"/>
      <c r="AD22" s="120"/>
      <c r="AE22" s="120"/>
      <c r="AF22" s="82"/>
      <c r="AG22" s="82"/>
      <c r="AH22" s="120"/>
      <c r="AI22" s="120"/>
      <c r="AJ22" s="120"/>
      <c r="AK22" s="120"/>
      <c r="AL22" s="120"/>
      <c r="AM22" s="120"/>
      <c r="AN22" s="82"/>
      <c r="AO22" s="82"/>
      <c r="AP22" s="120"/>
      <c r="AQ22" s="120"/>
      <c r="AR22" s="120"/>
      <c r="AS22" s="120"/>
      <c r="AT22" s="120"/>
      <c r="AU22" s="120"/>
      <c r="AV22" s="82"/>
      <c r="AW22" s="82"/>
      <c r="AX22" s="120"/>
      <c r="AY22" s="120"/>
      <c r="AZ22" s="120"/>
      <c r="BA22" s="120"/>
      <c r="BB22" s="120"/>
      <c r="BC22" s="120"/>
      <c r="BD22" s="82"/>
      <c r="BE22" s="82"/>
      <c r="BF22" s="120"/>
      <c r="BG22" s="120"/>
      <c r="BH22" s="120"/>
      <c r="BI22" s="120"/>
      <c r="BJ22" s="120"/>
      <c r="BK22" s="120"/>
      <c r="BL22" s="82"/>
      <c r="BM22" s="82"/>
      <c r="BN22" s="120"/>
      <c r="BO22" s="120"/>
      <c r="BP22" s="120"/>
      <c r="BQ22" s="120"/>
      <c r="BR22" s="120"/>
      <c r="BS22" s="120"/>
      <c r="BT22" s="82"/>
      <c r="BU22" s="82"/>
      <c r="BV22" s="120"/>
      <c r="BW22" s="120"/>
      <c r="BX22" s="120"/>
      <c r="BY22" s="120"/>
      <c r="BZ22" s="120"/>
      <c r="CA22" s="120"/>
      <c r="CB22" s="82"/>
      <c r="CC22" s="82"/>
      <c r="CD22" s="120"/>
      <c r="CE22" s="120"/>
      <c r="CF22" s="120"/>
      <c r="CG22" s="120"/>
      <c r="CH22" s="120"/>
      <c r="CI22" s="120"/>
      <c r="CJ22" s="82"/>
      <c r="CK22" s="82"/>
      <c r="CL22" s="120"/>
      <c r="CM22" s="120"/>
      <c r="CN22" s="120"/>
      <c r="CO22" s="120"/>
      <c r="CP22" s="120"/>
      <c r="CQ22" s="120"/>
      <c r="CR22" s="82"/>
      <c r="CS22" s="82"/>
      <c r="CT22" s="120"/>
      <c r="CU22" s="120"/>
      <c r="CV22" s="120"/>
      <c r="CW22" s="120"/>
      <c r="CX22" s="120"/>
      <c r="CY22" s="120"/>
      <c r="CZ22" s="82"/>
      <c r="DA22" s="82"/>
      <c r="DB22" s="120"/>
      <c r="DC22" s="120"/>
      <c r="DD22" s="120"/>
      <c r="DE22" s="120"/>
      <c r="DF22" s="120"/>
      <c r="DG22" s="120"/>
      <c r="DH22" s="82"/>
      <c r="DI22" s="82"/>
    </row>
    <row r="23" spans="2:113" s="76" customFormat="1" ht="21">
      <c r="B23" s="502" t="str">
        <f>intervencao1</f>
        <v>PET-CT</v>
      </c>
      <c r="C23" s="502"/>
      <c r="D23" s="502"/>
      <c r="E23" s="502"/>
      <c r="F23" s="502"/>
      <c r="G23" s="502"/>
      <c r="H23" s="502"/>
      <c r="I23" s="77"/>
      <c r="J23" s="502">
        <f>intervencao2</f>
        <v>0</v>
      </c>
      <c r="K23" s="502"/>
      <c r="L23" s="502"/>
      <c r="M23" s="502"/>
      <c r="N23" s="502"/>
      <c r="O23" s="502"/>
      <c r="P23" s="502"/>
      <c r="Q23" s="77"/>
      <c r="R23" s="502">
        <f>intervencao3</f>
        <v>0</v>
      </c>
      <c r="S23" s="502"/>
      <c r="T23" s="502"/>
      <c r="U23" s="502"/>
      <c r="V23" s="502"/>
      <c r="W23" s="502"/>
      <c r="X23" s="502"/>
      <c r="Y23" s="77"/>
      <c r="Z23" s="502">
        <f>intervencao4</f>
        <v>0</v>
      </c>
      <c r="AA23" s="502"/>
      <c r="AB23" s="502"/>
      <c r="AC23" s="502"/>
      <c r="AD23" s="502"/>
      <c r="AE23" s="502"/>
      <c r="AF23" s="502"/>
      <c r="AG23" s="77"/>
      <c r="AH23" s="502" t="str">
        <f>comparador1</f>
        <v>CT scan + scintigraphy</v>
      </c>
      <c r="AI23" s="502"/>
      <c r="AJ23" s="502"/>
      <c r="AK23" s="502"/>
      <c r="AL23" s="502"/>
      <c r="AM23" s="502"/>
      <c r="AN23" s="502"/>
      <c r="AO23" s="77"/>
      <c r="AP23" s="502">
        <f>comparador2</f>
        <v>0</v>
      </c>
      <c r="AQ23" s="502"/>
      <c r="AR23" s="502"/>
      <c r="AS23" s="502"/>
      <c r="AT23" s="502"/>
      <c r="AU23" s="502"/>
      <c r="AV23" s="502"/>
      <c r="AW23" s="77"/>
      <c r="AX23" s="502">
        <f>comparador3</f>
        <v>0</v>
      </c>
      <c r="AY23" s="502"/>
      <c r="AZ23" s="502"/>
      <c r="BA23" s="502"/>
      <c r="BB23" s="502"/>
      <c r="BC23" s="502"/>
      <c r="BD23" s="502"/>
      <c r="BE23" s="77"/>
      <c r="BF23" s="502">
        <f>comparador4</f>
        <v>0</v>
      </c>
      <c r="BG23" s="502"/>
      <c r="BH23" s="502"/>
      <c r="BI23" s="502"/>
      <c r="BJ23" s="502"/>
      <c r="BK23" s="502"/>
      <c r="BL23" s="502"/>
      <c r="BM23" s="77"/>
      <c r="BN23" s="502">
        <f>comparador5</f>
        <v>0</v>
      </c>
      <c r="BO23" s="502"/>
      <c r="BP23" s="502"/>
      <c r="BQ23" s="502"/>
      <c r="BR23" s="502"/>
      <c r="BS23" s="502"/>
      <c r="BT23" s="502"/>
      <c r="BU23" s="77"/>
      <c r="BV23" s="502">
        <f>comparador6</f>
        <v>0</v>
      </c>
      <c r="BW23" s="502"/>
      <c r="BX23" s="502"/>
      <c r="BY23" s="502"/>
      <c r="BZ23" s="502"/>
      <c r="CA23" s="502"/>
      <c r="CB23" s="502"/>
      <c r="CC23" s="77"/>
      <c r="CD23" s="502">
        <f>comparador7</f>
        <v>0</v>
      </c>
      <c r="CE23" s="502"/>
      <c r="CF23" s="502"/>
      <c r="CG23" s="502"/>
      <c r="CH23" s="502"/>
      <c r="CI23" s="502"/>
      <c r="CJ23" s="502"/>
      <c r="CK23" s="77"/>
      <c r="CL23" s="502">
        <f>comparador8</f>
        <v>0</v>
      </c>
      <c r="CM23" s="502"/>
      <c r="CN23" s="502"/>
      <c r="CO23" s="502"/>
      <c r="CP23" s="502"/>
      <c r="CQ23" s="502"/>
      <c r="CR23" s="502"/>
      <c r="CS23" s="77"/>
      <c r="CT23" s="502">
        <f>comparador9</f>
        <v>0</v>
      </c>
      <c r="CU23" s="502"/>
      <c r="CV23" s="502"/>
      <c r="CW23" s="502"/>
      <c r="CX23" s="502"/>
      <c r="CY23" s="502"/>
      <c r="CZ23" s="502"/>
      <c r="DA23" s="77"/>
      <c r="DB23" s="502">
        <f>comparador10</f>
        <v>0</v>
      </c>
      <c r="DC23" s="502"/>
      <c r="DD23" s="502"/>
      <c r="DE23" s="502"/>
      <c r="DF23" s="502"/>
      <c r="DG23" s="502"/>
      <c r="DH23" s="502"/>
      <c r="DI23" s="77"/>
    </row>
    <row r="24" spans="2:113" ht="18">
      <c r="B24" s="503" t="s">
        <v>180</v>
      </c>
      <c r="C24" s="503"/>
      <c r="D24" s="503"/>
      <c r="E24" s="503"/>
      <c r="F24" s="503"/>
      <c r="G24" s="503"/>
      <c r="H24" s="71"/>
      <c r="I24" s="71"/>
      <c r="J24" s="503" t="s">
        <v>180</v>
      </c>
      <c r="K24" s="503"/>
      <c r="L24" s="503"/>
      <c r="M24" s="503"/>
      <c r="N24" s="503"/>
      <c r="O24" s="503"/>
      <c r="P24" s="71"/>
      <c r="Q24" s="71"/>
      <c r="R24" s="503" t="s">
        <v>180</v>
      </c>
      <c r="S24" s="503"/>
      <c r="T24" s="503"/>
      <c r="U24" s="503"/>
      <c r="V24" s="503"/>
      <c r="W24" s="503"/>
      <c r="X24" s="71"/>
      <c r="Y24" s="71"/>
      <c r="Z24" s="503" t="s">
        <v>180</v>
      </c>
      <c r="AA24" s="503"/>
      <c r="AB24" s="503"/>
      <c r="AC24" s="503"/>
      <c r="AD24" s="503"/>
      <c r="AE24" s="503"/>
      <c r="AF24" s="71"/>
      <c r="AG24" s="71"/>
      <c r="AH24" s="503" t="s">
        <v>180</v>
      </c>
      <c r="AI24" s="503"/>
      <c r="AJ24" s="503"/>
      <c r="AK24" s="503"/>
      <c r="AL24" s="503"/>
      <c r="AM24" s="503"/>
      <c r="AN24" s="71"/>
      <c r="AO24" s="71"/>
      <c r="AP24" s="503" t="s">
        <v>180</v>
      </c>
      <c r="AQ24" s="503"/>
      <c r="AR24" s="503"/>
      <c r="AS24" s="503"/>
      <c r="AT24" s="503"/>
      <c r="AU24" s="503"/>
      <c r="AV24" s="71"/>
      <c r="AW24" s="71"/>
      <c r="AX24" s="503" t="s">
        <v>180</v>
      </c>
      <c r="AY24" s="503"/>
      <c r="AZ24" s="503"/>
      <c r="BA24" s="503"/>
      <c r="BB24" s="503"/>
      <c r="BC24" s="503"/>
      <c r="BD24" s="71"/>
      <c r="BE24" s="71"/>
      <c r="BF24" s="503" t="s">
        <v>180</v>
      </c>
      <c r="BG24" s="503"/>
      <c r="BH24" s="503"/>
      <c r="BI24" s="503"/>
      <c r="BJ24" s="503"/>
      <c r="BK24" s="503"/>
      <c r="BL24" s="71"/>
      <c r="BM24" s="71"/>
      <c r="BN24" s="503" t="s">
        <v>180</v>
      </c>
      <c r="BO24" s="503"/>
      <c r="BP24" s="503"/>
      <c r="BQ24" s="503"/>
      <c r="BR24" s="503"/>
      <c r="BS24" s="503"/>
      <c r="BT24" s="71"/>
      <c r="BU24" s="71"/>
      <c r="BV24" s="503" t="s">
        <v>180</v>
      </c>
      <c r="BW24" s="503"/>
      <c r="BX24" s="503"/>
      <c r="BY24" s="503"/>
      <c r="BZ24" s="503"/>
      <c r="CA24" s="503"/>
      <c r="CB24" s="71"/>
      <c r="CC24" s="71"/>
      <c r="CD24" s="503" t="s">
        <v>180</v>
      </c>
      <c r="CE24" s="503"/>
      <c r="CF24" s="503"/>
      <c r="CG24" s="503"/>
      <c r="CH24" s="503"/>
      <c r="CI24" s="503"/>
      <c r="CJ24" s="71"/>
      <c r="CK24" s="71"/>
      <c r="CL24" s="503" t="s">
        <v>180</v>
      </c>
      <c r="CM24" s="503"/>
      <c r="CN24" s="503"/>
      <c r="CO24" s="503"/>
      <c r="CP24" s="503"/>
      <c r="CQ24" s="503"/>
      <c r="CR24" s="71"/>
      <c r="CS24" s="71"/>
      <c r="CT24" s="503" t="s">
        <v>180</v>
      </c>
      <c r="CU24" s="503"/>
      <c r="CV24" s="503"/>
      <c r="CW24" s="503"/>
      <c r="CX24" s="503"/>
      <c r="CY24" s="503"/>
      <c r="CZ24" s="71"/>
      <c r="DA24" s="71"/>
      <c r="DB24" s="503" t="s">
        <v>180</v>
      </c>
      <c r="DC24" s="503"/>
      <c r="DD24" s="503"/>
      <c r="DE24" s="503"/>
      <c r="DF24" s="503"/>
      <c r="DG24" s="503"/>
      <c r="DH24" s="71"/>
      <c r="DI24" s="71"/>
    </row>
    <row r="25" spans="2:113" ht="15" thickBot="1">
      <c r="B25" s="83"/>
      <c r="C25" s="83"/>
      <c r="D25" s="83"/>
      <c r="E25" s="83"/>
      <c r="F25" s="83"/>
      <c r="G25" s="83"/>
      <c r="J25" s="83"/>
      <c r="K25" s="83"/>
      <c r="L25" s="83"/>
      <c r="M25" s="83"/>
      <c r="N25" s="83"/>
      <c r="O25" s="83"/>
      <c r="R25" s="83"/>
      <c r="S25" s="83"/>
      <c r="T25" s="83"/>
      <c r="U25" s="83"/>
      <c r="V25" s="83"/>
      <c r="W25" s="83"/>
      <c r="Z25" s="83"/>
      <c r="AA25" s="83"/>
      <c r="AB25" s="83"/>
      <c r="AC25" s="83"/>
      <c r="AD25" s="83"/>
      <c r="AE25" s="83"/>
      <c r="AH25" s="83"/>
      <c r="AI25" s="83"/>
      <c r="AJ25" s="83"/>
      <c r="AK25" s="83"/>
      <c r="AL25" s="83"/>
      <c r="AM25" s="83"/>
      <c r="AP25" s="83"/>
      <c r="AQ25" s="83"/>
      <c r="AR25" s="83"/>
      <c r="AS25" s="83"/>
      <c r="AT25" s="83"/>
      <c r="AU25" s="83"/>
      <c r="AX25" s="83"/>
      <c r="AY25" s="83"/>
      <c r="AZ25" s="83"/>
      <c r="BA25" s="83"/>
      <c r="BB25" s="83"/>
      <c r="BC25" s="83"/>
      <c r="BF25" s="83"/>
      <c r="BG25" s="83"/>
      <c r="BH25" s="83"/>
      <c r="BI25" s="83"/>
      <c r="BJ25" s="83"/>
      <c r="BK25" s="83"/>
      <c r="BN25" s="83"/>
      <c r="BO25" s="83"/>
      <c r="BP25" s="83"/>
      <c r="BQ25" s="83"/>
      <c r="BR25" s="83"/>
      <c r="BS25" s="83"/>
      <c r="BV25" s="83"/>
      <c r="BW25" s="83"/>
      <c r="BX25" s="83"/>
      <c r="BY25" s="83"/>
      <c r="BZ25" s="83"/>
      <c r="CA25" s="83"/>
      <c r="CD25" s="83"/>
      <c r="CE25" s="83"/>
      <c r="CF25" s="83"/>
      <c r="CG25" s="83"/>
      <c r="CH25" s="83"/>
      <c r="CI25" s="83"/>
      <c r="CL25" s="83"/>
      <c r="CM25" s="83"/>
      <c r="CN25" s="83"/>
      <c r="CO25" s="83"/>
      <c r="CP25" s="83"/>
      <c r="CQ25" s="83"/>
      <c r="CT25" s="83"/>
      <c r="CU25" s="83"/>
      <c r="CV25" s="83"/>
      <c r="CW25" s="83"/>
      <c r="CX25" s="83"/>
      <c r="CY25" s="83"/>
      <c r="DB25" s="83"/>
      <c r="DC25" s="83"/>
      <c r="DD25" s="83"/>
      <c r="DE25" s="83"/>
      <c r="DF25" s="83"/>
      <c r="DG25" s="83"/>
    </row>
    <row r="26" spans="2:113" ht="15" thickBot="1">
      <c r="B26" s="504" t="str">
        <f>cen_atual</f>
        <v>Without PET-CT</v>
      </c>
      <c r="C26" s="505"/>
      <c r="D26" s="505"/>
      <c r="E26" s="505"/>
      <c r="F26" s="505"/>
      <c r="G26" s="506"/>
      <c r="J26" s="504" t="str">
        <f>cen_atual</f>
        <v>Without PET-CT</v>
      </c>
      <c r="K26" s="505"/>
      <c r="L26" s="505"/>
      <c r="M26" s="505"/>
      <c r="N26" s="505"/>
      <c r="O26" s="506"/>
      <c r="R26" s="504" t="str">
        <f>cen_atual</f>
        <v>Without PET-CT</v>
      </c>
      <c r="S26" s="505"/>
      <c r="T26" s="505"/>
      <c r="U26" s="505"/>
      <c r="V26" s="505"/>
      <c r="W26" s="506"/>
      <c r="Z26" s="504" t="str">
        <f>cen_atual</f>
        <v>Without PET-CT</v>
      </c>
      <c r="AA26" s="505"/>
      <c r="AB26" s="505"/>
      <c r="AC26" s="505"/>
      <c r="AD26" s="505"/>
      <c r="AE26" s="506"/>
      <c r="AH26" s="504" t="str">
        <f>cen_atual</f>
        <v>Without PET-CT</v>
      </c>
      <c r="AI26" s="505"/>
      <c r="AJ26" s="505"/>
      <c r="AK26" s="505"/>
      <c r="AL26" s="505"/>
      <c r="AM26" s="506"/>
      <c r="AP26" s="504" t="str">
        <f>cen_atual</f>
        <v>Without PET-CT</v>
      </c>
      <c r="AQ26" s="505"/>
      <c r="AR26" s="505"/>
      <c r="AS26" s="505"/>
      <c r="AT26" s="505"/>
      <c r="AU26" s="506"/>
      <c r="AX26" s="504" t="str">
        <f>cen_atual</f>
        <v>Without PET-CT</v>
      </c>
      <c r="AY26" s="505"/>
      <c r="AZ26" s="505"/>
      <c r="BA26" s="505"/>
      <c r="BB26" s="505"/>
      <c r="BC26" s="506"/>
      <c r="BF26" s="504" t="str">
        <f>cen_atual</f>
        <v>Without PET-CT</v>
      </c>
      <c r="BG26" s="505"/>
      <c r="BH26" s="505"/>
      <c r="BI26" s="505"/>
      <c r="BJ26" s="505"/>
      <c r="BK26" s="506"/>
      <c r="BN26" s="504" t="str">
        <f>cen_atual</f>
        <v>Without PET-CT</v>
      </c>
      <c r="BO26" s="505"/>
      <c r="BP26" s="505"/>
      <c r="BQ26" s="505"/>
      <c r="BR26" s="505"/>
      <c r="BS26" s="506"/>
      <c r="BV26" s="504" t="str">
        <f>cen_atual</f>
        <v>Without PET-CT</v>
      </c>
      <c r="BW26" s="505"/>
      <c r="BX26" s="505"/>
      <c r="BY26" s="505"/>
      <c r="BZ26" s="505"/>
      <c r="CA26" s="506"/>
      <c r="CD26" s="504" t="str">
        <f>cen_atual</f>
        <v>Without PET-CT</v>
      </c>
      <c r="CE26" s="505"/>
      <c r="CF26" s="505"/>
      <c r="CG26" s="505"/>
      <c r="CH26" s="505"/>
      <c r="CI26" s="506"/>
      <c r="CL26" s="504" t="str">
        <f>cen_atual</f>
        <v>Without PET-CT</v>
      </c>
      <c r="CM26" s="505"/>
      <c r="CN26" s="505"/>
      <c r="CO26" s="505"/>
      <c r="CP26" s="505"/>
      <c r="CQ26" s="506"/>
      <c r="CT26" s="504" t="str">
        <f>cen_atual</f>
        <v>Without PET-CT</v>
      </c>
      <c r="CU26" s="505"/>
      <c r="CV26" s="505"/>
      <c r="CW26" s="505"/>
      <c r="CX26" s="505"/>
      <c r="CY26" s="506"/>
      <c r="DB26" s="504" t="str">
        <f>cen_atual</f>
        <v>Without PET-CT</v>
      </c>
      <c r="DC26" s="505"/>
      <c r="DD26" s="505"/>
      <c r="DE26" s="505"/>
      <c r="DF26" s="505"/>
      <c r="DG26" s="506"/>
    </row>
    <row r="27" spans="2:113">
      <c r="B27" s="84"/>
      <c r="C27" s="101">
        <f>ano_1</f>
        <v>2024</v>
      </c>
      <c r="D27" s="101">
        <f>C27+1</f>
        <v>2025</v>
      </c>
      <c r="E27" s="101">
        <f t="shared" ref="E27:G27" si="0">D27+1</f>
        <v>2026</v>
      </c>
      <c r="F27" s="101">
        <f t="shared" si="0"/>
        <v>2027</v>
      </c>
      <c r="G27" s="102">
        <f t="shared" si="0"/>
        <v>2028</v>
      </c>
      <c r="J27" s="84"/>
      <c r="K27" s="101">
        <f>ano_1</f>
        <v>2024</v>
      </c>
      <c r="L27" s="101">
        <f>K27+1</f>
        <v>2025</v>
      </c>
      <c r="M27" s="101">
        <f t="shared" ref="M27" si="1">L27+1</f>
        <v>2026</v>
      </c>
      <c r="N27" s="101">
        <f t="shared" ref="N27" si="2">M27+1</f>
        <v>2027</v>
      </c>
      <c r="O27" s="102">
        <f t="shared" ref="O27" si="3">N27+1</f>
        <v>2028</v>
      </c>
      <c r="R27" s="84"/>
      <c r="S27" s="101">
        <f>ano_1</f>
        <v>2024</v>
      </c>
      <c r="T27" s="101">
        <f>S27+1</f>
        <v>2025</v>
      </c>
      <c r="U27" s="101">
        <f t="shared" ref="U27" si="4">T27+1</f>
        <v>2026</v>
      </c>
      <c r="V27" s="101">
        <f t="shared" ref="V27" si="5">U27+1</f>
        <v>2027</v>
      </c>
      <c r="W27" s="102">
        <f t="shared" ref="W27" si="6">V27+1</f>
        <v>2028</v>
      </c>
      <c r="Z27" s="84"/>
      <c r="AA27" s="101">
        <f>ano_1</f>
        <v>2024</v>
      </c>
      <c r="AB27" s="101">
        <f>AA27+1</f>
        <v>2025</v>
      </c>
      <c r="AC27" s="101">
        <f t="shared" ref="AC27" si="7">AB27+1</f>
        <v>2026</v>
      </c>
      <c r="AD27" s="101">
        <f t="shared" ref="AD27" si="8">AC27+1</f>
        <v>2027</v>
      </c>
      <c r="AE27" s="102">
        <f t="shared" ref="AE27" si="9">AD27+1</f>
        <v>2028</v>
      </c>
      <c r="AH27" s="84"/>
      <c r="AI27" s="101">
        <f>ano_1</f>
        <v>2024</v>
      </c>
      <c r="AJ27" s="101">
        <f>AI27+1</f>
        <v>2025</v>
      </c>
      <c r="AK27" s="101">
        <f t="shared" ref="AK27" si="10">AJ27+1</f>
        <v>2026</v>
      </c>
      <c r="AL27" s="101">
        <f t="shared" ref="AL27" si="11">AK27+1</f>
        <v>2027</v>
      </c>
      <c r="AM27" s="102">
        <f t="shared" ref="AM27" si="12">AL27+1</f>
        <v>2028</v>
      </c>
      <c r="AP27" s="84"/>
      <c r="AQ27" s="101">
        <f>ano_1</f>
        <v>2024</v>
      </c>
      <c r="AR27" s="101">
        <f>AQ27+1</f>
        <v>2025</v>
      </c>
      <c r="AS27" s="101">
        <f t="shared" ref="AS27" si="13">AR27+1</f>
        <v>2026</v>
      </c>
      <c r="AT27" s="101">
        <f t="shared" ref="AT27" si="14">AS27+1</f>
        <v>2027</v>
      </c>
      <c r="AU27" s="102">
        <f t="shared" ref="AU27" si="15">AT27+1</f>
        <v>2028</v>
      </c>
      <c r="AX27" s="84"/>
      <c r="AY27" s="101">
        <f>ano_1</f>
        <v>2024</v>
      </c>
      <c r="AZ27" s="101">
        <f>AY27+1</f>
        <v>2025</v>
      </c>
      <c r="BA27" s="101">
        <f t="shared" ref="BA27" si="16">AZ27+1</f>
        <v>2026</v>
      </c>
      <c r="BB27" s="101">
        <f t="shared" ref="BB27" si="17">BA27+1</f>
        <v>2027</v>
      </c>
      <c r="BC27" s="102">
        <f t="shared" ref="BC27" si="18">BB27+1</f>
        <v>2028</v>
      </c>
      <c r="BF27" s="84"/>
      <c r="BG27" s="101">
        <f>ano_1</f>
        <v>2024</v>
      </c>
      <c r="BH27" s="101">
        <f>BG27+1</f>
        <v>2025</v>
      </c>
      <c r="BI27" s="101">
        <f t="shared" ref="BI27" si="19">BH27+1</f>
        <v>2026</v>
      </c>
      <c r="BJ27" s="101">
        <f t="shared" ref="BJ27" si="20">BI27+1</f>
        <v>2027</v>
      </c>
      <c r="BK27" s="102">
        <f t="shared" ref="BK27" si="21">BJ27+1</f>
        <v>2028</v>
      </c>
      <c r="BN27" s="84"/>
      <c r="BO27" s="101">
        <f>ano_1</f>
        <v>2024</v>
      </c>
      <c r="BP27" s="101">
        <f>BO27+1</f>
        <v>2025</v>
      </c>
      <c r="BQ27" s="101">
        <f t="shared" ref="BQ27" si="22">BP27+1</f>
        <v>2026</v>
      </c>
      <c r="BR27" s="101">
        <f t="shared" ref="BR27" si="23">BQ27+1</f>
        <v>2027</v>
      </c>
      <c r="BS27" s="102">
        <f t="shared" ref="BS27" si="24">BR27+1</f>
        <v>2028</v>
      </c>
      <c r="BV27" s="84"/>
      <c r="BW27" s="101">
        <f>ano_1</f>
        <v>2024</v>
      </c>
      <c r="BX27" s="101">
        <f>BW27+1</f>
        <v>2025</v>
      </c>
      <c r="BY27" s="101">
        <f t="shared" ref="BY27" si="25">BX27+1</f>
        <v>2026</v>
      </c>
      <c r="BZ27" s="101">
        <f t="shared" ref="BZ27" si="26">BY27+1</f>
        <v>2027</v>
      </c>
      <c r="CA27" s="102">
        <f t="shared" ref="CA27" si="27">BZ27+1</f>
        <v>2028</v>
      </c>
      <c r="CD27" s="84"/>
      <c r="CE27" s="101">
        <f>ano_1</f>
        <v>2024</v>
      </c>
      <c r="CF27" s="101">
        <f>CE27+1</f>
        <v>2025</v>
      </c>
      <c r="CG27" s="101">
        <f t="shared" ref="CG27" si="28">CF27+1</f>
        <v>2026</v>
      </c>
      <c r="CH27" s="101">
        <f t="shared" ref="CH27" si="29">CG27+1</f>
        <v>2027</v>
      </c>
      <c r="CI27" s="102">
        <f t="shared" ref="CI27" si="30">CH27+1</f>
        <v>2028</v>
      </c>
      <c r="CL27" s="84"/>
      <c r="CM27" s="101">
        <f>ano_1</f>
        <v>2024</v>
      </c>
      <c r="CN27" s="101">
        <f>CM27+1</f>
        <v>2025</v>
      </c>
      <c r="CO27" s="101">
        <f t="shared" ref="CO27" si="31">CN27+1</f>
        <v>2026</v>
      </c>
      <c r="CP27" s="101">
        <f t="shared" ref="CP27" si="32">CO27+1</f>
        <v>2027</v>
      </c>
      <c r="CQ27" s="102">
        <f t="shared" ref="CQ27" si="33">CP27+1</f>
        <v>2028</v>
      </c>
      <c r="CT27" s="84"/>
      <c r="CU27" s="101">
        <f>ano_1</f>
        <v>2024</v>
      </c>
      <c r="CV27" s="101">
        <f>CU27+1</f>
        <v>2025</v>
      </c>
      <c r="CW27" s="101">
        <f t="shared" ref="CW27" si="34">CV27+1</f>
        <v>2026</v>
      </c>
      <c r="CX27" s="101">
        <f t="shared" ref="CX27" si="35">CW27+1</f>
        <v>2027</v>
      </c>
      <c r="CY27" s="102">
        <f t="shared" ref="CY27" si="36">CX27+1</f>
        <v>2028</v>
      </c>
      <c r="DB27" s="84"/>
      <c r="DC27" s="101">
        <f>ano_1</f>
        <v>2024</v>
      </c>
      <c r="DD27" s="101">
        <f>DC27+1</f>
        <v>2025</v>
      </c>
      <c r="DE27" s="101">
        <f t="shared" ref="DE27" si="37">DD27+1</f>
        <v>2026</v>
      </c>
      <c r="DF27" s="101">
        <f t="shared" ref="DF27" si="38">DE27+1</f>
        <v>2027</v>
      </c>
      <c r="DG27" s="102">
        <f t="shared" ref="DG27" si="39">DF27+1</f>
        <v>2028</v>
      </c>
    </row>
    <row r="28" spans="2:113">
      <c r="B28" s="87" t="s">
        <v>170</v>
      </c>
      <c r="C28" s="80">
        <f>C$7*'Mkt share'!$C$22</f>
        <v>0</v>
      </c>
      <c r="D28" s="80">
        <f>C$8*'Mkt share'!$C$22</f>
        <v>0</v>
      </c>
      <c r="E28" s="80">
        <f>C$11*'Mkt share'!$C$22</f>
        <v>0</v>
      </c>
      <c r="F28" s="80">
        <f>C$14*'Mkt share'!$C$22</f>
        <v>0</v>
      </c>
      <c r="G28" s="88">
        <f>C$17*'Mkt share'!$C$22</f>
        <v>0</v>
      </c>
      <c r="J28" s="87" t="s">
        <v>170</v>
      </c>
      <c r="K28" s="80">
        <f>K$7*'Mkt share'!$C$23</f>
        <v>0</v>
      </c>
      <c r="L28" s="80">
        <f>K$8*'Mkt share'!$C$23</f>
        <v>0</v>
      </c>
      <c r="M28" s="80">
        <f>K$11*'Mkt share'!$C$23</f>
        <v>0</v>
      </c>
      <c r="N28" s="80">
        <f>K$14*'Mkt share'!$C$23</f>
        <v>0</v>
      </c>
      <c r="O28" s="88">
        <f>K$17*'Mkt share'!$C$23</f>
        <v>0</v>
      </c>
      <c r="R28" s="87" t="s">
        <v>170</v>
      </c>
      <c r="S28" s="80">
        <f>S$7*'Mkt share'!$C$24</f>
        <v>0</v>
      </c>
      <c r="T28" s="80">
        <f>S$8*'Mkt share'!$C$24</f>
        <v>0</v>
      </c>
      <c r="U28" s="80">
        <f>S$11*'Mkt share'!$C$24</f>
        <v>0</v>
      </c>
      <c r="V28" s="80">
        <f>S$14*'Mkt share'!$C$24</f>
        <v>0</v>
      </c>
      <c r="W28" s="88">
        <f>S$17*'Mkt share'!$C$24</f>
        <v>0</v>
      </c>
      <c r="Z28" s="87" t="s">
        <v>170</v>
      </c>
      <c r="AA28" s="80">
        <f>AA$7*'Mkt share'!$C$25</f>
        <v>0</v>
      </c>
      <c r="AB28" s="80">
        <f>AA$8*'Mkt share'!$C$25</f>
        <v>0</v>
      </c>
      <c r="AC28" s="80">
        <f>AA$11*'Mkt share'!$C$25</f>
        <v>0</v>
      </c>
      <c r="AD28" s="80">
        <f>AA$14*'Mkt share'!$C$25</f>
        <v>0</v>
      </c>
      <c r="AE28" s="88">
        <f>AA$17*'Mkt share'!$C$25</f>
        <v>0</v>
      </c>
      <c r="AH28" s="87" t="s">
        <v>170</v>
      </c>
      <c r="AI28" s="80">
        <f>AI$7*'Mkt share'!$C$26</f>
        <v>4950.1446658799996</v>
      </c>
      <c r="AJ28" s="80">
        <f>AI$8*'Mkt share'!$C$26</f>
        <v>4950.1446658799996</v>
      </c>
      <c r="AK28" s="80">
        <f>AI$11*'Mkt share'!$C$26</f>
        <v>4950.1446658799996</v>
      </c>
      <c r="AL28" s="80">
        <f>AI$14*'Mkt share'!$C$26</f>
        <v>4950.1446658799996</v>
      </c>
      <c r="AM28" s="88">
        <f>AI$17*'Mkt share'!$C$26</f>
        <v>4950.1446658799996</v>
      </c>
      <c r="AP28" s="87" t="s">
        <v>170</v>
      </c>
      <c r="AQ28" s="80">
        <f>AQ$7*'Mkt share'!$C$27</f>
        <v>0</v>
      </c>
      <c r="AR28" s="80">
        <f>AQ$8*'Mkt share'!$C$27</f>
        <v>0</v>
      </c>
      <c r="AS28" s="80">
        <f>AQ$11*'Mkt share'!$C$27</f>
        <v>0</v>
      </c>
      <c r="AT28" s="80">
        <f>AQ$14*'Mkt share'!$C$27</f>
        <v>0</v>
      </c>
      <c r="AU28" s="88">
        <f>AQ$17*'Mkt share'!$C$27</f>
        <v>0</v>
      </c>
      <c r="AX28" s="87" t="s">
        <v>170</v>
      </c>
      <c r="AY28" s="80">
        <f>AY$7*'Mkt share'!$C$28</f>
        <v>0</v>
      </c>
      <c r="AZ28" s="80">
        <f>AY$8*'Mkt share'!$C$28</f>
        <v>0</v>
      </c>
      <c r="BA28" s="80">
        <f>AY$11*'Mkt share'!$C$28</f>
        <v>0</v>
      </c>
      <c r="BB28" s="80">
        <f>AY$14*'Mkt share'!$C$28</f>
        <v>0</v>
      </c>
      <c r="BC28" s="88">
        <f>AY$17*'Mkt share'!$C$28</f>
        <v>0</v>
      </c>
      <c r="BF28" s="87" t="s">
        <v>170</v>
      </c>
      <c r="BG28" s="80">
        <f>BG$7*'Mkt share'!$C$29</f>
        <v>0</v>
      </c>
      <c r="BH28" s="80">
        <f>BG$8*'Mkt share'!$C$29</f>
        <v>0</v>
      </c>
      <c r="BI28" s="80">
        <f>BG$11*'Mkt share'!$C$29</f>
        <v>0</v>
      </c>
      <c r="BJ28" s="80">
        <f>BG$14*'Mkt share'!$C$29</f>
        <v>0</v>
      </c>
      <c r="BK28" s="88">
        <f>BG$17*'Mkt share'!$C$29</f>
        <v>0</v>
      </c>
      <c r="BN28" s="87" t="s">
        <v>170</v>
      </c>
      <c r="BO28" s="80">
        <f>BO$7*'Mkt share'!$C$30</f>
        <v>0</v>
      </c>
      <c r="BP28" s="80">
        <f>BO$8*'Mkt share'!$C$30</f>
        <v>0</v>
      </c>
      <c r="BQ28" s="80">
        <f>BO$11*'Mkt share'!$C$30</f>
        <v>0</v>
      </c>
      <c r="BR28" s="80">
        <f>BO$14*'Mkt share'!$C$30</f>
        <v>0</v>
      </c>
      <c r="BS28" s="88">
        <f>BO$17*'Mkt share'!$C$30</f>
        <v>0</v>
      </c>
      <c r="BV28" s="87" t="s">
        <v>170</v>
      </c>
      <c r="BW28" s="80">
        <f>BW$7*'Mkt share'!$C$31</f>
        <v>0</v>
      </c>
      <c r="BX28" s="80">
        <f>BW$8*'Mkt share'!$C$31</f>
        <v>0</v>
      </c>
      <c r="BY28" s="80">
        <f>BW$11*'Mkt share'!$C$31</f>
        <v>0</v>
      </c>
      <c r="BZ28" s="80">
        <f>BW$14*'Mkt share'!$C$31</f>
        <v>0</v>
      </c>
      <c r="CA28" s="88">
        <f>BW$17*'Mkt share'!$C$31</f>
        <v>0</v>
      </c>
      <c r="CD28" s="87" t="s">
        <v>170</v>
      </c>
      <c r="CE28" s="80">
        <f>CE$7*'Mkt share'!$C$32</f>
        <v>0</v>
      </c>
      <c r="CF28" s="80">
        <f>CE$8*'Mkt share'!$C$32</f>
        <v>0</v>
      </c>
      <c r="CG28" s="80">
        <f>CE$11*'Mkt share'!$C$32</f>
        <v>0</v>
      </c>
      <c r="CH28" s="80">
        <f>CE$14*'Mkt share'!$C$32</f>
        <v>0</v>
      </c>
      <c r="CI28" s="88">
        <f>CE$17*'Mkt share'!$C$32</f>
        <v>0</v>
      </c>
      <c r="CL28" s="87" t="s">
        <v>170</v>
      </c>
      <c r="CM28" s="80">
        <f>CM$7*'Mkt share'!$C$33</f>
        <v>0</v>
      </c>
      <c r="CN28" s="80">
        <f>CM$8*'Mkt share'!$C$33</f>
        <v>0</v>
      </c>
      <c r="CO28" s="80">
        <f>CM$11*'Mkt share'!$C$33</f>
        <v>0</v>
      </c>
      <c r="CP28" s="80">
        <f>CM$14*'Mkt share'!$C$33</f>
        <v>0</v>
      </c>
      <c r="CQ28" s="88">
        <f>CM$17*'Mkt share'!$C$33</f>
        <v>0</v>
      </c>
      <c r="CT28" s="87" t="s">
        <v>170</v>
      </c>
      <c r="CU28" s="80">
        <f>CU$7*'Mkt share'!$C$34</f>
        <v>0</v>
      </c>
      <c r="CV28" s="80">
        <f>CU$8*'Mkt share'!$C$34</f>
        <v>0</v>
      </c>
      <c r="CW28" s="80">
        <f>CU$11*'Mkt share'!$C$34</f>
        <v>0</v>
      </c>
      <c r="CX28" s="80">
        <f>CU$14*'Mkt share'!$C$34</f>
        <v>0</v>
      </c>
      <c r="CY28" s="88">
        <f>CU$17*'Mkt share'!$C$34</f>
        <v>0</v>
      </c>
      <c r="DB28" s="87" t="s">
        <v>170</v>
      </c>
      <c r="DC28" s="80">
        <f>DC$7*'Mkt share'!$C$35</f>
        <v>0</v>
      </c>
      <c r="DD28" s="80">
        <f>DC$8*'Mkt share'!$C$35</f>
        <v>0</v>
      </c>
      <c r="DE28" s="80">
        <f>DC$11*'Mkt share'!$C$35</f>
        <v>0</v>
      </c>
      <c r="DF28" s="80">
        <f>DC$14*'Mkt share'!$C$35</f>
        <v>0</v>
      </c>
      <c r="DG28" s="88">
        <f>DC$17*'Mkt share'!$C$35</f>
        <v>0</v>
      </c>
    </row>
    <row r="29" spans="2:113">
      <c r="B29" s="87" t="s">
        <v>175</v>
      </c>
      <c r="C29" s="105">
        <v>0</v>
      </c>
      <c r="D29" s="80">
        <f>C$10*'Mkt share'!$C$22</f>
        <v>0</v>
      </c>
      <c r="E29" s="80">
        <f>C$13*'Mkt share'!$C$22</f>
        <v>0</v>
      </c>
      <c r="F29" s="80">
        <f>C$16*'Mkt share'!$C$22</f>
        <v>0</v>
      </c>
      <c r="G29" s="88">
        <f>C$19*'Mkt share'!$C$22</f>
        <v>0</v>
      </c>
      <c r="J29" s="87" t="s">
        <v>175</v>
      </c>
      <c r="K29" s="105">
        <v>0</v>
      </c>
      <c r="L29" s="80">
        <f>K$10*'Mkt share'!$C$23</f>
        <v>0</v>
      </c>
      <c r="M29" s="80">
        <f>K$13*'Mkt share'!$C$23</f>
        <v>0</v>
      </c>
      <c r="N29" s="80">
        <f>K$16*'Mkt share'!$C$23</f>
        <v>0</v>
      </c>
      <c r="O29" s="88">
        <f>K$19*'Mkt share'!$C$23</f>
        <v>0</v>
      </c>
      <c r="R29" s="87" t="s">
        <v>175</v>
      </c>
      <c r="S29" s="105">
        <v>0</v>
      </c>
      <c r="T29" s="80">
        <f>S$10*'Mkt share'!$C$24</f>
        <v>0</v>
      </c>
      <c r="U29" s="80">
        <f>S$13*'Mkt share'!$C$24</f>
        <v>0</v>
      </c>
      <c r="V29" s="80">
        <f>S$16*'Mkt share'!$C$24</f>
        <v>0</v>
      </c>
      <c r="W29" s="88">
        <f>S$19*'Mkt share'!$C$24</f>
        <v>0</v>
      </c>
      <c r="Z29" s="87" t="s">
        <v>175</v>
      </c>
      <c r="AA29" s="105">
        <v>0</v>
      </c>
      <c r="AB29" s="80">
        <f>AA$10*'Mkt share'!$C$25</f>
        <v>0</v>
      </c>
      <c r="AC29" s="80">
        <f>AA$13*'Mkt share'!$C$25</f>
        <v>0</v>
      </c>
      <c r="AD29" s="80">
        <f>AA$16*'Mkt share'!$C$25</f>
        <v>0</v>
      </c>
      <c r="AE29" s="88">
        <f>AA$19*'Mkt share'!$C$25</f>
        <v>0</v>
      </c>
      <c r="AH29" s="87" t="s">
        <v>175</v>
      </c>
      <c r="AI29" s="105">
        <v>0</v>
      </c>
      <c r="AJ29" s="80">
        <f>AI$10*'Mkt share'!$C$26</f>
        <v>0</v>
      </c>
      <c r="AK29" s="80">
        <f>AI$13*'Mkt share'!$C$26</f>
        <v>0</v>
      </c>
      <c r="AL29" s="80">
        <f>AI$16*'Mkt share'!$C$26</f>
        <v>0</v>
      </c>
      <c r="AM29" s="88">
        <f>AI$19*'Mkt share'!$C$26</f>
        <v>0</v>
      </c>
      <c r="AP29" s="87" t="s">
        <v>175</v>
      </c>
      <c r="AQ29" s="105">
        <v>0</v>
      </c>
      <c r="AR29" s="80">
        <f>AQ$10*'Mkt share'!$C$27</f>
        <v>0</v>
      </c>
      <c r="AS29" s="80">
        <f>AQ$13*'Mkt share'!$C$27</f>
        <v>0</v>
      </c>
      <c r="AT29" s="80">
        <f>AQ$16*'Mkt share'!$C$27</f>
        <v>0</v>
      </c>
      <c r="AU29" s="88">
        <f>AQ$19*'Mkt share'!$C$27</f>
        <v>0</v>
      </c>
      <c r="AX29" s="87" t="s">
        <v>175</v>
      </c>
      <c r="AY29" s="105">
        <v>0</v>
      </c>
      <c r="AZ29" s="80">
        <f>AY$10*'Mkt share'!$C$28</f>
        <v>0</v>
      </c>
      <c r="BA29" s="80">
        <f>AY$13*'Mkt share'!$C$28</f>
        <v>0</v>
      </c>
      <c r="BB29" s="80">
        <f>AY$16*'Mkt share'!$C$28</f>
        <v>0</v>
      </c>
      <c r="BC29" s="88">
        <f>AY$19*'Mkt share'!$C$28</f>
        <v>0</v>
      </c>
      <c r="BF29" s="87" t="s">
        <v>175</v>
      </c>
      <c r="BG29" s="105">
        <v>0</v>
      </c>
      <c r="BH29" s="80">
        <f>BG$10*'Mkt share'!$C$29</f>
        <v>0</v>
      </c>
      <c r="BI29" s="80">
        <f>BG$13*'Mkt share'!$C$29</f>
        <v>0</v>
      </c>
      <c r="BJ29" s="80">
        <f>BG$16*'Mkt share'!$C$29</f>
        <v>0</v>
      </c>
      <c r="BK29" s="88">
        <f>BG$19*'Mkt share'!$C$29</f>
        <v>0</v>
      </c>
      <c r="BN29" s="87" t="s">
        <v>175</v>
      </c>
      <c r="BO29" s="105">
        <v>0</v>
      </c>
      <c r="BP29" s="80">
        <f>BO$10*'Mkt share'!$C$30</f>
        <v>0</v>
      </c>
      <c r="BQ29" s="80">
        <f>BO$13*'Mkt share'!$C$30</f>
        <v>0</v>
      </c>
      <c r="BR29" s="80">
        <f>BO$16*'Mkt share'!$C$30</f>
        <v>0</v>
      </c>
      <c r="BS29" s="88">
        <f>BO$19*'Mkt share'!$C$30</f>
        <v>0</v>
      </c>
      <c r="BV29" s="87" t="s">
        <v>175</v>
      </c>
      <c r="BW29" s="105">
        <v>0</v>
      </c>
      <c r="BX29" s="80">
        <f>BW$10*'Mkt share'!$C$31</f>
        <v>0</v>
      </c>
      <c r="BY29" s="80">
        <f>BW$13*'Mkt share'!$C$31</f>
        <v>0</v>
      </c>
      <c r="BZ29" s="80">
        <f>BW$16*'Mkt share'!$C$31</f>
        <v>0</v>
      </c>
      <c r="CA29" s="88">
        <f>BW$19*'Mkt share'!$C$31</f>
        <v>0</v>
      </c>
      <c r="CD29" s="87" t="s">
        <v>175</v>
      </c>
      <c r="CE29" s="105">
        <v>0</v>
      </c>
      <c r="CF29" s="80">
        <f>CE$10*'Mkt share'!$C$32</f>
        <v>0</v>
      </c>
      <c r="CG29" s="80">
        <f>CE$13*'Mkt share'!$C$32</f>
        <v>0</v>
      </c>
      <c r="CH29" s="80">
        <f>CE$16*'Mkt share'!$C$32</f>
        <v>0</v>
      </c>
      <c r="CI29" s="88">
        <f>CE$19*'Mkt share'!$C$32</f>
        <v>0</v>
      </c>
      <c r="CL29" s="87" t="s">
        <v>175</v>
      </c>
      <c r="CM29" s="105">
        <v>0</v>
      </c>
      <c r="CN29" s="80">
        <f>CM$10*'Mkt share'!$C$33</f>
        <v>0</v>
      </c>
      <c r="CO29" s="80">
        <f>CM$13*'Mkt share'!$C$33</f>
        <v>0</v>
      </c>
      <c r="CP29" s="80">
        <f>CM$16*'Mkt share'!$C$33</f>
        <v>0</v>
      </c>
      <c r="CQ29" s="88">
        <f>CM$19*'Mkt share'!$C$33</f>
        <v>0</v>
      </c>
      <c r="CT29" s="87" t="s">
        <v>175</v>
      </c>
      <c r="CU29" s="105">
        <v>0</v>
      </c>
      <c r="CV29" s="80">
        <f>CU$10*'Mkt share'!$C$34</f>
        <v>0</v>
      </c>
      <c r="CW29" s="80">
        <f>CU$13*'Mkt share'!$C$34</f>
        <v>0</v>
      </c>
      <c r="CX29" s="80">
        <f>CU$16*'Mkt share'!$C$34</f>
        <v>0</v>
      </c>
      <c r="CY29" s="88">
        <f>CU$19*'Mkt share'!$C$34</f>
        <v>0</v>
      </c>
      <c r="DB29" s="87" t="s">
        <v>175</v>
      </c>
      <c r="DC29" s="105">
        <v>0</v>
      </c>
      <c r="DD29" s="80">
        <f>DC$10*'Mkt share'!$C$35</f>
        <v>0</v>
      </c>
      <c r="DE29" s="80">
        <f>DC$13*'Mkt share'!$C$35</f>
        <v>0</v>
      </c>
      <c r="DF29" s="80">
        <f>DC$16*'Mkt share'!$C$35</f>
        <v>0</v>
      </c>
      <c r="DG29" s="88">
        <f>DC$19*'Mkt share'!$C$35</f>
        <v>0</v>
      </c>
    </row>
    <row r="30" spans="2:113">
      <c r="B30" s="87" t="s">
        <v>171</v>
      </c>
      <c r="C30" s="103"/>
      <c r="D30" s="80">
        <f>D$7*'Mkt share'!$D$22</f>
        <v>0</v>
      </c>
      <c r="E30" s="80">
        <f>D$8*'Mkt share'!$D$22</f>
        <v>0</v>
      </c>
      <c r="F30" s="80">
        <f>D$11*'Mkt share'!$D$22</f>
        <v>0</v>
      </c>
      <c r="G30" s="88">
        <f>D$14*'Mkt share'!$D$22</f>
        <v>0</v>
      </c>
      <c r="J30" s="87" t="s">
        <v>171</v>
      </c>
      <c r="K30" s="103"/>
      <c r="L30" s="80">
        <f>L$7*'Mkt share'!$D$23</f>
        <v>0</v>
      </c>
      <c r="M30" s="80">
        <f>L$8*'Mkt share'!$D$23</f>
        <v>0</v>
      </c>
      <c r="N30" s="80">
        <f>L$11*'Mkt share'!$D$23</f>
        <v>0</v>
      </c>
      <c r="O30" s="88">
        <f>L$14*'Mkt share'!$D$23</f>
        <v>0</v>
      </c>
      <c r="R30" s="87" t="s">
        <v>171</v>
      </c>
      <c r="S30" s="103"/>
      <c r="T30" s="80">
        <f>T$7*'Mkt share'!$D$24</f>
        <v>0</v>
      </c>
      <c r="U30" s="80">
        <f>T$8*'Mkt share'!$D$24</f>
        <v>0</v>
      </c>
      <c r="V30" s="80">
        <f>T$11*'Mkt share'!$D$24</f>
        <v>0</v>
      </c>
      <c r="W30" s="88">
        <f>T$14*'Mkt share'!$D$24</f>
        <v>0</v>
      </c>
      <c r="Z30" s="87" t="s">
        <v>171</v>
      </c>
      <c r="AA30" s="103"/>
      <c r="AB30" s="80">
        <f>AB$7*'Mkt share'!$D$25</f>
        <v>0</v>
      </c>
      <c r="AC30" s="80">
        <f>AB$8*'Mkt share'!$D$25</f>
        <v>0</v>
      </c>
      <c r="AD30" s="80">
        <f>AB$11*'Mkt share'!$D$25</f>
        <v>0</v>
      </c>
      <c r="AE30" s="88">
        <f>AB$14*'Mkt share'!$D$25</f>
        <v>0</v>
      </c>
      <c r="AH30" s="87" t="s">
        <v>171</v>
      </c>
      <c r="AI30" s="103"/>
      <c r="AJ30" s="80">
        <f>AJ$7*'Mkt share'!$D$26</f>
        <v>4980.7215748199997</v>
      </c>
      <c r="AK30" s="80">
        <f>AJ$8*'Mkt share'!$D$26</f>
        <v>4980.7215748199997</v>
      </c>
      <c r="AL30" s="80">
        <f>AJ$11*'Mkt share'!$D$26</f>
        <v>4980.7215748199997</v>
      </c>
      <c r="AM30" s="88">
        <f>AJ$14*'Mkt share'!$D$26</f>
        <v>4980.7215748199997</v>
      </c>
      <c r="AP30" s="87" t="s">
        <v>171</v>
      </c>
      <c r="AQ30" s="103"/>
      <c r="AR30" s="80">
        <f>AR$7*'Mkt share'!$D$27</f>
        <v>0</v>
      </c>
      <c r="AS30" s="80">
        <f>AR$8*'Mkt share'!$D$27</f>
        <v>0</v>
      </c>
      <c r="AT30" s="80">
        <f>AR$11*'Mkt share'!$D$27</f>
        <v>0</v>
      </c>
      <c r="AU30" s="88">
        <f>AR$14*'Mkt share'!$D$27</f>
        <v>0</v>
      </c>
      <c r="AX30" s="87" t="s">
        <v>171</v>
      </c>
      <c r="AY30" s="103"/>
      <c r="AZ30" s="80">
        <f>AZ$7*'Mkt share'!$D$28</f>
        <v>0</v>
      </c>
      <c r="BA30" s="80">
        <f>AZ$8*'Mkt share'!$D$28</f>
        <v>0</v>
      </c>
      <c r="BB30" s="80">
        <f>AZ$11*'Mkt share'!$D$28</f>
        <v>0</v>
      </c>
      <c r="BC30" s="88">
        <f>AZ$14*'Mkt share'!$D$28</f>
        <v>0</v>
      </c>
      <c r="BF30" s="87" t="s">
        <v>171</v>
      </c>
      <c r="BG30" s="103"/>
      <c r="BH30" s="80">
        <f>BH$7*'Mkt share'!$D$29</f>
        <v>0</v>
      </c>
      <c r="BI30" s="80">
        <f>BH$8*'Mkt share'!$D$29</f>
        <v>0</v>
      </c>
      <c r="BJ30" s="80">
        <f>BH$11*'Mkt share'!$D$29</f>
        <v>0</v>
      </c>
      <c r="BK30" s="88">
        <f>BH$14*'Mkt share'!$D$29</f>
        <v>0</v>
      </c>
      <c r="BN30" s="87" t="s">
        <v>171</v>
      </c>
      <c r="BO30" s="103"/>
      <c r="BP30" s="80">
        <f>BP$7*'Mkt share'!$D$30</f>
        <v>0</v>
      </c>
      <c r="BQ30" s="80">
        <f>BP$8*'Mkt share'!$D$30</f>
        <v>0</v>
      </c>
      <c r="BR30" s="80">
        <f>BP$11*'Mkt share'!$D$30</f>
        <v>0</v>
      </c>
      <c r="BS30" s="88">
        <f>BP$14*'Mkt share'!$D$30</f>
        <v>0</v>
      </c>
      <c r="BV30" s="87" t="s">
        <v>171</v>
      </c>
      <c r="BW30" s="103"/>
      <c r="BX30" s="80">
        <f>BX$7*'Mkt share'!$D$31</f>
        <v>0</v>
      </c>
      <c r="BY30" s="80">
        <f>BX$8*'Mkt share'!$D$31</f>
        <v>0</v>
      </c>
      <c r="BZ30" s="80">
        <f>BX$11*'Mkt share'!$D$31</f>
        <v>0</v>
      </c>
      <c r="CA30" s="88">
        <f>BX$14*'Mkt share'!$D$31</f>
        <v>0</v>
      </c>
      <c r="CD30" s="87" t="s">
        <v>171</v>
      </c>
      <c r="CE30" s="103"/>
      <c r="CF30" s="80">
        <f>CF$7*'Mkt share'!$D$32</f>
        <v>0</v>
      </c>
      <c r="CG30" s="80">
        <f>CF$8*'Mkt share'!$D$32</f>
        <v>0</v>
      </c>
      <c r="CH30" s="80">
        <f>CF$11*'Mkt share'!$D$32</f>
        <v>0</v>
      </c>
      <c r="CI30" s="88">
        <f>CF$14*'Mkt share'!$D$32</f>
        <v>0</v>
      </c>
      <c r="CL30" s="87" t="s">
        <v>171</v>
      </c>
      <c r="CM30" s="103"/>
      <c r="CN30" s="80">
        <f>CN$7*'Mkt share'!$D$33</f>
        <v>0</v>
      </c>
      <c r="CO30" s="80">
        <f>CN$8*'Mkt share'!$D$33</f>
        <v>0</v>
      </c>
      <c r="CP30" s="80">
        <f>CN$11*'Mkt share'!$D$33</f>
        <v>0</v>
      </c>
      <c r="CQ30" s="88">
        <f>CN$14*'Mkt share'!$D$33</f>
        <v>0</v>
      </c>
      <c r="CT30" s="87" t="s">
        <v>171</v>
      </c>
      <c r="CU30" s="103"/>
      <c r="CV30" s="80">
        <f>CV$7*'Mkt share'!$D$34</f>
        <v>0</v>
      </c>
      <c r="CW30" s="80">
        <f>CV$8*'Mkt share'!$D$34</f>
        <v>0</v>
      </c>
      <c r="CX30" s="80">
        <f>CV$11*'Mkt share'!$D$34</f>
        <v>0</v>
      </c>
      <c r="CY30" s="88">
        <f>CV$14*'Mkt share'!$D$34</f>
        <v>0</v>
      </c>
      <c r="DB30" s="87" t="s">
        <v>171</v>
      </c>
      <c r="DC30" s="103"/>
      <c r="DD30" s="80">
        <f>DD$7*'Mkt share'!$D$35</f>
        <v>0</v>
      </c>
      <c r="DE30" s="80">
        <f>DD$8*'Mkt share'!$D$35</f>
        <v>0</v>
      </c>
      <c r="DF30" s="80">
        <f>DD$11*'Mkt share'!$D$35</f>
        <v>0</v>
      </c>
      <c r="DG30" s="88">
        <f>DD$14*'Mkt share'!$D$35</f>
        <v>0</v>
      </c>
    </row>
    <row r="31" spans="2:113">
      <c r="B31" s="87" t="s">
        <v>176</v>
      </c>
      <c r="C31" s="103"/>
      <c r="D31" s="105">
        <v>0</v>
      </c>
      <c r="E31" s="80">
        <f>D$10*'Mkt share'!$D$22</f>
        <v>0</v>
      </c>
      <c r="F31" s="80">
        <f>D$13*'Mkt share'!$D$22</f>
        <v>0</v>
      </c>
      <c r="G31" s="88">
        <f>D$16*'Mkt share'!$D$22</f>
        <v>0</v>
      </c>
      <c r="J31" s="87" t="s">
        <v>176</v>
      </c>
      <c r="K31" s="103"/>
      <c r="L31" s="105">
        <v>0</v>
      </c>
      <c r="M31" s="80">
        <f>L$10*'Mkt share'!$D$23</f>
        <v>0</v>
      </c>
      <c r="N31" s="80">
        <f>L$13*'Mkt share'!$D$23</f>
        <v>0</v>
      </c>
      <c r="O31" s="88">
        <f>L$16*'Mkt share'!$D$23</f>
        <v>0</v>
      </c>
      <c r="R31" s="87" t="s">
        <v>176</v>
      </c>
      <c r="S31" s="103"/>
      <c r="T31" s="105">
        <v>0</v>
      </c>
      <c r="U31" s="80">
        <f>T$10*'Mkt share'!$D$24</f>
        <v>0</v>
      </c>
      <c r="V31" s="80">
        <f>T$13*'Mkt share'!$D$24</f>
        <v>0</v>
      </c>
      <c r="W31" s="88">
        <f>T$16*'Mkt share'!$D$24</f>
        <v>0</v>
      </c>
      <c r="Z31" s="87" t="s">
        <v>176</v>
      </c>
      <c r="AA31" s="103"/>
      <c r="AB31" s="105">
        <v>0</v>
      </c>
      <c r="AC31" s="80">
        <f>AB$10*'Mkt share'!$D$25</f>
        <v>0</v>
      </c>
      <c r="AD31" s="80">
        <f>AB$13*'Mkt share'!$D$25</f>
        <v>0</v>
      </c>
      <c r="AE31" s="88">
        <f>AB$16*'Mkt share'!$D$25</f>
        <v>0</v>
      </c>
      <c r="AH31" s="87" t="s">
        <v>176</v>
      </c>
      <c r="AI31" s="103"/>
      <c r="AJ31" s="105">
        <v>0</v>
      </c>
      <c r="AK31" s="80">
        <f>AJ$10*'Mkt share'!$D$26</f>
        <v>0</v>
      </c>
      <c r="AL31" s="80">
        <f>AJ$13*'Mkt share'!$D$26</f>
        <v>0</v>
      </c>
      <c r="AM31" s="88">
        <f>AJ$16*'Mkt share'!$D$26</f>
        <v>0</v>
      </c>
      <c r="AP31" s="87" t="s">
        <v>176</v>
      </c>
      <c r="AQ31" s="103"/>
      <c r="AR31" s="105">
        <v>0</v>
      </c>
      <c r="AS31" s="80">
        <f>AR$10*'Mkt share'!$D$27</f>
        <v>0</v>
      </c>
      <c r="AT31" s="80">
        <f>AR$13*'Mkt share'!$D$27</f>
        <v>0</v>
      </c>
      <c r="AU31" s="88">
        <f>AR$16*'Mkt share'!$D$27</f>
        <v>0</v>
      </c>
      <c r="AX31" s="87" t="s">
        <v>176</v>
      </c>
      <c r="AY31" s="103"/>
      <c r="AZ31" s="105">
        <v>0</v>
      </c>
      <c r="BA31" s="80">
        <f>AZ$10*'Mkt share'!$D$28</f>
        <v>0</v>
      </c>
      <c r="BB31" s="80">
        <f>AZ$13*'Mkt share'!$D$28</f>
        <v>0</v>
      </c>
      <c r="BC31" s="88">
        <f>AZ$16*'Mkt share'!$D$28</f>
        <v>0</v>
      </c>
      <c r="BF31" s="87" t="s">
        <v>176</v>
      </c>
      <c r="BG31" s="103"/>
      <c r="BH31" s="105">
        <v>0</v>
      </c>
      <c r="BI31" s="80">
        <f>BH$10*'Mkt share'!$D$29</f>
        <v>0</v>
      </c>
      <c r="BJ31" s="80">
        <f>BH$13*'Mkt share'!$D$29</f>
        <v>0</v>
      </c>
      <c r="BK31" s="88">
        <f>BH$16*'Mkt share'!$D$29</f>
        <v>0</v>
      </c>
      <c r="BN31" s="87" t="s">
        <v>176</v>
      </c>
      <c r="BO31" s="103"/>
      <c r="BP31" s="105">
        <v>0</v>
      </c>
      <c r="BQ31" s="80">
        <f>BP$10*'Mkt share'!$D$30</f>
        <v>0</v>
      </c>
      <c r="BR31" s="80">
        <f>BP$13*'Mkt share'!$D$30</f>
        <v>0</v>
      </c>
      <c r="BS31" s="88">
        <f>BP$16*'Mkt share'!$D$30</f>
        <v>0</v>
      </c>
      <c r="BV31" s="87" t="s">
        <v>176</v>
      </c>
      <c r="BW31" s="103"/>
      <c r="BX31" s="105">
        <v>0</v>
      </c>
      <c r="BY31" s="80">
        <f>BX$10*'Mkt share'!$D$31</f>
        <v>0</v>
      </c>
      <c r="BZ31" s="80">
        <f>BX$13*'Mkt share'!$D$31</f>
        <v>0</v>
      </c>
      <c r="CA31" s="88">
        <f>BX$16*'Mkt share'!$D$31</f>
        <v>0</v>
      </c>
      <c r="CD31" s="87" t="s">
        <v>176</v>
      </c>
      <c r="CE31" s="103"/>
      <c r="CF31" s="105">
        <v>0</v>
      </c>
      <c r="CG31" s="80">
        <f>CF$10*'Mkt share'!$D$32</f>
        <v>0</v>
      </c>
      <c r="CH31" s="80">
        <f>CF$13*'Mkt share'!$D$32</f>
        <v>0</v>
      </c>
      <c r="CI31" s="88">
        <f>CF$16*'Mkt share'!$D$32</f>
        <v>0</v>
      </c>
      <c r="CL31" s="87" t="s">
        <v>176</v>
      </c>
      <c r="CM31" s="103"/>
      <c r="CN31" s="105">
        <v>0</v>
      </c>
      <c r="CO31" s="80">
        <f>CN$10*'Mkt share'!$D$33</f>
        <v>0</v>
      </c>
      <c r="CP31" s="80">
        <f>CN$13*'Mkt share'!$D$33</f>
        <v>0</v>
      </c>
      <c r="CQ31" s="88">
        <f>CN$16*'Mkt share'!$D$33</f>
        <v>0</v>
      </c>
      <c r="CT31" s="87" t="s">
        <v>176</v>
      </c>
      <c r="CU31" s="103"/>
      <c r="CV31" s="105">
        <v>0</v>
      </c>
      <c r="CW31" s="80">
        <f>CV$10*'Mkt share'!$D$34</f>
        <v>0</v>
      </c>
      <c r="CX31" s="80">
        <f>CV$13*'Mkt share'!$D$34</f>
        <v>0</v>
      </c>
      <c r="CY31" s="88">
        <f>CV$16*'Mkt share'!$D$34</f>
        <v>0</v>
      </c>
      <c r="DB31" s="87" t="s">
        <v>176</v>
      </c>
      <c r="DC31" s="103"/>
      <c r="DD31" s="105">
        <v>0</v>
      </c>
      <c r="DE31" s="80">
        <f>DD$10*'Mkt share'!$D$35</f>
        <v>0</v>
      </c>
      <c r="DF31" s="80">
        <f>DD$13*'Mkt share'!$D$35</f>
        <v>0</v>
      </c>
      <c r="DG31" s="88">
        <f>DD$16*'Mkt share'!$D$35</f>
        <v>0</v>
      </c>
    </row>
    <row r="32" spans="2:113">
      <c r="B32" s="87" t="s">
        <v>172</v>
      </c>
      <c r="C32" s="103"/>
      <c r="D32" s="103"/>
      <c r="E32" s="80">
        <f>E$7*'Mkt share'!$E$22</f>
        <v>0</v>
      </c>
      <c r="F32" s="80">
        <f>E$8*'Mkt share'!$E$22</f>
        <v>0</v>
      </c>
      <c r="G32" s="88">
        <f>E$11*'Mkt share'!$E$22</f>
        <v>0</v>
      </c>
      <c r="J32" s="87" t="s">
        <v>172</v>
      </c>
      <c r="K32" s="103"/>
      <c r="L32" s="103"/>
      <c r="M32" s="80">
        <f>M$7*'Mkt share'!$E$23</f>
        <v>0</v>
      </c>
      <c r="N32" s="80">
        <f>M$8*'Mkt share'!$E$23</f>
        <v>0</v>
      </c>
      <c r="O32" s="88">
        <f>M$11*'Mkt share'!$E$23</f>
        <v>0</v>
      </c>
      <c r="R32" s="87" t="s">
        <v>172</v>
      </c>
      <c r="S32" s="103"/>
      <c r="T32" s="103"/>
      <c r="U32" s="80">
        <f>U$7*'Mkt share'!$E$24</f>
        <v>0</v>
      </c>
      <c r="V32" s="80">
        <f>U$8*'Mkt share'!$E$24</f>
        <v>0</v>
      </c>
      <c r="W32" s="88">
        <f>U$11*'Mkt share'!$E$24</f>
        <v>0</v>
      </c>
      <c r="Z32" s="87" t="s">
        <v>172</v>
      </c>
      <c r="AA32" s="103"/>
      <c r="AB32" s="103"/>
      <c r="AC32" s="80">
        <f>AC$7*'Mkt share'!$E$25</f>
        <v>0</v>
      </c>
      <c r="AD32" s="80">
        <f>AC$8*'Mkt share'!$E$25</f>
        <v>0</v>
      </c>
      <c r="AE32" s="88">
        <f>AC$11*'Mkt share'!$E$25</f>
        <v>0</v>
      </c>
      <c r="AH32" s="87" t="s">
        <v>172</v>
      </c>
      <c r="AI32" s="103"/>
      <c r="AJ32" s="103"/>
      <c r="AK32" s="80">
        <f>AK$7*'Mkt share'!$E$26</f>
        <v>5009.9978922</v>
      </c>
      <c r="AL32" s="80">
        <f>AK$8*'Mkt share'!$E$26</f>
        <v>5009.9978922</v>
      </c>
      <c r="AM32" s="88">
        <f>AK$11*'Mkt share'!$E$26</f>
        <v>5009.9978922</v>
      </c>
      <c r="AP32" s="87" t="s">
        <v>172</v>
      </c>
      <c r="AQ32" s="103"/>
      <c r="AR32" s="103"/>
      <c r="AS32" s="80">
        <f>AS$7*'Mkt share'!$E$27</f>
        <v>0</v>
      </c>
      <c r="AT32" s="80">
        <f>AS$8*'Mkt share'!$E$27</f>
        <v>0</v>
      </c>
      <c r="AU32" s="88">
        <f>AS$11*'Mkt share'!$E$27</f>
        <v>0</v>
      </c>
      <c r="AX32" s="87" t="s">
        <v>172</v>
      </c>
      <c r="AY32" s="103"/>
      <c r="AZ32" s="103"/>
      <c r="BA32" s="80">
        <f>BA$7*'Mkt share'!$E$28</f>
        <v>0</v>
      </c>
      <c r="BB32" s="80">
        <f>BA$8*'Mkt share'!$E$28</f>
        <v>0</v>
      </c>
      <c r="BC32" s="88">
        <f>BA$11*'Mkt share'!$E$28</f>
        <v>0</v>
      </c>
      <c r="BF32" s="87" t="s">
        <v>172</v>
      </c>
      <c r="BG32" s="103"/>
      <c r="BH32" s="103"/>
      <c r="BI32" s="80">
        <f>BI$7*'Mkt share'!$E$29</f>
        <v>0</v>
      </c>
      <c r="BJ32" s="80">
        <f>BI$8*'Mkt share'!$E$29</f>
        <v>0</v>
      </c>
      <c r="BK32" s="88">
        <f>BI$11*'Mkt share'!$E$29</f>
        <v>0</v>
      </c>
      <c r="BN32" s="87" t="s">
        <v>172</v>
      </c>
      <c r="BO32" s="103"/>
      <c r="BP32" s="103"/>
      <c r="BQ32" s="80">
        <f>BQ$7*'Mkt share'!$E$30</f>
        <v>0</v>
      </c>
      <c r="BR32" s="80">
        <f>BQ$8*'Mkt share'!$E$30</f>
        <v>0</v>
      </c>
      <c r="BS32" s="88">
        <f>BQ$11*'Mkt share'!$E$30</f>
        <v>0</v>
      </c>
      <c r="BV32" s="87" t="s">
        <v>172</v>
      </c>
      <c r="BW32" s="103"/>
      <c r="BX32" s="103"/>
      <c r="BY32" s="80">
        <f>BY$7*'Mkt share'!$E$31</f>
        <v>0</v>
      </c>
      <c r="BZ32" s="80">
        <f>BY$8*'Mkt share'!$E$31</f>
        <v>0</v>
      </c>
      <c r="CA32" s="88">
        <f>BY$11*'Mkt share'!$E$31</f>
        <v>0</v>
      </c>
      <c r="CD32" s="87" t="s">
        <v>172</v>
      </c>
      <c r="CE32" s="103"/>
      <c r="CF32" s="103"/>
      <c r="CG32" s="80">
        <f>CG$7*'Mkt share'!$E$32</f>
        <v>0</v>
      </c>
      <c r="CH32" s="80">
        <f>CG$8*'Mkt share'!$E$32</f>
        <v>0</v>
      </c>
      <c r="CI32" s="88">
        <f>CG$11*'Mkt share'!$E$32</f>
        <v>0</v>
      </c>
      <c r="CL32" s="87" t="s">
        <v>172</v>
      </c>
      <c r="CM32" s="103"/>
      <c r="CN32" s="103"/>
      <c r="CO32" s="80">
        <f>CO$7*'Mkt share'!$E$33</f>
        <v>0</v>
      </c>
      <c r="CP32" s="80">
        <f>CO$8*'Mkt share'!$E$33</f>
        <v>0</v>
      </c>
      <c r="CQ32" s="88">
        <f>CO$11*'Mkt share'!$E$33</f>
        <v>0</v>
      </c>
      <c r="CT32" s="87" t="s">
        <v>172</v>
      </c>
      <c r="CU32" s="103"/>
      <c r="CV32" s="103"/>
      <c r="CW32" s="80">
        <f>CW$7*'Mkt share'!$E$34</f>
        <v>0</v>
      </c>
      <c r="CX32" s="80">
        <f>CW$8*'Mkt share'!$E$34</f>
        <v>0</v>
      </c>
      <c r="CY32" s="88">
        <f>CW$11*'Mkt share'!$E$34</f>
        <v>0</v>
      </c>
      <c r="DB32" s="87" t="s">
        <v>172</v>
      </c>
      <c r="DC32" s="103"/>
      <c r="DD32" s="103"/>
      <c r="DE32" s="80">
        <f>DE$7*'Mkt share'!$E$35</f>
        <v>0</v>
      </c>
      <c r="DF32" s="80">
        <f>DE$8*'Mkt share'!$E$35</f>
        <v>0</v>
      </c>
      <c r="DG32" s="88">
        <f>DE$11*'Mkt share'!$E$35</f>
        <v>0</v>
      </c>
    </row>
    <row r="33" spans="2:111">
      <c r="B33" s="87" t="s">
        <v>177</v>
      </c>
      <c r="C33" s="103"/>
      <c r="D33" s="103"/>
      <c r="E33" s="105">
        <v>0</v>
      </c>
      <c r="F33" s="80">
        <f>E$10*'Mkt share'!$E$22</f>
        <v>0</v>
      </c>
      <c r="G33" s="88">
        <f>E$13*'Mkt share'!$E$22</f>
        <v>0</v>
      </c>
      <c r="J33" s="87" t="s">
        <v>177</v>
      </c>
      <c r="K33" s="103"/>
      <c r="L33" s="103"/>
      <c r="M33" s="105">
        <v>0</v>
      </c>
      <c r="N33" s="80">
        <f>M$10*'Mkt share'!$E$23</f>
        <v>0</v>
      </c>
      <c r="O33" s="88">
        <f>M$13*'Mkt share'!$E$23</f>
        <v>0</v>
      </c>
      <c r="R33" s="87" t="s">
        <v>177</v>
      </c>
      <c r="S33" s="103"/>
      <c r="T33" s="103"/>
      <c r="U33" s="105">
        <v>0</v>
      </c>
      <c r="V33" s="80">
        <f>U$10*'Mkt share'!$E$24</f>
        <v>0</v>
      </c>
      <c r="W33" s="88">
        <f>U$13*'Mkt share'!$E$24</f>
        <v>0</v>
      </c>
      <c r="Z33" s="87" t="s">
        <v>177</v>
      </c>
      <c r="AA33" s="103"/>
      <c r="AB33" s="103"/>
      <c r="AC33" s="105">
        <v>0</v>
      </c>
      <c r="AD33" s="80">
        <f>AC$10*'Mkt share'!$E$25</f>
        <v>0</v>
      </c>
      <c r="AE33" s="88">
        <f>AC$13*'Mkt share'!$E$25</f>
        <v>0</v>
      </c>
      <c r="AH33" s="87" t="s">
        <v>177</v>
      </c>
      <c r="AI33" s="103"/>
      <c r="AJ33" s="103"/>
      <c r="AK33" s="105">
        <v>0</v>
      </c>
      <c r="AL33" s="80">
        <f>AK$10*'Mkt share'!$E$26</f>
        <v>0</v>
      </c>
      <c r="AM33" s="88">
        <f>AK$13*'Mkt share'!$E$26</f>
        <v>0</v>
      </c>
      <c r="AP33" s="87" t="s">
        <v>177</v>
      </c>
      <c r="AQ33" s="103"/>
      <c r="AR33" s="103"/>
      <c r="AS33" s="105">
        <v>0</v>
      </c>
      <c r="AT33" s="80">
        <f>AS$10*'Mkt share'!$E$27</f>
        <v>0</v>
      </c>
      <c r="AU33" s="88">
        <f>AS$13*'Mkt share'!$E$27</f>
        <v>0</v>
      </c>
      <c r="AX33" s="87" t="s">
        <v>177</v>
      </c>
      <c r="AY33" s="103"/>
      <c r="AZ33" s="103"/>
      <c r="BA33" s="105">
        <v>0</v>
      </c>
      <c r="BB33" s="80">
        <f>BA$10*'Mkt share'!$E$28</f>
        <v>0</v>
      </c>
      <c r="BC33" s="88">
        <f>BA$13*'Mkt share'!$E$28</f>
        <v>0</v>
      </c>
      <c r="BF33" s="87" t="s">
        <v>177</v>
      </c>
      <c r="BG33" s="103"/>
      <c r="BH33" s="103"/>
      <c r="BI33" s="105">
        <v>0</v>
      </c>
      <c r="BJ33" s="80">
        <f>BI$10*'Mkt share'!$E$29</f>
        <v>0</v>
      </c>
      <c r="BK33" s="88">
        <f>BI$13*'Mkt share'!$E$29</f>
        <v>0</v>
      </c>
      <c r="BN33" s="87" t="s">
        <v>177</v>
      </c>
      <c r="BO33" s="103"/>
      <c r="BP33" s="103"/>
      <c r="BQ33" s="105">
        <v>0</v>
      </c>
      <c r="BR33" s="80">
        <f>BQ$10*'Mkt share'!$E$30</f>
        <v>0</v>
      </c>
      <c r="BS33" s="88">
        <f>BQ$13*'Mkt share'!$E$30</f>
        <v>0</v>
      </c>
      <c r="BV33" s="87" t="s">
        <v>177</v>
      </c>
      <c r="BW33" s="103"/>
      <c r="BX33" s="103"/>
      <c r="BY33" s="105">
        <v>0</v>
      </c>
      <c r="BZ33" s="80">
        <f>BY$10*'Mkt share'!$E$31</f>
        <v>0</v>
      </c>
      <c r="CA33" s="88">
        <f>BY$13*'Mkt share'!$E$31</f>
        <v>0</v>
      </c>
      <c r="CD33" s="87" t="s">
        <v>177</v>
      </c>
      <c r="CE33" s="103"/>
      <c r="CF33" s="103"/>
      <c r="CG33" s="105">
        <v>0</v>
      </c>
      <c r="CH33" s="80">
        <f>CG$10*'Mkt share'!$E$32</f>
        <v>0</v>
      </c>
      <c r="CI33" s="88">
        <f>CG$13*'Mkt share'!$E$32</f>
        <v>0</v>
      </c>
      <c r="CL33" s="87" t="s">
        <v>177</v>
      </c>
      <c r="CM33" s="103"/>
      <c r="CN33" s="103"/>
      <c r="CO33" s="105">
        <v>0</v>
      </c>
      <c r="CP33" s="80">
        <f>CO$10*'Mkt share'!$E$33</f>
        <v>0</v>
      </c>
      <c r="CQ33" s="88">
        <f>CO$13*'Mkt share'!$E$33</f>
        <v>0</v>
      </c>
      <c r="CT33" s="87" t="s">
        <v>177</v>
      </c>
      <c r="CU33" s="103"/>
      <c r="CV33" s="103"/>
      <c r="CW33" s="105">
        <v>0</v>
      </c>
      <c r="CX33" s="80">
        <f>CW$10*'Mkt share'!$E$34</f>
        <v>0</v>
      </c>
      <c r="CY33" s="88">
        <f>CW$13*'Mkt share'!$E$34</f>
        <v>0</v>
      </c>
      <c r="DB33" s="87" t="s">
        <v>177</v>
      </c>
      <c r="DC33" s="103"/>
      <c r="DD33" s="103"/>
      <c r="DE33" s="105">
        <v>0</v>
      </c>
      <c r="DF33" s="80">
        <f>DE$10*'Mkt share'!$E$35</f>
        <v>0</v>
      </c>
      <c r="DG33" s="88">
        <f>DE$13*'Mkt share'!$E$35</f>
        <v>0</v>
      </c>
    </row>
    <row r="34" spans="2:111">
      <c r="B34" s="87" t="s">
        <v>173</v>
      </c>
      <c r="C34" s="103"/>
      <c r="D34" s="103"/>
      <c r="E34" s="103"/>
      <c r="F34" s="80">
        <f>F$7*'Mkt share'!$F$22</f>
        <v>0</v>
      </c>
      <c r="G34" s="88">
        <f>F$8*'Mkt share'!$F$22</f>
        <v>0</v>
      </c>
      <c r="J34" s="87" t="s">
        <v>173</v>
      </c>
      <c r="K34" s="103"/>
      <c r="L34" s="103"/>
      <c r="M34" s="103"/>
      <c r="N34" s="80">
        <f>N$7*'Mkt share'!$F$23</f>
        <v>0</v>
      </c>
      <c r="O34" s="88">
        <f>N$8*'Mkt share'!$F$23</f>
        <v>0</v>
      </c>
      <c r="R34" s="87" t="s">
        <v>173</v>
      </c>
      <c r="S34" s="103"/>
      <c r="T34" s="103"/>
      <c r="U34" s="103"/>
      <c r="V34" s="80">
        <f>V$7*'Mkt share'!$F$24</f>
        <v>0</v>
      </c>
      <c r="W34" s="88">
        <f>V$8*'Mkt share'!$F$24</f>
        <v>0</v>
      </c>
      <c r="Z34" s="87" t="s">
        <v>173</v>
      </c>
      <c r="AA34" s="103"/>
      <c r="AB34" s="103"/>
      <c r="AC34" s="103"/>
      <c r="AD34" s="80">
        <f>AD$7*'Mkt share'!$F$25</f>
        <v>0</v>
      </c>
      <c r="AE34" s="88">
        <f>AD$8*'Mkt share'!$F$25</f>
        <v>0</v>
      </c>
      <c r="AH34" s="87" t="s">
        <v>173</v>
      </c>
      <c r="AI34" s="103"/>
      <c r="AJ34" s="103"/>
      <c r="AK34" s="103"/>
      <c r="AL34" s="80">
        <f>AL$7*'Mkt share'!$F$26</f>
        <v>5037.9386211600004</v>
      </c>
      <c r="AM34" s="88">
        <f>AL$8*'Mkt share'!$F$26</f>
        <v>5037.9386211600004</v>
      </c>
      <c r="AP34" s="87" t="s">
        <v>173</v>
      </c>
      <c r="AQ34" s="103"/>
      <c r="AR34" s="103"/>
      <c r="AS34" s="103"/>
      <c r="AT34" s="80">
        <f>AT$7*'Mkt share'!$F$27</f>
        <v>0</v>
      </c>
      <c r="AU34" s="88">
        <f>AT$8*'Mkt share'!$F$27</f>
        <v>0</v>
      </c>
      <c r="AX34" s="87" t="s">
        <v>173</v>
      </c>
      <c r="AY34" s="103"/>
      <c r="AZ34" s="103"/>
      <c r="BA34" s="103"/>
      <c r="BB34" s="80">
        <f>BB$7*'Mkt share'!$F$28</f>
        <v>0</v>
      </c>
      <c r="BC34" s="88">
        <f>BB$8*'Mkt share'!$F$28</f>
        <v>0</v>
      </c>
      <c r="BF34" s="87" t="s">
        <v>173</v>
      </c>
      <c r="BG34" s="103"/>
      <c r="BH34" s="103"/>
      <c r="BI34" s="103"/>
      <c r="BJ34" s="80">
        <f>BJ$7*'Mkt share'!$F$29</f>
        <v>0</v>
      </c>
      <c r="BK34" s="88">
        <f>BJ$8*'Mkt share'!$F$29</f>
        <v>0</v>
      </c>
      <c r="BN34" s="87" t="s">
        <v>173</v>
      </c>
      <c r="BO34" s="103"/>
      <c r="BP34" s="103"/>
      <c r="BQ34" s="103"/>
      <c r="BR34" s="80">
        <f>BR$7*'Mkt share'!$F$30</f>
        <v>0</v>
      </c>
      <c r="BS34" s="88">
        <f>BR$8*'Mkt share'!$F$30</f>
        <v>0</v>
      </c>
      <c r="BV34" s="87" t="s">
        <v>173</v>
      </c>
      <c r="BW34" s="103"/>
      <c r="BX34" s="103"/>
      <c r="BY34" s="103"/>
      <c r="BZ34" s="80">
        <f>BZ$7*'Mkt share'!$F$31</f>
        <v>0</v>
      </c>
      <c r="CA34" s="88">
        <f>BZ$8*'Mkt share'!$F$31</f>
        <v>0</v>
      </c>
      <c r="CD34" s="87" t="s">
        <v>173</v>
      </c>
      <c r="CE34" s="103"/>
      <c r="CF34" s="103"/>
      <c r="CG34" s="103"/>
      <c r="CH34" s="80">
        <f>CH$7*'Mkt share'!$F$32</f>
        <v>0</v>
      </c>
      <c r="CI34" s="88">
        <f>CH$8*'Mkt share'!$F$32</f>
        <v>0</v>
      </c>
      <c r="CL34" s="87" t="s">
        <v>173</v>
      </c>
      <c r="CM34" s="103"/>
      <c r="CN34" s="103"/>
      <c r="CO34" s="103"/>
      <c r="CP34" s="80">
        <f>CP$7*'Mkt share'!$F$33</f>
        <v>0</v>
      </c>
      <c r="CQ34" s="88">
        <f>CP$8*'Mkt share'!$F$33</f>
        <v>0</v>
      </c>
      <c r="CT34" s="87" t="s">
        <v>173</v>
      </c>
      <c r="CU34" s="103"/>
      <c r="CV34" s="103"/>
      <c r="CW34" s="103"/>
      <c r="CX34" s="80">
        <f>CX$7*'Mkt share'!$F$34</f>
        <v>0</v>
      </c>
      <c r="CY34" s="88">
        <f>CX$8*'Mkt share'!$F$34</f>
        <v>0</v>
      </c>
      <c r="DB34" s="87" t="s">
        <v>173</v>
      </c>
      <c r="DC34" s="103"/>
      <c r="DD34" s="103"/>
      <c r="DE34" s="103"/>
      <c r="DF34" s="80">
        <f>DF$7*'Mkt share'!$F$35</f>
        <v>0</v>
      </c>
      <c r="DG34" s="88">
        <f>DF$8*'Mkt share'!$F$35</f>
        <v>0</v>
      </c>
    </row>
    <row r="35" spans="2:111">
      <c r="B35" s="87" t="s">
        <v>178</v>
      </c>
      <c r="C35" s="103"/>
      <c r="D35" s="103"/>
      <c r="E35" s="103"/>
      <c r="F35" s="105">
        <v>0</v>
      </c>
      <c r="G35" s="88">
        <f>F$10*'Mkt share'!$F$22</f>
        <v>0</v>
      </c>
      <c r="J35" s="87" t="s">
        <v>178</v>
      </c>
      <c r="K35" s="103"/>
      <c r="L35" s="103"/>
      <c r="M35" s="103"/>
      <c r="N35" s="105">
        <v>0</v>
      </c>
      <c r="O35" s="88">
        <f>N$10*'Mkt share'!$F$23</f>
        <v>0</v>
      </c>
      <c r="R35" s="87" t="s">
        <v>178</v>
      </c>
      <c r="S35" s="103"/>
      <c r="T35" s="103"/>
      <c r="U35" s="103"/>
      <c r="V35" s="105">
        <v>0</v>
      </c>
      <c r="W35" s="88">
        <f>V$10*'Mkt share'!$F$24</f>
        <v>0</v>
      </c>
      <c r="Z35" s="87" t="s">
        <v>178</v>
      </c>
      <c r="AA35" s="103"/>
      <c r="AB35" s="103"/>
      <c r="AC35" s="103"/>
      <c r="AD35" s="105">
        <v>0</v>
      </c>
      <c r="AE35" s="88">
        <f>AD$10*'Mkt share'!$F$25</f>
        <v>0</v>
      </c>
      <c r="AH35" s="87" t="s">
        <v>178</v>
      </c>
      <c r="AI35" s="103"/>
      <c r="AJ35" s="103"/>
      <c r="AK35" s="103"/>
      <c r="AL35" s="105">
        <v>0</v>
      </c>
      <c r="AM35" s="88">
        <f>AL$10*'Mkt share'!$F$26</f>
        <v>0</v>
      </c>
      <c r="AP35" s="87" t="s">
        <v>178</v>
      </c>
      <c r="AQ35" s="103"/>
      <c r="AR35" s="103"/>
      <c r="AS35" s="103"/>
      <c r="AT35" s="105">
        <v>0</v>
      </c>
      <c r="AU35" s="88">
        <f>AT$10*'Mkt share'!$F$27</f>
        <v>0</v>
      </c>
      <c r="AX35" s="87" t="s">
        <v>178</v>
      </c>
      <c r="AY35" s="103"/>
      <c r="AZ35" s="103"/>
      <c r="BA35" s="103"/>
      <c r="BB35" s="105">
        <v>0</v>
      </c>
      <c r="BC35" s="88">
        <f>BB$10*'Mkt share'!$F$28</f>
        <v>0</v>
      </c>
      <c r="BF35" s="87" t="s">
        <v>178</v>
      </c>
      <c r="BG35" s="103"/>
      <c r="BH35" s="103"/>
      <c r="BI35" s="103"/>
      <c r="BJ35" s="105">
        <v>0</v>
      </c>
      <c r="BK35" s="88">
        <f>BJ$10*'Mkt share'!$F$29</f>
        <v>0</v>
      </c>
      <c r="BN35" s="87" t="s">
        <v>178</v>
      </c>
      <c r="BO35" s="103"/>
      <c r="BP35" s="103"/>
      <c r="BQ35" s="103"/>
      <c r="BR35" s="105">
        <v>0</v>
      </c>
      <c r="BS35" s="88">
        <f>BR$10*'Mkt share'!$F$30</f>
        <v>0</v>
      </c>
      <c r="BV35" s="87" t="s">
        <v>178</v>
      </c>
      <c r="BW35" s="103"/>
      <c r="BX35" s="103"/>
      <c r="BY35" s="103"/>
      <c r="BZ35" s="105">
        <v>0</v>
      </c>
      <c r="CA35" s="88">
        <f>BZ$10*'Mkt share'!$F$31</f>
        <v>0</v>
      </c>
      <c r="CD35" s="87" t="s">
        <v>178</v>
      </c>
      <c r="CE35" s="103"/>
      <c r="CF35" s="103"/>
      <c r="CG35" s="103"/>
      <c r="CH35" s="105">
        <v>0</v>
      </c>
      <c r="CI35" s="88">
        <f>CH$10*'Mkt share'!$F$32</f>
        <v>0</v>
      </c>
      <c r="CL35" s="87" t="s">
        <v>178</v>
      </c>
      <c r="CM35" s="103"/>
      <c r="CN35" s="103"/>
      <c r="CO35" s="103"/>
      <c r="CP35" s="105">
        <v>0</v>
      </c>
      <c r="CQ35" s="88">
        <f>CP$10*'Mkt share'!$F$33</f>
        <v>0</v>
      </c>
      <c r="CT35" s="87" t="s">
        <v>178</v>
      </c>
      <c r="CU35" s="103"/>
      <c r="CV35" s="103"/>
      <c r="CW35" s="103"/>
      <c r="CX35" s="105">
        <v>0</v>
      </c>
      <c r="CY35" s="88">
        <f>CX$10*'Mkt share'!$F$34</f>
        <v>0</v>
      </c>
      <c r="DB35" s="87" t="s">
        <v>178</v>
      </c>
      <c r="DC35" s="103"/>
      <c r="DD35" s="103"/>
      <c r="DE35" s="103"/>
      <c r="DF35" s="105">
        <v>0</v>
      </c>
      <c r="DG35" s="88">
        <f>DF$10*'Mkt share'!$F$35</f>
        <v>0</v>
      </c>
    </row>
    <row r="36" spans="2:111">
      <c r="B36" s="87" t="s">
        <v>174</v>
      </c>
      <c r="C36" s="103"/>
      <c r="D36" s="103"/>
      <c r="E36" s="103"/>
      <c r="F36" s="103"/>
      <c r="G36" s="88">
        <f>G$7*'Mkt share'!$G$22</f>
        <v>0</v>
      </c>
      <c r="J36" s="87" t="s">
        <v>174</v>
      </c>
      <c r="K36" s="103"/>
      <c r="L36" s="103"/>
      <c r="M36" s="103"/>
      <c r="N36" s="103"/>
      <c r="O36" s="88">
        <f>O$7*'Mkt share'!$G$23</f>
        <v>0</v>
      </c>
      <c r="R36" s="87" t="s">
        <v>174</v>
      </c>
      <c r="S36" s="103"/>
      <c r="T36" s="103"/>
      <c r="U36" s="103"/>
      <c r="V36" s="103"/>
      <c r="W36" s="88">
        <f>W$7*'Mkt share'!$G$24</f>
        <v>0</v>
      </c>
      <c r="Z36" s="87" t="s">
        <v>174</v>
      </c>
      <c r="AA36" s="103"/>
      <c r="AB36" s="103"/>
      <c r="AC36" s="103"/>
      <c r="AD36" s="103"/>
      <c r="AE36" s="88">
        <f>AE$7*'Mkt share'!$G$25</f>
        <v>0</v>
      </c>
      <c r="AH36" s="87" t="s">
        <v>174</v>
      </c>
      <c r="AI36" s="103"/>
      <c r="AJ36" s="103"/>
      <c r="AK36" s="103"/>
      <c r="AL36" s="103"/>
      <c r="AM36" s="88">
        <f>AM$7*'Mkt share'!$G$26</f>
        <v>5064.5088330599992</v>
      </c>
      <c r="AP36" s="87" t="s">
        <v>174</v>
      </c>
      <c r="AQ36" s="103"/>
      <c r="AR36" s="103"/>
      <c r="AS36" s="103"/>
      <c r="AT36" s="103"/>
      <c r="AU36" s="88">
        <f>AU$7*'Mkt share'!$G$27</f>
        <v>0</v>
      </c>
      <c r="AX36" s="87" t="s">
        <v>174</v>
      </c>
      <c r="AY36" s="103"/>
      <c r="AZ36" s="103"/>
      <c r="BA36" s="103"/>
      <c r="BB36" s="103"/>
      <c r="BC36" s="88">
        <f>BC$7*'Mkt share'!$G$28</f>
        <v>0</v>
      </c>
      <c r="BF36" s="87" t="s">
        <v>174</v>
      </c>
      <c r="BG36" s="103"/>
      <c r="BH36" s="103"/>
      <c r="BI36" s="103"/>
      <c r="BJ36" s="103"/>
      <c r="BK36" s="88">
        <f>BK$7*'Mkt share'!$G$29</f>
        <v>0</v>
      </c>
      <c r="BN36" s="87" t="s">
        <v>174</v>
      </c>
      <c r="BO36" s="103"/>
      <c r="BP36" s="103"/>
      <c r="BQ36" s="103"/>
      <c r="BR36" s="103"/>
      <c r="BS36" s="88">
        <f>BS$7*'Mkt share'!$G$30</f>
        <v>0</v>
      </c>
      <c r="BV36" s="87" t="s">
        <v>174</v>
      </c>
      <c r="BW36" s="103"/>
      <c r="BX36" s="103"/>
      <c r="BY36" s="103"/>
      <c r="BZ36" s="103"/>
      <c r="CA36" s="88">
        <f>CA$7*'Mkt share'!$G$31</f>
        <v>0</v>
      </c>
      <c r="CD36" s="87" t="s">
        <v>174</v>
      </c>
      <c r="CE36" s="103"/>
      <c r="CF36" s="103"/>
      <c r="CG36" s="103"/>
      <c r="CH36" s="103"/>
      <c r="CI36" s="88">
        <f>CI$7*'Mkt share'!$G$32</f>
        <v>0</v>
      </c>
      <c r="CL36" s="87" t="s">
        <v>174</v>
      </c>
      <c r="CM36" s="103"/>
      <c r="CN36" s="103"/>
      <c r="CO36" s="103"/>
      <c r="CP36" s="103"/>
      <c r="CQ36" s="88">
        <f>CQ$7*'Mkt share'!$G$33</f>
        <v>0</v>
      </c>
      <c r="CT36" s="87" t="s">
        <v>174</v>
      </c>
      <c r="CU36" s="103"/>
      <c r="CV36" s="103"/>
      <c r="CW36" s="103"/>
      <c r="CX36" s="103"/>
      <c r="CY36" s="88">
        <f>CY$7*'Mkt share'!$G$34</f>
        <v>0</v>
      </c>
      <c r="DB36" s="87" t="s">
        <v>174</v>
      </c>
      <c r="DC36" s="103"/>
      <c r="DD36" s="103"/>
      <c r="DE36" s="103"/>
      <c r="DF36" s="103"/>
      <c r="DG36" s="88">
        <f>DG$7*'Mkt share'!$G$35</f>
        <v>0</v>
      </c>
    </row>
    <row r="37" spans="2:111" ht="15" thickBot="1">
      <c r="B37" s="87" t="s">
        <v>179</v>
      </c>
      <c r="C37" s="103"/>
      <c r="D37" s="103"/>
      <c r="E37" s="103"/>
      <c r="F37" s="103"/>
      <c r="G37" s="106">
        <v>0</v>
      </c>
      <c r="J37" s="87" t="s">
        <v>179</v>
      </c>
      <c r="K37" s="103"/>
      <c r="L37" s="103"/>
      <c r="M37" s="103"/>
      <c r="N37" s="103"/>
      <c r="O37" s="106">
        <v>0</v>
      </c>
      <c r="R37" s="87" t="s">
        <v>179</v>
      </c>
      <c r="S37" s="103"/>
      <c r="T37" s="103"/>
      <c r="U37" s="103"/>
      <c r="V37" s="103"/>
      <c r="W37" s="106">
        <v>0</v>
      </c>
      <c r="Z37" s="87" t="s">
        <v>179</v>
      </c>
      <c r="AA37" s="103"/>
      <c r="AB37" s="103"/>
      <c r="AC37" s="103"/>
      <c r="AD37" s="103"/>
      <c r="AE37" s="106">
        <v>0</v>
      </c>
      <c r="AH37" s="87" t="s">
        <v>179</v>
      </c>
      <c r="AI37" s="103"/>
      <c r="AJ37" s="103"/>
      <c r="AK37" s="103"/>
      <c r="AL37" s="103"/>
      <c r="AM37" s="106">
        <v>0</v>
      </c>
      <c r="AP37" s="87" t="s">
        <v>179</v>
      </c>
      <c r="AQ37" s="103"/>
      <c r="AR37" s="103"/>
      <c r="AS37" s="103"/>
      <c r="AT37" s="103"/>
      <c r="AU37" s="106">
        <v>0</v>
      </c>
      <c r="AX37" s="87" t="s">
        <v>179</v>
      </c>
      <c r="AY37" s="103"/>
      <c r="AZ37" s="103"/>
      <c r="BA37" s="103"/>
      <c r="BB37" s="103"/>
      <c r="BC37" s="106">
        <v>0</v>
      </c>
      <c r="BF37" s="87" t="s">
        <v>179</v>
      </c>
      <c r="BG37" s="103"/>
      <c r="BH37" s="103"/>
      <c r="BI37" s="103"/>
      <c r="BJ37" s="103"/>
      <c r="BK37" s="106">
        <v>0</v>
      </c>
      <c r="BN37" s="87" t="s">
        <v>179</v>
      </c>
      <c r="BO37" s="103"/>
      <c r="BP37" s="103"/>
      <c r="BQ37" s="103"/>
      <c r="BR37" s="103"/>
      <c r="BS37" s="106">
        <v>0</v>
      </c>
      <c r="BV37" s="87" t="s">
        <v>179</v>
      </c>
      <c r="BW37" s="103"/>
      <c r="BX37" s="103"/>
      <c r="BY37" s="103"/>
      <c r="BZ37" s="103"/>
      <c r="CA37" s="106">
        <v>0</v>
      </c>
      <c r="CD37" s="87" t="s">
        <v>179</v>
      </c>
      <c r="CE37" s="103"/>
      <c r="CF37" s="103"/>
      <c r="CG37" s="103"/>
      <c r="CH37" s="103"/>
      <c r="CI37" s="106">
        <v>0</v>
      </c>
      <c r="CL37" s="87" t="s">
        <v>179</v>
      </c>
      <c r="CM37" s="103"/>
      <c r="CN37" s="103"/>
      <c r="CO37" s="103"/>
      <c r="CP37" s="103"/>
      <c r="CQ37" s="106">
        <v>0</v>
      </c>
      <c r="CT37" s="87" t="s">
        <v>179</v>
      </c>
      <c r="CU37" s="103"/>
      <c r="CV37" s="103"/>
      <c r="CW37" s="103"/>
      <c r="CX37" s="103"/>
      <c r="CY37" s="106">
        <v>0</v>
      </c>
      <c r="DB37" s="87" t="s">
        <v>179</v>
      </c>
      <c r="DC37" s="103"/>
      <c r="DD37" s="103"/>
      <c r="DE37" s="103"/>
      <c r="DF37" s="103"/>
      <c r="DG37" s="106">
        <v>0</v>
      </c>
    </row>
    <row r="38" spans="2:111" ht="15" thickBot="1">
      <c r="B38" s="89" t="s">
        <v>114</v>
      </c>
      <c r="C38" s="90">
        <f>SUM(C28:C37)</f>
        <v>0</v>
      </c>
      <c r="D38" s="90">
        <f>SUM(D28:D36)</f>
        <v>0</v>
      </c>
      <c r="E38" s="90">
        <f>SUM(E28:E36)</f>
        <v>0</v>
      </c>
      <c r="F38" s="90">
        <f>SUM(F28:F36)</f>
        <v>0</v>
      </c>
      <c r="G38" s="91">
        <f>SUM(G28:G37)</f>
        <v>0</v>
      </c>
      <c r="J38" s="89" t="s">
        <v>114</v>
      </c>
      <c r="K38" s="90">
        <f>SUM(K28:K37)</f>
        <v>0</v>
      </c>
      <c r="L38" s="90">
        <f>SUM(L28:L36)</f>
        <v>0</v>
      </c>
      <c r="M38" s="90">
        <f>SUM(M28:M36)</f>
        <v>0</v>
      </c>
      <c r="N38" s="90">
        <f>SUM(N28:N36)</f>
        <v>0</v>
      </c>
      <c r="O38" s="91">
        <f>SUM(O28:O37)</f>
        <v>0</v>
      </c>
      <c r="R38" s="89" t="s">
        <v>114</v>
      </c>
      <c r="S38" s="90">
        <f>SUM(S28:S37)</f>
        <v>0</v>
      </c>
      <c r="T38" s="90">
        <f>SUM(T28:T36)</f>
        <v>0</v>
      </c>
      <c r="U38" s="90">
        <f>SUM(U28:U36)</f>
        <v>0</v>
      </c>
      <c r="V38" s="90">
        <f>SUM(V28:V36)</f>
        <v>0</v>
      </c>
      <c r="W38" s="91">
        <f>SUM(W28:W37)</f>
        <v>0</v>
      </c>
      <c r="Z38" s="89" t="s">
        <v>114</v>
      </c>
      <c r="AA38" s="90">
        <f>SUM(AA28:AA37)</f>
        <v>0</v>
      </c>
      <c r="AB38" s="90">
        <f>SUM(AB28:AB36)</f>
        <v>0</v>
      </c>
      <c r="AC38" s="90">
        <f>SUM(AC28:AC36)</f>
        <v>0</v>
      </c>
      <c r="AD38" s="90">
        <f>SUM(AD28:AD36)</f>
        <v>0</v>
      </c>
      <c r="AE38" s="91">
        <f>SUM(AE28:AE37)</f>
        <v>0</v>
      </c>
      <c r="AH38" s="89" t="s">
        <v>114</v>
      </c>
      <c r="AI38" s="90">
        <f>SUM(AI28:AI37)</f>
        <v>4950.1446658799996</v>
      </c>
      <c r="AJ38" s="90">
        <f>SUM(AJ28:AJ36)</f>
        <v>9930.8662406999993</v>
      </c>
      <c r="AK38" s="90">
        <f>SUM(AK28:AK36)</f>
        <v>14940.864132899998</v>
      </c>
      <c r="AL38" s="90">
        <f>SUM(AL28:AL36)</f>
        <v>19978.802754059998</v>
      </c>
      <c r="AM38" s="91">
        <f>SUM(AM28:AM37)</f>
        <v>25043.311587119999</v>
      </c>
      <c r="AP38" s="89" t="s">
        <v>114</v>
      </c>
      <c r="AQ38" s="90">
        <f>SUM(AQ28:AQ37)</f>
        <v>0</v>
      </c>
      <c r="AR38" s="90">
        <f>SUM(AR28:AR36)</f>
        <v>0</v>
      </c>
      <c r="AS38" s="90">
        <f>SUM(AS28:AS36)</f>
        <v>0</v>
      </c>
      <c r="AT38" s="90">
        <f>SUM(AT28:AT36)</f>
        <v>0</v>
      </c>
      <c r="AU38" s="91">
        <f>SUM(AU28:AU37)</f>
        <v>0</v>
      </c>
      <c r="AX38" s="89" t="s">
        <v>114</v>
      </c>
      <c r="AY38" s="90">
        <f>SUM(AY28:AY37)</f>
        <v>0</v>
      </c>
      <c r="AZ38" s="90">
        <f>SUM(AZ28:AZ36)</f>
        <v>0</v>
      </c>
      <c r="BA38" s="90">
        <f>SUM(BA28:BA36)</f>
        <v>0</v>
      </c>
      <c r="BB38" s="90">
        <f>SUM(BB28:BB36)</f>
        <v>0</v>
      </c>
      <c r="BC38" s="91">
        <f>SUM(BC28:BC37)</f>
        <v>0</v>
      </c>
      <c r="BF38" s="89" t="s">
        <v>114</v>
      </c>
      <c r="BG38" s="90">
        <f>SUM(BG28:BG37)</f>
        <v>0</v>
      </c>
      <c r="BH38" s="90">
        <f>SUM(BH28:BH36)</f>
        <v>0</v>
      </c>
      <c r="BI38" s="90">
        <f>SUM(BI28:BI36)</f>
        <v>0</v>
      </c>
      <c r="BJ38" s="90">
        <f>SUM(BJ28:BJ36)</f>
        <v>0</v>
      </c>
      <c r="BK38" s="91">
        <f>SUM(BK28:BK37)</f>
        <v>0</v>
      </c>
      <c r="BN38" s="89" t="s">
        <v>114</v>
      </c>
      <c r="BO38" s="90">
        <f>SUM(BO28:BO37)</f>
        <v>0</v>
      </c>
      <c r="BP38" s="90">
        <f>SUM(BP28:BP36)</f>
        <v>0</v>
      </c>
      <c r="BQ38" s="90">
        <f>SUM(BQ28:BQ36)</f>
        <v>0</v>
      </c>
      <c r="BR38" s="90">
        <f>SUM(BR28:BR36)</f>
        <v>0</v>
      </c>
      <c r="BS38" s="91">
        <f>SUM(BS28:BS37)</f>
        <v>0</v>
      </c>
      <c r="BV38" s="89" t="s">
        <v>114</v>
      </c>
      <c r="BW38" s="90">
        <f>SUM(BW28:BW37)</f>
        <v>0</v>
      </c>
      <c r="BX38" s="90">
        <f>SUM(BX28:BX36)</f>
        <v>0</v>
      </c>
      <c r="BY38" s="90">
        <f>SUM(BY28:BY36)</f>
        <v>0</v>
      </c>
      <c r="BZ38" s="90">
        <f>SUM(BZ28:BZ36)</f>
        <v>0</v>
      </c>
      <c r="CA38" s="91">
        <f>SUM(CA28:CA37)</f>
        <v>0</v>
      </c>
      <c r="CD38" s="89" t="s">
        <v>114</v>
      </c>
      <c r="CE38" s="90">
        <f>SUM(CE28:CE37)</f>
        <v>0</v>
      </c>
      <c r="CF38" s="90">
        <f>SUM(CF28:CF36)</f>
        <v>0</v>
      </c>
      <c r="CG38" s="90">
        <f>SUM(CG28:CG36)</f>
        <v>0</v>
      </c>
      <c r="CH38" s="90">
        <f>SUM(CH28:CH36)</f>
        <v>0</v>
      </c>
      <c r="CI38" s="91">
        <f>SUM(CI28:CI37)</f>
        <v>0</v>
      </c>
      <c r="CL38" s="89" t="s">
        <v>114</v>
      </c>
      <c r="CM38" s="90">
        <f>SUM(CM28:CM37)</f>
        <v>0</v>
      </c>
      <c r="CN38" s="90">
        <f>SUM(CN28:CN36)</f>
        <v>0</v>
      </c>
      <c r="CO38" s="90">
        <f>SUM(CO28:CO36)</f>
        <v>0</v>
      </c>
      <c r="CP38" s="90">
        <f>SUM(CP28:CP36)</f>
        <v>0</v>
      </c>
      <c r="CQ38" s="91">
        <f>SUM(CQ28:CQ37)</f>
        <v>0</v>
      </c>
      <c r="CT38" s="89" t="s">
        <v>114</v>
      </c>
      <c r="CU38" s="90">
        <f>SUM(CU28:CU37)</f>
        <v>0</v>
      </c>
      <c r="CV38" s="90">
        <f>SUM(CV28:CV36)</f>
        <v>0</v>
      </c>
      <c r="CW38" s="90">
        <f>SUM(CW28:CW36)</f>
        <v>0</v>
      </c>
      <c r="CX38" s="90">
        <f>SUM(CX28:CX36)</f>
        <v>0</v>
      </c>
      <c r="CY38" s="91">
        <f>SUM(CY28:CY37)</f>
        <v>0</v>
      </c>
      <c r="DB38" s="89" t="s">
        <v>114</v>
      </c>
      <c r="DC38" s="90">
        <f>SUM(DC28:DC37)</f>
        <v>0</v>
      </c>
      <c r="DD38" s="90">
        <f>SUM(DD28:DD36)</f>
        <v>0</v>
      </c>
      <c r="DE38" s="90">
        <f>SUM(DE28:DE36)</f>
        <v>0</v>
      </c>
      <c r="DF38" s="90">
        <f>SUM(DF28:DF36)</f>
        <v>0</v>
      </c>
      <c r="DG38" s="91">
        <f>SUM(DG28:DG37)</f>
        <v>0</v>
      </c>
    </row>
    <row r="39" spans="2:111">
      <c r="B39" s="80" t="s">
        <v>206</v>
      </c>
      <c r="C39" s="92">
        <f>C28+C30+C32+C34+C36</f>
        <v>0</v>
      </c>
      <c r="D39" s="92">
        <f t="shared" ref="D39:G39" si="40">D28+D30+D32+D34+D36</f>
        <v>0</v>
      </c>
      <c r="E39" s="92">
        <f t="shared" si="40"/>
        <v>0</v>
      </c>
      <c r="F39" s="92">
        <f t="shared" si="40"/>
        <v>0</v>
      </c>
      <c r="G39" s="92">
        <f t="shared" si="40"/>
        <v>0</v>
      </c>
      <c r="J39" s="80" t="s">
        <v>206</v>
      </c>
      <c r="K39" s="92">
        <f>K28+K30+K32+K34+K36</f>
        <v>0</v>
      </c>
      <c r="L39" s="92">
        <f t="shared" ref="L39:O39" si="41">L28+L30+L32+L34+L36</f>
        <v>0</v>
      </c>
      <c r="M39" s="92">
        <f t="shared" si="41"/>
        <v>0</v>
      </c>
      <c r="N39" s="92">
        <f t="shared" si="41"/>
        <v>0</v>
      </c>
      <c r="O39" s="92">
        <f t="shared" si="41"/>
        <v>0</v>
      </c>
      <c r="R39" s="80" t="s">
        <v>206</v>
      </c>
      <c r="S39" s="92">
        <f>S28+S30+S32+S34+S36</f>
        <v>0</v>
      </c>
      <c r="T39" s="92">
        <f t="shared" ref="T39:W39" si="42">T28+T30+T32+T34+T36</f>
        <v>0</v>
      </c>
      <c r="U39" s="92">
        <f t="shared" si="42"/>
        <v>0</v>
      </c>
      <c r="V39" s="92">
        <f t="shared" si="42"/>
        <v>0</v>
      </c>
      <c r="W39" s="92">
        <f t="shared" si="42"/>
        <v>0</v>
      </c>
      <c r="Z39" s="80" t="s">
        <v>206</v>
      </c>
      <c r="AA39" s="92">
        <f>AA28+AA30+AA32+AA34+AA36</f>
        <v>0</v>
      </c>
      <c r="AB39" s="92">
        <f t="shared" ref="AB39:AE39" si="43">AB28+AB30+AB32+AB34+AB36</f>
        <v>0</v>
      </c>
      <c r="AC39" s="92">
        <f t="shared" si="43"/>
        <v>0</v>
      </c>
      <c r="AD39" s="92">
        <f t="shared" si="43"/>
        <v>0</v>
      </c>
      <c r="AE39" s="92">
        <f t="shared" si="43"/>
        <v>0</v>
      </c>
      <c r="AH39" s="80" t="s">
        <v>206</v>
      </c>
      <c r="AI39" s="92">
        <f>AI28+AI30+AI32+AI34+AI36</f>
        <v>4950.1446658799996</v>
      </c>
      <c r="AJ39" s="92">
        <f t="shared" ref="AJ39:AM39" si="44">AJ28+AJ30+AJ32+AJ34+AJ36</f>
        <v>9930.8662406999993</v>
      </c>
      <c r="AK39" s="92">
        <f t="shared" si="44"/>
        <v>14940.864132899998</v>
      </c>
      <c r="AL39" s="92">
        <f t="shared" si="44"/>
        <v>19978.802754059998</v>
      </c>
      <c r="AM39" s="92">
        <f t="shared" si="44"/>
        <v>25043.311587119999</v>
      </c>
      <c r="AP39" s="80" t="s">
        <v>206</v>
      </c>
      <c r="AQ39" s="92">
        <f>AQ28+AQ30+AQ32+AQ34+AQ36</f>
        <v>0</v>
      </c>
      <c r="AR39" s="92">
        <f t="shared" ref="AR39:AU39" si="45">AR28+AR30+AR32+AR34+AR36</f>
        <v>0</v>
      </c>
      <c r="AS39" s="92">
        <f t="shared" si="45"/>
        <v>0</v>
      </c>
      <c r="AT39" s="92">
        <f t="shared" si="45"/>
        <v>0</v>
      </c>
      <c r="AU39" s="92">
        <f t="shared" si="45"/>
        <v>0</v>
      </c>
      <c r="AX39" s="80" t="s">
        <v>206</v>
      </c>
      <c r="AY39" s="92">
        <f>AY28+AY30+AY32+AY34+AY36</f>
        <v>0</v>
      </c>
      <c r="AZ39" s="92">
        <f t="shared" ref="AZ39:BC39" si="46">AZ28+AZ30+AZ32+AZ34+AZ36</f>
        <v>0</v>
      </c>
      <c r="BA39" s="92">
        <f t="shared" si="46"/>
        <v>0</v>
      </c>
      <c r="BB39" s="92">
        <f t="shared" si="46"/>
        <v>0</v>
      </c>
      <c r="BC39" s="92">
        <f t="shared" si="46"/>
        <v>0</v>
      </c>
      <c r="BF39" s="80" t="s">
        <v>206</v>
      </c>
      <c r="BG39" s="92">
        <f>BG28+BG30+BG32+BG34+BG36</f>
        <v>0</v>
      </c>
      <c r="BH39" s="92">
        <f t="shared" ref="BH39:BK39" si="47">BH28+BH30+BH32+BH34+BH36</f>
        <v>0</v>
      </c>
      <c r="BI39" s="92">
        <f t="shared" si="47"/>
        <v>0</v>
      </c>
      <c r="BJ39" s="92">
        <f t="shared" si="47"/>
        <v>0</v>
      </c>
      <c r="BK39" s="92">
        <f t="shared" si="47"/>
        <v>0</v>
      </c>
      <c r="BN39" s="80" t="s">
        <v>206</v>
      </c>
      <c r="BO39" s="92">
        <f>BO28+BO30+BO32+BO34+BO36</f>
        <v>0</v>
      </c>
      <c r="BP39" s="92">
        <f t="shared" ref="BP39:BS39" si="48">BP28+BP30+BP32+BP34+BP36</f>
        <v>0</v>
      </c>
      <c r="BQ39" s="92">
        <f t="shared" si="48"/>
        <v>0</v>
      </c>
      <c r="BR39" s="92">
        <f t="shared" si="48"/>
        <v>0</v>
      </c>
      <c r="BS39" s="92">
        <f t="shared" si="48"/>
        <v>0</v>
      </c>
      <c r="BV39" s="80" t="s">
        <v>206</v>
      </c>
      <c r="BW39" s="92">
        <f>BW28+BW30+BW32+BW34+BW36</f>
        <v>0</v>
      </c>
      <c r="BX39" s="92">
        <f t="shared" ref="BX39:CA39" si="49">BX28+BX30+BX32+BX34+BX36</f>
        <v>0</v>
      </c>
      <c r="BY39" s="92">
        <f t="shared" si="49"/>
        <v>0</v>
      </c>
      <c r="BZ39" s="92">
        <f t="shared" si="49"/>
        <v>0</v>
      </c>
      <c r="CA39" s="92">
        <f t="shared" si="49"/>
        <v>0</v>
      </c>
      <c r="CD39" s="80" t="s">
        <v>206</v>
      </c>
      <c r="CE39" s="92">
        <f>CE28+CE30+CE32+CE34+CE36</f>
        <v>0</v>
      </c>
      <c r="CF39" s="92">
        <f t="shared" ref="CF39:CI39" si="50">CF28+CF30+CF32+CF34+CF36</f>
        <v>0</v>
      </c>
      <c r="CG39" s="92">
        <f t="shared" si="50"/>
        <v>0</v>
      </c>
      <c r="CH39" s="92">
        <f t="shared" si="50"/>
        <v>0</v>
      </c>
      <c r="CI39" s="92">
        <f t="shared" si="50"/>
        <v>0</v>
      </c>
      <c r="CL39" s="80" t="s">
        <v>206</v>
      </c>
      <c r="CM39" s="92">
        <f>CM28+CM30+CM32+CM34+CM36</f>
        <v>0</v>
      </c>
      <c r="CN39" s="92">
        <f t="shared" ref="CN39:CQ39" si="51">CN28+CN30+CN32+CN34+CN36</f>
        <v>0</v>
      </c>
      <c r="CO39" s="92">
        <f t="shared" si="51"/>
        <v>0</v>
      </c>
      <c r="CP39" s="92">
        <f t="shared" si="51"/>
        <v>0</v>
      </c>
      <c r="CQ39" s="92">
        <f t="shared" si="51"/>
        <v>0</v>
      </c>
      <c r="CT39" s="80" t="s">
        <v>206</v>
      </c>
      <c r="CU39" s="92">
        <f>CU28+CU30+CU32+CU34+CU36</f>
        <v>0</v>
      </c>
      <c r="CV39" s="92">
        <f t="shared" ref="CV39:CY39" si="52">CV28+CV30+CV32+CV34+CV36</f>
        <v>0</v>
      </c>
      <c r="CW39" s="92">
        <f t="shared" si="52"/>
        <v>0</v>
      </c>
      <c r="CX39" s="92">
        <f t="shared" si="52"/>
        <v>0</v>
      </c>
      <c r="CY39" s="92">
        <f t="shared" si="52"/>
        <v>0</v>
      </c>
      <c r="DB39" s="80" t="s">
        <v>206</v>
      </c>
      <c r="DC39" s="92">
        <f>DC28+DC30+DC32+DC34+DC36</f>
        <v>0</v>
      </c>
      <c r="DD39" s="92">
        <f t="shared" ref="DD39:DG39" si="53">DD28+DD30+DD32+DD34+DD36</f>
        <v>0</v>
      </c>
      <c r="DE39" s="92">
        <f t="shared" si="53"/>
        <v>0</v>
      </c>
      <c r="DF39" s="92">
        <f t="shared" si="53"/>
        <v>0</v>
      </c>
      <c r="DG39" s="92">
        <f t="shared" si="53"/>
        <v>0</v>
      </c>
    </row>
    <row r="40" spans="2:111" ht="15" thickBot="1">
      <c r="B40" s="80" t="s">
        <v>208</v>
      </c>
      <c r="C40" s="92">
        <f>C29+C31+C33+C35+C37</f>
        <v>0</v>
      </c>
      <c r="D40" s="92">
        <f t="shared" ref="D40:G40" si="54">D29+D31+D33+D35+D37</f>
        <v>0</v>
      </c>
      <c r="E40" s="92">
        <f t="shared" si="54"/>
        <v>0</v>
      </c>
      <c r="F40" s="92">
        <f t="shared" si="54"/>
        <v>0</v>
      </c>
      <c r="G40" s="92">
        <f t="shared" si="54"/>
        <v>0</v>
      </c>
      <c r="J40" s="80" t="s">
        <v>208</v>
      </c>
      <c r="K40" s="92">
        <f>K29+K31+K33+K35+K37</f>
        <v>0</v>
      </c>
      <c r="L40" s="92">
        <f t="shared" ref="L40:O40" si="55">L29+L31+L33+L35+L37</f>
        <v>0</v>
      </c>
      <c r="M40" s="92">
        <f t="shared" si="55"/>
        <v>0</v>
      </c>
      <c r="N40" s="92">
        <f t="shared" si="55"/>
        <v>0</v>
      </c>
      <c r="O40" s="92">
        <f t="shared" si="55"/>
        <v>0</v>
      </c>
      <c r="R40" s="80" t="s">
        <v>208</v>
      </c>
      <c r="S40" s="92">
        <f>S29+S31+S33+S35+S37</f>
        <v>0</v>
      </c>
      <c r="T40" s="92">
        <f t="shared" ref="T40:W40" si="56">T29+T31+T33+T35+T37</f>
        <v>0</v>
      </c>
      <c r="U40" s="92">
        <f t="shared" si="56"/>
        <v>0</v>
      </c>
      <c r="V40" s="92">
        <f t="shared" si="56"/>
        <v>0</v>
      </c>
      <c r="W40" s="92">
        <f t="shared" si="56"/>
        <v>0</v>
      </c>
      <c r="Z40" s="80" t="s">
        <v>208</v>
      </c>
      <c r="AA40" s="92">
        <f>AA29+AA31+AA33+AA35+AA37</f>
        <v>0</v>
      </c>
      <c r="AB40" s="92">
        <f t="shared" ref="AB40:AE40" si="57">AB29+AB31+AB33+AB35+AB37</f>
        <v>0</v>
      </c>
      <c r="AC40" s="92">
        <f t="shared" si="57"/>
        <v>0</v>
      </c>
      <c r="AD40" s="92">
        <f t="shared" si="57"/>
        <v>0</v>
      </c>
      <c r="AE40" s="92">
        <f t="shared" si="57"/>
        <v>0</v>
      </c>
      <c r="AH40" s="80" t="s">
        <v>208</v>
      </c>
      <c r="AI40" s="92">
        <f>AI29+AI31+AI33+AI35+AI37</f>
        <v>0</v>
      </c>
      <c r="AJ40" s="92">
        <f t="shared" ref="AJ40:AM40" si="58">AJ29+AJ31+AJ33+AJ35+AJ37</f>
        <v>0</v>
      </c>
      <c r="AK40" s="92">
        <f t="shared" si="58"/>
        <v>0</v>
      </c>
      <c r="AL40" s="92">
        <f t="shared" si="58"/>
        <v>0</v>
      </c>
      <c r="AM40" s="92">
        <f t="shared" si="58"/>
        <v>0</v>
      </c>
      <c r="AP40" s="80" t="s">
        <v>208</v>
      </c>
      <c r="AQ40" s="92">
        <f>AQ29+AQ31+AQ33+AQ35+AQ37</f>
        <v>0</v>
      </c>
      <c r="AR40" s="92">
        <f t="shared" ref="AR40:AU40" si="59">AR29+AR31+AR33+AR35+AR37</f>
        <v>0</v>
      </c>
      <c r="AS40" s="92">
        <f t="shared" si="59"/>
        <v>0</v>
      </c>
      <c r="AT40" s="92">
        <f t="shared" si="59"/>
        <v>0</v>
      </c>
      <c r="AU40" s="92">
        <f t="shared" si="59"/>
        <v>0</v>
      </c>
      <c r="AX40" s="80" t="s">
        <v>208</v>
      </c>
      <c r="AY40" s="92">
        <f>AY29+AY31+AY33+AY35+AY37</f>
        <v>0</v>
      </c>
      <c r="AZ40" s="92">
        <f t="shared" ref="AZ40:BC40" si="60">AZ29+AZ31+AZ33+AZ35+AZ37</f>
        <v>0</v>
      </c>
      <c r="BA40" s="92">
        <f t="shared" si="60"/>
        <v>0</v>
      </c>
      <c r="BB40" s="92">
        <f t="shared" si="60"/>
        <v>0</v>
      </c>
      <c r="BC40" s="92">
        <f t="shared" si="60"/>
        <v>0</v>
      </c>
      <c r="BF40" s="80" t="s">
        <v>208</v>
      </c>
      <c r="BG40" s="92">
        <f>BG29+BG31+BG33+BG35+BG37</f>
        <v>0</v>
      </c>
      <c r="BH40" s="92">
        <f t="shared" ref="BH40:BK40" si="61">BH29+BH31+BH33+BH35+BH37</f>
        <v>0</v>
      </c>
      <c r="BI40" s="92">
        <f t="shared" si="61"/>
        <v>0</v>
      </c>
      <c r="BJ40" s="92">
        <f t="shared" si="61"/>
        <v>0</v>
      </c>
      <c r="BK40" s="92">
        <f t="shared" si="61"/>
        <v>0</v>
      </c>
      <c r="BN40" s="80" t="s">
        <v>208</v>
      </c>
      <c r="BO40" s="92">
        <f>BO29+BO31+BO33+BO35+BO37</f>
        <v>0</v>
      </c>
      <c r="BP40" s="92">
        <f t="shared" ref="BP40:BS40" si="62">BP29+BP31+BP33+BP35+BP37</f>
        <v>0</v>
      </c>
      <c r="BQ40" s="92">
        <f t="shared" si="62"/>
        <v>0</v>
      </c>
      <c r="BR40" s="92">
        <f t="shared" si="62"/>
        <v>0</v>
      </c>
      <c r="BS40" s="92">
        <f t="shared" si="62"/>
        <v>0</v>
      </c>
      <c r="BV40" s="80" t="s">
        <v>208</v>
      </c>
      <c r="BW40" s="92">
        <f>BW29+BW31+BW33+BW35+BW37</f>
        <v>0</v>
      </c>
      <c r="BX40" s="92">
        <f t="shared" ref="BX40:CA40" si="63">BX29+BX31+BX33+BX35+BX37</f>
        <v>0</v>
      </c>
      <c r="BY40" s="92">
        <f t="shared" si="63"/>
        <v>0</v>
      </c>
      <c r="BZ40" s="92">
        <f t="shared" si="63"/>
        <v>0</v>
      </c>
      <c r="CA40" s="92">
        <f t="shared" si="63"/>
        <v>0</v>
      </c>
      <c r="CD40" s="80" t="s">
        <v>208</v>
      </c>
      <c r="CE40" s="92">
        <f>CE29+CE31+CE33+CE35+CE37</f>
        <v>0</v>
      </c>
      <c r="CF40" s="92">
        <f t="shared" ref="CF40:CI40" si="64">CF29+CF31+CF33+CF35+CF37</f>
        <v>0</v>
      </c>
      <c r="CG40" s="92">
        <f t="shared" si="64"/>
        <v>0</v>
      </c>
      <c r="CH40" s="92">
        <f t="shared" si="64"/>
        <v>0</v>
      </c>
      <c r="CI40" s="92">
        <f t="shared" si="64"/>
        <v>0</v>
      </c>
      <c r="CL40" s="80" t="s">
        <v>208</v>
      </c>
      <c r="CM40" s="92">
        <f>CM29+CM31+CM33+CM35+CM37</f>
        <v>0</v>
      </c>
      <c r="CN40" s="92">
        <f t="shared" ref="CN40:CQ40" si="65">CN29+CN31+CN33+CN35+CN37</f>
        <v>0</v>
      </c>
      <c r="CO40" s="92">
        <f t="shared" si="65"/>
        <v>0</v>
      </c>
      <c r="CP40" s="92">
        <f t="shared" si="65"/>
        <v>0</v>
      </c>
      <c r="CQ40" s="92">
        <f t="shared" si="65"/>
        <v>0</v>
      </c>
      <c r="CT40" s="80" t="s">
        <v>208</v>
      </c>
      <c r="CU40" s="92">
        <f>CU29+CU31+CU33+CU35+CU37</f>
        <v>0</v>
      </c>
      <c r="CV40" s="92">
        <f t="shared" ref="CV40:CY40" si="66">CV29+CV31+CV33+CV35+CV37</f>
        <v>0</v>
      </c>
      <c r="CW40" s="92">
        <f t="shared" si="66"/>
        <v>0</v>
      </c>
      <c r="CX40" s="92">
        <f t="shared" si="66"/>
        <v>0</v>
      </c>
      <c r="CY40" s="92">
        <f t="shared" si="66"/>
        <v>0</v>
      </c>
      <c r="DB40" s="80" t="s">
        <v>208</v>
      </c>
      <c r="DC40" s="92">
        <f>DC29+DC31+DC33+DC35+DC37</f>
        <v>0</v>
      </c>
      <c r="DD40" s="92">
        <f t="shared" ref="DD40:DG40" si="67">DD29+DD31+DD33+DD35+DD37</f>
        <v>0</v>
      </c>
      <c r="DE40" s="92">
        <f t="shared" si="67"/>
        <v>0</v>
      </c>
      <c r="DF40" s="92">
        <f t="shared" si="67"/>
        <v>0</v>
      </c>
      <c r="DG40" s="92">
        <f t="shared" si="67"/>
        <v>0</v>
      </c>
    </row>
    <row r="41" spans="2:111" ht="15" thickBot="1">
      <c r="B41" s="507" t="str">
        <f>cen_prop1</f>
        <v>With PET-CT 20-100%</v>
      </c>
      <c r="C41" s="508"/>
      <c r="D41" s="508"/>
      <c r="E41" s="508"/>
      <c r="F41" s="508"/>
      <c r="G41" s="509"/>
      <c r="J41" s="507" t="str">
        <f>cen_prop1</f>
        <v>With PET-CT 20-100%</v>
      </c>
      <c r="K41" s="508"/>
      <c r="L41" s="508"/>
      <c r="M41" s="508"/>
      <c r="N41" s="508"/>
      <c r="O41" s="509"/>
      <c r="R41" s="507" t="str">
        <f>cen_prop1</f>
        <v>With PET-CT 20-100%</v>
      </c>
      <c r="S41" s="508"/>
      <c r="T41" s="508"/>
      <c r="U41" s="508"/>
      <c r="V41" s="508"/>
      <c r="W41" s="509"/>
      <c r="Z41" s="507" t="str">
        <f>cen_prop1</f>
        <v>With PET-CT 20-100%</v>
      </c>
      <c r="AA41" s="508"/>
      <c r="AB41" s="508"/>
      <c r="AC41" s="508"/>
      <c r="AD41" s="508"/>
      <c r="AE41" s="509"/>
      <c r="AH41" s="507" t="str">
        <f>cen_prop1</f>
        <v>With PET-CT 20-100%</v>
      </c>
      <c r="AI41" s="508"/>
      <c r="AJ41" s="508"/>
      <c r="AK41" s="508"/>
      <c r="AL41" s="508"/>
      <c r="AM41" s="509"/>
      <c r="AP41" s="507" t="str">
        <f>cen_prop1</f>
        <v>With PET-CT 20-100%</v>
      </c>
      <c r="AQ41" s="508"/>
      <c r="AR41" s="508"/>
      <c r="AS41" s="508"/>
      <c r="AT41" s="508"/>
      <c r="AU41" s="509"/>
      <c r="AX41" s="507" t="str">
        <f>cen_prop1</f>
        <v>With PET-CT 20-100%</v>
      </c>
      <c r="AY41" s="508"/>
      <c r="AZ41" s="508"/>
      <c r="BA41" s="508"/>
      <c r="BB41" s="508"/>
      <c r="BC41" s="509"/>
      <c r="BF41" s="507" t="str">
        <f>cen_prop1</f>
        <v>With PET-CT 20-100%</v>
      </c>
      <c r="BG41" s="508"/>
      <c r="BH41" s="508"/>
      <c r="BI41" s="508"/>
      <c r="BJ41" s="508"/>
      <c r="BK41" s="509"/>
      <c r="BN41" s="507" t="str">
        <f>cen_prop1</f>
        <v>With PET-CT 20-100%</v>
      </c>
      <c r="BO41" s="508"/>
      <c r="BP41" s="508"/>
      <c r="BQ41" s="508"/>
      <c r="BR41" s="508"/>
      <c r="BS41" s="509"/>
      <c r="BV41" s="507" t="str">
        <f>cen_prop1</f>
        <v>With PET-CT 20-100%</v>
      </c>
      <c r="BW41" s="508"/>
      <c r="BX41" s="508"/>
      <c r="BY41" s="508"/>
      <c r="BZ41" s="508"/>
      <c r="CA41" s="509"/>
      <c r="CD41" s="507" t="str">
        <f>cen_prop1</f>
        <v>With PET-CT 20-100%</v>
      </c>
      <c r="CE41" s="508"/>
      <c r="CF41" s="508"/>
      <c r="CG41" s="508"/>
      <c r="CH41" s="508"/>
      <c r="CI41" s="509"/>
      <c r="CL41" s="507" t="str">
        <f>cen_prop1</f>
        <v>With PET-CT 20-100%</v>
      </c>
      <c r="CM41" s="508"/>
      <c r="CN41" s="508"/>
      <c r="CO41" s="508"/>
      <c r="CP41" s="508"/>
      <c r="CQ41" s="509"/>
      <c r="CT41" s="507" t="str">
        <f>cen_prop1</f>
        <v>With PET-CT 20-100%</v>
      </c>
      <c r="CU41" s="508"/>
      <c r="CV41" s="508"/>
      <c r="CW41" s="508"/>
      <c r="CX41" s="508"/>
      <c r="CY41" s="509"/>
      <c r="DB41" s="507" t="str">
        <f>cen_prop1</f>
        <v>With PET-CT 20-100%</v>
      </c>
      <c r="DC41" s="508"/>
      <c r="DD41" s="508"/>
      <c r="DE41" s="508"/>
      <c r="DF41" s="508"/>
      <c r="DG41" s="509"/>
    </row>
    <row r="42" spans="2:111">
      <c r="B42" s="84"/>
      <c r="C42" s="101">
        <f>ano_1</f>
        <v>2024</v>
      </c>
      <c r="D42" s="101">
        <f>C42+1</f>
        <v>2025</v>
      </c>
      <c r="E42" s="101">
        <f t="shared" ref="E42:G42" si="68">D42+1</f>
        <v>2026</v>
      </c>
      <c r="F42" s="101">
        <f t="shared" si="68"/>
        <v>2027</v>
      </c>
      <c r="G42" s="102">
        <f t="shared" si="68"/>
        <v>2028</v>
      </c>
      <c r="J42" s="84"/>
      <c r="K42" s="101">
        <f>ano_1</f>
        <v>2024</v>
      </c>
      <c r="L42" s="101">
        <f>K42+1</f>
        <v>2025</v>
      </c>
      <c r="M42" s="101">
        <f t="shared" ref="M42" si="69">L42+1</f>
        <v>2026</v>
      </c>
      <c r="N42" s="101">
        <f t="shared" ref="N42" si="70">M42+1</f>
        <v>2027</v>
      </c>
      <c r="O42" s="102">
        <f t="shared" ref="O42" si="71">N42+1</f>
        <v>2028</v>
      </c>
      <c r="R42" s="84"/>
      <c r="S42" s="101">
        <f>ano_1</f>
        <v>2024</v>
      </c>
      <c r="T42" s="101">
        <f>S42+1</f>
        <v>2025</v>
      </c>
      <c r="U42" s="101">
        <f t="shared" ref="U42" si="72">T42+1</f>
        <v>2026</v>
      </c>
      <c r="V42" s="101">
        <f t="shared" ref="V42" si="73">U42+1</f>
        <v>2027</v>
      </c>
      <c r="W42" s="102">
        <f t="shared" ref="W42" si="74">V42+1</f>
        <v>2028</v>
      </c>
      <c r="Z42" s="84"/>
      <c r="AA42" s="101">
        <f>ano_1</f>
        <v>2024</v>
      </c>
      <c r="AB42" s="101">
        <f>AA42+1</f>
        <v>2025</v>
      </c>
      <c r="AC42" s="101">
        <f t="shared" ref="AC42" si="75">AB42+1</f>
        <v>2026</v>
      </c>
      <c r="AD42" s="101">
        <f t="shared" ref="AD42" si="76">AC42+1</f>
        <v>2027</v>
      </c>
      <c r="AE42" s="102">
        <f t="shared" ref="AE42" si="77">AD42+1</f>
        <v>2028</v>
      </c>
      <c r="AH42" s="84"/>
      <c r="AI42" s="101">
        <f>ano_1</f>
        <v>2024</v>
      </c>
      <c r="AJ42" s="101">
        <f>AI42+1</f>
        <v>2025</v>
      </c>
      <c r="AK42" s="101">
        <f t="shared" ref="AK42" si="78">AJ42+1</f>
        <v>2026</v>
      </c>
      <c r="AL42" s="101">
        <f t="shared" ref="AL42" si="79">AK42+1</f>
        <v>2027</v>
      </c>
      <c r="AM42" s="102">
        <f t="shared" ref="AM42" si="80">AL42+1</f>
        <v>2028</v>
      </c>
      <c r="AP42" s="84"/>
      <c r="AQ42" s="101">
        <f>ano_1</f>
        <v>2024</v>
      </c>
      <c r="AR42" s="101">
        <f>AQ42+1</f>
        <v>2025</v>
      </c>
      <c r="AS42" s="101">
        <f t="shared" ref="AS42" si="81">AR42+1</f>
        <v>2026</v>
      </c>
      <c r="AT42" s="101">
        <f t="shared" ref="AT42" si="82">AS42+1</f>
        <v>2027</v>
      </c>
      <c r="AU42" s="102">
        <f t="shared" ref="AU42" si="83">AT42+1</f>
        <v>2028</v>
      </c>
      <c r="AX42" s="84"/>
      <c r="AY42" s="101">
        <f>ano_1</f>
        <v>2024</v>
      </c>
      <c r="AZ42" s="101">
        <f>AY42+1</f>
        <v>2025</v>
      </c>
      <c r="BA42" s="101">
        <f t="shared" ref="BA42" si="84">AZ42+1</f>
        <v>2026</v>
      </c>
      <c r="BB42" s="101">
        <f t="shared" ref="BB42" si="85">BA42+1</f>
        <v>2027</v>
      </c>
      <c r="BC42" s="102">
        <f t="shared" ref="BC42" si="86">BB42+1</f>
        <v>2028</v>
      </c>
      <c r="BF42" s="84"/>
      <c r="BG42" s="101">
        <f>ano_1</f>
        <v>2024</v>
      </c>
      <c r="BH42" s="101">
        <f>BG42+1</f>
        <v>2025</v>
      </c>
      <c r="BI42" s="101">
        <f t="shared" ref="BI42" si="87">BH42+1</f>
        <v>2026</v>
      </c>
      <c r="BJ42" s="101">
        <f t="shared" ref="BJ42" si="88">BI42+1</f>
        <v>2027</v>
      </c>
      <c r="BK42" s="102">
        <f t="shared" ref="BK42" si="89">BJ42+1</f>
        <v>2028</v>
      </c>
      <c r="BN42" s="84"/>
      <c r="BO42" s="101">
        <f>ano_1</f>
        <v>2024</v>
      </c>
      <c r="BP42" s="101">
        <f>BO42+1</f>
        <v>2025</v>
      </c>
      <c r="BQ42" s="101">
        <f t="shared" ref="BQ42" si="90">BP42+1</f>
        <v>2026</v>
      </c>
      <c r="BR42" s="101">
        <f t="shared" ref="BR42" si="91">BQ42+1</f>
        <v>2027</v>
      </c>
      <c r="BS42" s="102">
        <f t="shared" ref="BS42" si="92">BR42+1</f>
        <v>2028</v>
      </c>
      <c r="BV42" s="84"/>
      <c r="BW42" s="101">
        <f>ano_1</f>
        <v>2024</v>
      </c>
      <c r="BX42" s="101">
        <f>BW42+1</f>
        <v>2025</v>
      </c>
      <c r="BY42" s="101">
        <f t="shared" ref="BY42" si="93">BX42+1</f>
        <v>2026</v>
      </c>
      <c r="BZ42" s="101">
        <f t="shared" ref="BZ42" si="94">BY42+1</f>
        <v>2027</v>
      </c>
      <c r="CA42" s="102">
        <f t="shared" ref="CA42" si="95">BZ42+1</f>
        <v>2028</v>
      </c>
      <c r="CD42" s="84"/>
      <c r="CE42" s="101">
        <f>ano_1</f>
        <v>2024</v>
      </c>
      <c r="CF42" s="101">
        <f>CE42+1</f>
        <v>2025</v>
      </c>
      <c r="CG42" s="101">
        <f t="shared" ref="CG42" si="96">CF42+1</f>
        <v>2026</v>
      </c>
      <c r="CH42" s="101">
        <f t="shared" ref="CH42" si="97">CG42+1</f>
        <v>2027</v>
      </c>
      <c r="CI42" s="102">
        <f t="shared" ref="CI42" si="98">CH42+1</f>
        <v>2028</v>
      </c>
      <c r="CL42" s="84"/>
      <c r="CM42" s="101">
        <f>ano_1</f>
        <v>2024</v>
      </c>
      <c r="CN42" s="101">
        <f>CM42+1</f>
        <v>2025</v>
      </c>
      <c r="CO42" s="101">
        <f t="shared" ref="CO42" si="99">CN42+1</f>
        <v>2026</v>
      </c>
      <c r="CP42" s="101">
        <f t="shared" ref="CP42" si="100">CO42+1</f>
        <v>2027</v>
      </c>
      <c r="CQ42" s="102">
        <f t="shared" ref="CQ42" si="101">CP42+1</f>
        <v>2028</v>
      </c>
      <c r="CT42" s="84"/>
      <c r="CU42" s="101">
        <f>ano_1</f>
        <v>2024</v>
      </c>
      <c r="CV42" s="101">
        <f>CU42+1</f>
        <v>2025</v>
      </c>
      <c r="CW42" s="101">
        <f t="shared" ref="CW42" si="102">CV42+1</f>
        <v>2026</v>
      </c>
      <c r="CX42" s="101">
        <f t="shared" ref="CX42" si="103">CW42+1</f>
        <v>2027</v>
      </c>
      <c r="CY42" s="102">
        <f t="shared" ref="CY42" si="104">CX42+1</f>
        <v>2028</v>
      </c>
      <c r="DB42" s="84"/>
      <c r="DC42" s="101">
        <f>ano_1</f>
        <v>2024</v>
      </c>
      <c r="DD42" s="101">
        <f>DC42+1</f>
        <v>2025</v>
      </c>
      <c r="DE42" s="101">
        <f t="shared" ref="DE42" si="105">DD42+1</f>
        <v>2026</v>
      </c>
      <c r="DF42" s="101">
        <f t="shared" ref="DF42" si="106">DE42+1</f>
        <v>2027</v>
      </c>
      <c r="DG42" s="102">
        <f t="shared" ref="DG42" si="107">DF42+1</f>
        <v>2028</v>
      </c>
    </row>
    <row r="43" spans="2:111">
      <c r="B43" s="87" t="s">
        <v>170</v>
      </c>
      <c r="C43" s="80">
        <f>C$7*'Mkt share'!$C$42</f>
        <v>990.02893317600001</v>
      </c>
      <c r="D43" s="80">
        <f>C$8*'Mkt share'!$C$42</f>
        <v>990.02893317600001</v>
      </c>
      <c r="E43" s="80">
        <f>C$11*'Mkt share'!$C$42</f>
        <v>990.02893317600001</v>
      </c>
      <c r="F43" s="80">
        <f>C$14*'Mkt share'!$C$42</f>
        <v>990.02893317600001</v>
      </c>
      <c r="G43" s="88">
        <f>C$17*'Mkt share'!$C$42</f>
        <v>990.02893317600001</v>
      </c>
      <c r="J43" s="87" t="s">
        <v>170</v>
      </c>
      <c r="K43" s="80">
        <f>K$7*'Mkt share'!$C$43</f>
        <v>0</v>
      </c>
      <c r="L43" s="80">
        <f>K$8*'Mkt share'!$C$43</f>
        <v>0</v>
      </c>
      <c r="M43" s="80">
        <f>K$11*'Mkt share'!$C$43</f>
        <v>0</v>
      </c>
      <c r="N43" s="80">
        <f>K$14*'Mkt share'!$C$43</f>
        <v>0</v>
      </c>
      <c r="O43" s="88">
        <f>K$17*'Mkt share'!$C$43</f>
        <v>0</v>
      </c>
      <c r="R43" s="87" t="s">
        <v>170</v>
      </c>
      <c r="S43" s="80">
        <f>S$7*'Mkt share'!$C$44</f>
        <v>0</v>
      </c>
      <c r="T43" s="80">
        <f>S$8*'Mkt share'!$C$44</f>
        <v>0</v>
      </c>
      <c r="U43" s="80">
        <f>S$11*'Mkt share'!$C$44</f>
        <v>0</v>
      </c>
      <c r="V43" s="80">
        <f>S$14*'Mkt share'!$C$44</f>
        <v>0</v>
      </c>
      <c r="W43" s="88">
        <f>S$17*'Mkt share'!$C$44</f>
        <v>0</v>
      </c>
      <c r="Z43" s="87" t="s">
        <v>170</v>
      </c>
      <c r="AA43" s="80">
        <f>AA$7*'Mkt share'!$C$45</f>
        <v>0</v>
      </c>
      <c r="AB43" s="80">
        <f>AA$8*'Mkt share'!$C$45</f>
        <v>0</v>
      </c>
      <c r="AC43" s="80">
        <f>AA$11*'Mkt share'!$C$45</f>
        <v>0</v>
      </c>
      <c r="AD43" s="80">
        <f>AA$14*'Mkt share'!$C$45</f>
        <v>0</v>
      </c>
      <c r="AE43" s="88">
        <f>AA$17*'Mkt share'!$C$45</f>
        <v>0</v>
      </c>
      <c r="AH43" s="87" t="s">
        <v>170</v>
      </c>
      <c r="AI43" s="80">
        <f>AI$7*'Mkt share'!$C$46</f>
        <v>3960.115732704</v>
      </c>
      <c r="AJ43" s="80">
        <f>AI$8*'Mkt share'!$C$46</f>
        <v>3960.115732704</v>
      </c>
      <c r="AK43" s="80">
        <f>AI$11*'Mkt share'!$C$46</f>
        <v>3960.115732704</v>
      </c>
      <c r="AL43" s="80">
        <f>AI$14*'Mkt share'!$C$46</f>
        <v>3960.115732704</v>
      </c>
      <c r="AM43" s="88">
        <f>AI$17*'Mkt share'!$C$46</f>
        <v>3960.115732704</v>
      </c>
      <c r="AP43" s="87" t="s">
        <v>170</v>
      </c>
      <c r="AQ43" s="80">
        <f>AQ$7*'Mkt share'!$C$47</f>
        <v>0</v>
      </c>
      <c r="AR43" s="80">
        <f>AQ$8*'Mkt share'!$C$47</f>
        <v>0</v>
      </c>
      <c r="AS43" s="80">
        <f>AQ$11*'Mkt share'!$C$47</f>
        <v>0</v>
      </c>
      <c r="AT43" s="80">
        <f>AQ$14*'Mkt share'!$C$47</f>
        <v>0</v>
      </c>
      <c r="AU43" s="88">
        <f>AQ$17*'Mkt share'!$C$47</f>
        <v>0</v>
      </c>
      <c r="AX43" s="87" t="s">
        <v>170</v>
      </c>
      <c r="AY43" s="80">
        <f>AY$7*'Mkt share'!$C$48</f>
        <v>0</v>
      </c>
      <c r="AZ43" s="80">
        <f>AY$8*'Mkt share'!$C$48</f>
        <v>0</v>
      </c>
      <c r="BA43" s="80">
        <f>AY$11*'Mkt share'!$C$48</f>
        <v>0</v>
      </c>
      <c r="BB43" s="80">
        <f>AY$14*'Mkt share'!$C$48</f>
        <v>0</v>
      </c>
      <c r="BC43" s="88">
        <f>AY$17*'Mkt share'!$C$48</f>
        <v>0</v>
      </c>
      <c r="BF43" s="87" t="s">
        <v>170</v>
      </c>
      <c r="BG43" s="80">
        <f>BG$7*'Mkt share'!$C$49</f>
        <v>0</v>
      </c>
      <c r="BH43" s="80">
        <f>BG$8*'Mkt share'!$C$49</f>
        <v>0</v>
      </c>
      <c r="BI43" s="80">
        <f>BG$11*'Mkt share'!$C$49</f>
        <v>0</v>
      </c>
      <c r="BJ43" s="80">
        <f>BG$14*'Mkt share'!$C$49</f>
        <v>0</v>
      </c>
      <c r="BK43" s="88">
        <f>BG$17*'Mkt share'!$C$49</f>
        <v>0</v>
      </c>
      <c r="BN43" s="87" t="s">
        <v>170</v>
      </c>
      <c r="BO43" s="80">
        <f>BO$7*'Mkt share'!$C$50</f>
        <v>0</v>
      </c>
      <c r="BP43" s="80">
        <f>BO$8*'Mkt share'!$C$50</f>
        <v>0</v>
      </c>
      <c r="BQ43" s="80">
        <f>BO$11*'Mkt share'!$C$50</f>
        <v>0</v>
      </c>
      <c r="BR43" s="80">
        <f>BO$14*'Mkt share'!$C$50</f>
        <v>0</v>
      </c>
      <c r="BS43" s="88">
        <f>BO$17*'Mkt share'!$C$50</f>
        <v>0</v>
      </c>
      <c r="BV43" s="87" t="s">
        <v>170</v>
      </c>
      <c r="BW43" s="80">
        <f>BW$7*'Mkt share'!$C$51</f>
        <v>0</v>
      </c>
      <c r="BX43" s="80">
        <f>BW$8*'Mkt share'!$C$51</f>
        <v>0</v>
      </c>
      <c r="BY43" s="80">
        <f>BW$11*'Mkt share'!$C$51</f>
        <v>0</v>
      </c>
      <c r="BZ43" s="80">
        <f>BW$14*'Mkt share'!$C$51</f>
        <v>0</v>
      </c>
      <c r="CA43" s="88">
        <f>BW$17*'Mkt share'!$C$51</f>
        <v>0</v>
      </c>
      <c r="CD43" s="87" t="s">
        <v>170</v>
      </c>
      <c r="CE43" s="80">
        <f>CE$7*'Mkt share'!$C$52</f>
        <v>0</v>
      </c>
      <c r="CF43" s="80">
        <f>CE$8*'Mkt share'!$C$52</f>
        <v>0</v>
      </c>
      <c r="CG43" s="80">
        <f>CE$11*'Mkt share'!$C$52</f>
        <v>0</v>
      </c>
      <c r="CH43" s="80">
        <f>CE$14*'Mkt share'!$C$52</f>
        <v>0</v>
      </c>
      <c r="CI43" s="88">
        <f>CE$17*'Mkt share'!$C$52</f>
        <v>0</v>
      </c>
      <c r="CL43" s="87" t="s">
        <v>170</v>
      </c>
      <c r="CM43" s="80">
        <f>CM$7*'Mkt share'!$C$53</f>
        <v>0</v>
      </c>
      <c r="CN43" s="80">
        <f>CM$8*'Mkt share'!$C$53</f>
        <v>0</v>
      </c>
      <c r="CO43" s="80">
        <f>CM$11*'Mkt share'!$C$53</f>
        <v>0</v>
      </c>
      <c r="CP43" s="80">
        <f>CM$14*'Mkt share'!$C$53</f>
        <v>0</v>
      </c>
      <c r="CQ43" s="88">
        <f>CM$17*'Mkt share'!$C$53</f>
        <v>0</v>
      </c>
      <c r="CT43" s="87" t="s">
        <v>170</v>
      </c>
      <c r="CU43" s="80">
        <f>CU$7*'Mkt share'!$C$54</f>
        <v>0</v>
      </c>
      <c r="CV43" s="80">
        <f>CU$8*'Mkt share'!$C$54</f>
        <v>0</v>
      </c>
      <c r="CW43" s="80">
        <f>CU$11*'Mkt share'!$C$54</f>
        <v>0</v>
      </c>
      <c r="CX43" s="80">
        <f>CU$14*'Mkt share'!$C$54</f>
        <v>0</v>
      </c>
      <c r="CY43" s="88">
        <f>CU$17*'Mkt share'!$C$54</f>
        <v>0</v>
      </c>
      <c r="DB43" s="87" t="s">
        <v>170</v>
      </c>
      <c r="DC43" s="80">
        <f>DC$7*'Mkt share'!$C$55</f>
        <v>0</v>
      </c>
      <c r="DD43" s="80">
        <f>DC$8*'Mkt share'!$C$55</f>
        <v>0</v>
      </c>
      <c r="DE43" s="80">
        <f>DC$11*'Mkt share'!$C$55</f>
        <v>0</v>
      </c>
      <c r="DF43" s="80">
        <f>DC$14*'Mkt share'!$C$55</f>
        <v>0</v>
      </c>
      <c r="DG43" s="88">
        <f>DC$17*'Mkt share'!$C$55</f>
        <v>0</v>
      </c>
    </row>
    <row r="44" spans="2:111">
      <c r="B44" s="87" t="s">
        <v>175</v>
      </c>
      <c r="C44" s="105">
        <v>0</v>
      </c>
      <c r="D44" s="80">
        <f>C$10*'Mkt share'!$C$42</f>
        <v>0</v>
      </c>
      <c r="E44" s="80">
        <f>C$13*'Mkt share'!$C$42</f>
        <v>0</v>
      </c>
      <c r="F44" s="80">
        <f>C$16*'Mkt share'!$C$42</f>
        <v>0</v>
      </c>
      <c r="G44" s="88">
        <f>C$19*'Mkt share'!$C$42</f>
        <v>0</v>
      </c>
      <c r="J44" s="87" t="s">
        <v>175</v>
      </c>
      <c r="K44" s="105">
        <v>0</v>
      </c>
      <c r="L44" s="80">
        <f>K$10*'Mkt share'!$C$43</f>
        <v>0</v>
      </c>
      <c r="M44" s="80">
        <f>K$13*'Mkt share'!$C$43</f>
        <v>0</v>
      </c>
      <c r="N44" s="80">
        <f>K$16*'Mkt share'!$C$43</f>
        <v>0</v>
      </c>
      <c r="O44" s="88">
        <f>K$19*'Mkt share'!$C$43</f>
        <v>0</v>
      </c>
      <c r="R44" s="87" t="s">
        <v>175</v>
      </c>
      <c r="S44" s="105">
        <v>0</v>
      </c>
      <c r="T44" s="80">
        <f>S$10*'Mkt share'!$C$44</f>
        <v>0</v>
      </c>
      <c r="U44" s="80">
        <f>S$13*'Mkt share'!$C$44</f>
        <v>0</v>
      </c>
      <c r="V44" s="80">
        <f>S$16*'Mkt share'!$C$44</f>
        <v>0</v>
      </c>
      <c r="W44" s="88">
        <f>S$19*'Mkt share'!$C$44</f>
        <v>0</v>
      </c>
      <c r="Z44" s="87" t="s">
        <v>175</v>
      </c>
      <c r="AA44" s="105">
        <v>0</v>
      </c>
      <c r="AB44" s="80">
        <f>AA$10*'Mkt share'!$C$45</f>
        <v>0</v>
      </c>
      <c r="AC44" s="80">
        <f>AA$13*'Mkt share'!$C$45</f>
        <v>0</v>
      </c>
      <c r="AD44" s="80">
        <f>AA$16*'Mkt share'!$C$45</f>
        <v>0</v>
      </c>
      <c r="AE44" s="88">
        <f>AA$19*'Mkt share'!$C$45</f>
        <v>0</v>
      </c>
      <c r="AH44" s="87" t="s">
        <v>175</v>
      </c>
      <c r="AI44" s="105">
        <v>0</v>
      </c>
      <c r="AJ44" s="80">
        <f>AI$10*'Mkt share'!$C$46</f>
        <v>0</v>
      </c>
      <c r="AK44" s="80">
        <f>AI$13*'Mkt share'!$C$46</f>
        <v>0</v>
      </c>
      <c r="AL44" s="80">
        <f>AI$16*'Mkt share'!$C$46</f>
        <v>0</v>
      </c>
      <c r="AM44" s="88">
        <f>AI$19*'Mkt share'!$C$46</f>
        <v>0</v>
      </c>
      <c r="AP44" s="87" t="s">
        <v>175</v>
      </c>
      <c r="AQ44" s="105">
        <v>0</v>
      </c>
      <c r="AR44" s="80">
        <f>AQ$10*'Mkt share'!$C$47</f>
        <v>0</v>
      </c>
      <c r="AS44" s="80">
        <f>AQ$13*'Mkt share'!$C$47</f>
        <v>0</v>
      </c>
      <c r="AT44" s="80">
        <f>AQ$16*'Mkt share'!$C$47</f>
        <v>0</v>
      </c>
      <c r="AU44" s="88">
        <f>AQ$19*'Mkt share'!$C$47</f>
        <v>0</v>
      </c>
      <c r="AX44" s="87" t="s">
        <v>175</v>
      </c>
      <c r="AY44" s="105">
        <v>0</v>
      </c>
      <c r="AZ44" s="80">
        <f>AY$10*'Mkt share'!$C$48</f>
        <v>0</v>
      </c>
      <c r="BA44" s="80">
        <f>AY$13*'Mkt share'!$C$48</f>
        <v>0</v>
      </c>
      <c r="BB44" s="80">
        <f>AY$16*'Mkt share'!$C$48</f>
        <v>0</v>
      </c>
      <c r="BC44" s="88">
        <f>AY$19*'Mkt share'!$C$48</f>
        <v>0</v>
      </c>
      <c r="BF44" s="87" t="s">
        <v>175</v>
      </c>
      <c r="BG44" s="105">
        <v>0</v>
      </c>
      <c r="BH44" s="80">
        <f>BG$10*'Mkt share'!$C$49</f>
        <v>0</v>
      </c>
      <c r="BI44" s="80">
        <f>BG$13*'Mkt share'!$C$49</f>
        <v>0</v>
      </c>
      <c r="BJ44" s="80">
        <f>BG$16*'Mkt share'!$C$49</f>
        <v>0</v>
      </c>
      <c r="BK44" s="88">
        <f>BG$19*'Mkt share'!$C$49</f>
        <v>0</v>
      </c>
      <c r="BN44" s="87" t="s">
        <v>175</v>
      </c>
      <c r="BO44" s="105">
        <v>0</v>
      </c>
      <c r="BP44" s="80">
        <f>BO$10*'Mkt share'!$C$50</f>
        <v>0</v>
      </c>
      <c r="BQ44" s="80">
        <f>BO$13*'Mkt share'!$C$50</f>
        <v>0</v>
      </c>
      <c r="BR44" s="80">
        <f>BO$16*'Mkt share'!$C$50</f>
        <v>0</v>
      </c>
      <c r="BS44" s="88">
        <f>BO$19*'Mkt share'!$C$50</f>
        <v>0</v>
      </c>
      <c r="BV44" s="87" t="s">
        <v>175</v>
      </c>
      <c r="BW44" s="105">
        <v>0</v>
      </c>
      <c r="BX44" s="80">
        <f>BW$10*'Mkt share'!$C$51</f>
        <v>0</v>
      </c>
      <c r="BY44" s="80">
        <f>BW$13*'Mkt share'!$C$51</f>
        <v>0</v>
      </c>
      <c r="BZ44" s="80">
        <f>BW$16*'Mkt share'!$C$51</f>
        <v>0</v>
      </c>
      <c r="CA44" s="88">
        <f>BW$19*'Mkt share'!$C$51</f>
        <v>0</v>
      </c>
      <c r="CD44" s="87" t="s">
        <v>175</v>
      </c>
      <c r="CE44" s="105">
        <v>0</v>
      </c>
      <c r="CF44" s="80">
        <f>CE$10*'Mkt share'!$C$52</f>
        <v>0</v>
      </c>
      <c r="CG44" s="80">
        <f>CE$13*'Mkt share'!$C$52</f>
        <v>0</v>
      </c>
      <c r="CH44" s="80">
        <f>CE$16*'Mkt share'!$C$52</f>
        <v>0</v>
      </c>
      <c r="CI44" s="88">
        <f>CE$19*'Mkt share'!$C$52</f>
        <v>0</v>
      </c>
      <c r="CL44" s="87" t="s">
        <v>175</v>
      </c>
      <c r="CM44" s="105">
        <v>0</v>
      </c>
      <c r="CN44" s="80">
        <f>CM$10*'Mkt share'!$C$53</f>
        <v>0</v>
      </c>
      <c r="CO44" s="80">
        <f>CM$13*'Mkt share'!$C$53</f>
        <v>0</v>
      </c>
      <c r="CP44" s="80">
        <f>CM$16*'Mkt share'!$C$53</f>
        <v>0</v>
      </c>
      <c r="CQ44" s="88">
        <f>CM$19*'Mkt share'!$C$53</f>
        <v>0</v>
      </c>
      <c r="CT44" s="87" t="s">
        <v>175</v>
      </c>
      <c r="CU44" s="105">
        <v>0</v>
      </c>
      <c r="CV44" s="80">
        <f>CU$10*'Mkt share'!$C$54</f>
        <v>0</v>
      </c>
      <c r="CW44" s="80">
        <f>CU$13*'Mkt share'!$C$54</f>
        <v>0</v>
      </c>
      <c r="CX44" s="80">
        <f>CU$16*'Mkt share'!$C$54</f>
        <v>0</v>
      </c>
      <c r="CY44" s="88">
        <f>CU$19*'Mkt share'!$C$54</f>
        <v>0</v>
      </c>
      <c r="DB44" s="87" t="s">
        <v>175</v>
      </c>
      <c r="DC44" s="105">
        <v>0</v>
      </c>
      <c r="DD44" s="80">
        <f>DC$10*'Mkt share'!$C$55</f>
        <v>0</v>
      </c>
      <c r="DE44" s="80">
        <f>DC$13*'Mkt share'!$C$55</f>
        <v>0</v>
      </c>
      <c r="DF44" s="80">
        <f>DC$16*'Mkt share'!$C$55</f>
        <v>0</v>
      </c>
      <c r="DG44" s="88">
        <f>DC$19*'Mkt share'!$C$55</f>
        <v>0</v>
      </c>
    </row>
    <row r="45" spans="2:111">
      <c r="B45" s="87" t="s">
        <v>171</v>
      </c>
      <c r="C45" s="103"/>
      <c r="D45" s="80">
        <f>D$7*'Mkt share'!$D$42</f>
        <v>1992.2886299279999</v>
      </c>
      <c r="E45" s="80">
        <f>D$8*'Mkt share'!$D$42</f>
        <v>1992.2886299279999</v>
      </c>
      <c r="F45" s="80">
        <f>D$11*'Mkt share'!$D$42</f>
        <v>1992.2886299279999</v>
      </c>
      <c r="G45" s="88">
        <f>D$14*'Mkt share'!$D$42</f>
        <v>1992.2886299279999</v>
      </c>
      <c r="J45" s="87" t="s">
        <v>171</v>
      </c>
      <c r="K45" s="103"/>
      <c r="L45" s="80">
        <f>L$7*'Mkt share'!$D$43</f>
        <v>0</v>
      </c>
      <c r="M45" s="80">
        <f>L$8*'Mkt share'!$D$43</f>
        <v>0</v>
      </c>
      <c r="N45" s="80">
        <f>L$11*'Mkt share'!$D$43</f>
        <v>0</v>
      </c>
      <c r="O45" s="88">
        <f>L$14*'Mkt share'!$D$43</f>
        <v>0</v>
      </c>
      <c r="R45" s="87" t="s">
        <v>171</v>
      </c>
      <c r="S45" s="103"/>
      <c r="T45" s="80">
        <f>T$7*'Mkt share'!$D$44</f>
        <v>0</v>
      </c>
      <c r="U45" s="80">
        <f>T$8*'Mkt share'!$D$44</f>
        <v>0</v>
      </c>
      <c r="V45" s="80">
        <f>T$11*'Mkt share'!$D$44</f>
        <v>0</v>
      </c>
      <c r="W45" s="88">
        <f>T$14*'Mkt share'!$D$44</f>
        <v>0</v>
      </c>
      <c r="Z45" s="87" t="s">
        <v>171</v>
      </c>
      <c r="AA45" s="103"/>
      <c r="AB45" s="80">
        <f>AB$7*'Mkt share'!$D$45</f>
        <v>0</v>
      </c>
      <c r="AC45" s="80">
        <f>AB$8*'Mkt share'!$D$45</f>
        <v>0</v>
      </c>
      <c r="AD45" s="80">
        <f>AB$11*'Mkt share'!$D$45</f>
        <v>0</v>
      </c>
      <c r="AE45" s="88">
        <f>AB$14*'Mkt share'!$D$45</f>
        <v>0</v>
      </c>
      <c r="AH45" s="87" t="s">
        <v>171</v>
      </c>
      <c r="AI45" s="103"/>
      <c r="AJ45" s="80">
        <f>AJ$7*'Mkt share'!$D$46</f>
        <v>2988.4329448919998</v>
      </c>
      <c r="AK45" s="80">
        <f>AJ$8*'Mkt share'!$D$46</f>
        <v>2988.4329448919998</v>
      </c>
      <c r="AL45" s="80">
        <f>AJ$11*'Mkt share'!$D$46</f>
        <v>2988.4329448919998</v>
      </c>
      <c r="AM45" s="88">
        <f>AJ$14*'Mkt share'!$D$46</f>
        <v>2988.4329448919998</v>
      </c>
      <c r="AP45" s="87" t="s">
        <v>171</v>
      </c>
      <c r="AQ45" s="103"/>
      <c r="AR45" s="80">
        <f>AR$7*'Mkt share'!$D$47</f>
        <v>0</v>
      </c>
      <c r="AS45" s="80">
        <f>AR$8*'Mkt share'!$D$47</f>
        <v>0</v>
      </c>
      <c r="AT45" s="80">
        <f>AR$11*'Mkt share'!$D$47</f>
        <v>0</v>
      </c>
      <c r="AU45" s="88">
        <f>AR$14*'Mkt share'!$D$47</f>
        <v>0</v>
      </c>
      <c r="AX45" s="87" t="s">
        <v>171</v>
      </c>
      <c r="AY45" s="103"/>
      <c r="AZ45" s="80">
        <f>AZ$7*'Mkt share'!$D$48</f>
        <v>0</v>
      </c>
      <c r="BA45" s="80">
        <f>AZ$8*'Mkt share'!$D$48</f>
        <v>0</v>
      </c>
      <c r="BB45" s="80">
        <f>AZ$11*'Mkt share'!$D$48</f>
        <v>0</v>
      </c>
      <c r="BC45" s="88">
        <f>AZ$14*'Mkt share'!$D$48</f>
        <v>0</v>
      </c>
      <c r="BF45" s="87" t="s">
        <v>171</v>
      </c>
      <c r="BG45" s="103"/>
      <c r="BH45" s="80">
        <f>BH$7*'Mkt share'!$D$49</f>
        <v>0</v>
      </c>
      <c r="BI45" s="80">
        <f>BH$8*'Mkt share'!$D$49</f>
        <v>0</v>
      </c>
      <c r="BJ45" s="80">
        <f>BH$11*'Mkt share'!$D$49</f>
        <v>0</v>
      </c>
      <c r="BK45" s="88">
        <f>BH$14*'Mkt share'!$D$49</f>
        <v>0</v>
      </c>
      <c r="BN45" s="87" t="s">
        <v>171</v>
      </c>
      <c r="BO45" s="103"/>
      <c r="BP45" s="80">
        <f>BP$7*'Mkt share'!$D$50</f>
        <v>0</v>
      </c>
      <c r="BQ45" s="80">
        <f>BP$8*'Mkt share'!$D$50</f>
        <v>0</v>
      </c>
      <c r="BR45" s="80">
        <f>BP$11*'Mkt share'!$D$50</f>
        <v>0</v>
      </c>
      <c r="BS45" s="88">
        <f>BP$14*'Mkt share'!$D$50</f>
        <v>0</v>
      </c>
      <c r="BV45" s="87" t="s">
        <v>171</v>
      </c>
      <c r="BW45" s="103"/>
      <c r="BX45" s="80">
        <f>BX$7*'Mkt share'!$D$51</f>
        <v>0</v>
      </c>
      <c r="BY45" s="80">
        <f>BX$8*'Mkt share'!$D$51</f>
        <v>0</v>
      </c>
      <c r="BZ45" s="80">
        <f>BX$11*'Mkt share'!$D$51</f>
        <v>0</v>
      </c>
      <c r="CA45" s="88">
        <f>BX$14*'Mkt share'!$D$51</f>
        <v>0</v>
      </c>
      <c r="CD45" s="87" t="s">
        <v>171</v>
      </c>
      <c r="CE45" s="103"/>
      <c r="CF45" s="80">
        <f>CF$7*'Mkt share'!$D$52</f>
        <v>0</v>
      </c>
      <c r="CG45" s="80">
        <f>CF$8*'Mkt share'!$D$52</f>
        <v>0</v>
      </c>
      <c r="CH45" s="80">
        <f>CF$11*'Mkt share'!$D$52</f>
        <v>0</v>
      </c>
      <c r="CI45" s="88">
        <f>CF$14*'Mkt share'!$D$52</f>
        <v>0</v>
      </c>
      <c r="CL45" s="87" t="s">
        <v>171</v>
      </c>
      <c r="CM45" s="103"/>
      <c r="CN45" s="80">
        <f>CN$7*'Mkt share'!$D$53</f>
        <v>0</v>
      </c>
      <c r="CO45" s="80">
        <f>CN$8*'Mkt share'!$D$53</f>
        <v>0</v>
      </c>
      <c r="CP45" s="80">
        <f>CN$11*'Mkt share'!$D$53</f>
        <v>0</v>
      </c>
      <c r="CQ45" s="88">
        <f>CN$14*'Mkt share'!$D$53</f>
        <v>0</v>
      </c>
      <c r="CT45" s="87" t="s">
        <v>171</v>
      </c>
      <c r="CU45" s="103"/>
      <c r="CV45" s="80">
        <f>CV$7*'Mkt share'!$D$54</f>
        <v>0</v>
      </c>
      <c r="CW45" s="80">
        <f>CV$8*'Mkt share'!$D$54</f>
        <v>0</v>
      </c>
      <c r="CX45" s="80">
        <f>CV$11*'Mkt share'!$D$54</f>
        <v>0</v>
      </c>
      <c r="CY45" s="88">
        <f>CV$14*'Mkt share'!$D$54</f>
        <v>0</v>
      </c>
      <c r="DB45" s="87" t="s">
        <v>171</v>
      </c>
      <c r="DC45" s="103"/>
      <c r="DD45" s="80">
        <f>DD$7*'Mkt share'!$D$55</f>
        <v>0</v>
      </c>
      <c r="DE45" s="80">
        <f>DD$8*'Mkt share'!$D$55</f>
        <v>0</v>
      </c>
      <c r="DF45" s="80">
        <f>DD$11*'Mkt share'!$D$55</f>
        <v>0</v>
      </c>
      <c r="DG45" s="88">
        <f>DD$14*'Mkt share'!$D$55</f>
        <v>0</v>
      </c>
    </row>
    <row r="46" spans="2:111">
      <c r="B46" s="87" t="s">
        <v>176</v>
      </c>
      <c r="C46" s="103"/>
      <c r="D46" s="105">
        <v>0</v>
      </c>
      <c r="E46" s="80">
        <f>D$10*'Mkt share'!$D$42</f>
        <v>0</v>
      </c>
      <c r="F46" s="80">
        <f>D$13*'Mkt share'!$D$42</f>
        <v>0</v>
      </c>
      <c r="G46" s="88">
        <f>D$16*'Mkt share'!$D$42</f>
        <v>0</v>
      </c>
      <c r="J46" s="87" t="s">
        <v>176</v>
      </c>
      <c r="K46" s="103"/>
      <c r="L46" s="105">
        <v>0</v>
      </c>
      <c r="M46" s="80">
        <f>L$10*'Mkt share'!$D$43</f>
        <v>0</v>
      </c>
      <c r="N46" s="80">
        <f>L$13*'Mkt share'!$D$43</f>
        <v>0</v>
      </c>
      <c r="O46" s="88">
        <f>L$16*'Mkt share'!$D$43</f>
        <v>0</v>
      </c>
      <c r="R46" s="87" t="s">
        <v>176</v>
      </c>
      <c r="S46" s="103"/>
      <c r="T46" s="105">
        <v>0</v>
      </c>
      <c r="U46" s="80">
        <f>T$10*'Mkt share'!$D$44</f>
        <v>0</v>
      </c>
      <c r="V46" s="80">
        <f>T$13*'Mkt share'!$D$44</f>
        <v>0</v>
      </c>
      <c r="W46" s="88">
        <f>T$16*'Mkt share'!$D$44</f>
        <v>0</v>
      </c>
      <c r="Z46" s="87" t="s">
        <v>176</v>
      </c>
      <c r="AA46" s="103"/>
      <c r="AB46" s="105">
        <v>0</v>
      </c>
      <c r="AC46" s="80">
        <f>AB$10*'Mkt share'!$D$45</f>
        <v>0</v>
      </c>
      <c r="AD46" s="80">
        <f>AB$13*'Mkt share'!$D$45</f>
        <v>0</v>
      </c>
      <c r="AE46" s="88">
        <f>AB$16*'Mkt share'!$D$45</f>
        <v>0</v>
      </c>
      <c r="AH46" s="87" t="s">
        <v>176</v>
      </c>
      <c r="AI46" s="103"/>
      <c r="AJ46" s="105">
        <v>0</v>
      </c>
      <c r="AK46" s="80">
        <f>AJ$10*'Mkt share'!$D$46</f>
        <v>0</v>
      </c>
      <c r="AL46" s="80">
        <f>AJ$13*'Mkt share'!$D$46</f>
        <v>0</v>
      </c>
      <c r="AM46" s="88">
        <f>AJ$16*'Mkt share'!$D$46</f>
        <v>0</v>
      </c>
      <c r="AP46" s="87" t="s">
        <v>176</v>
      </c>
      <c r="AQ46" s="103"/>
      <c r="AR46" s="105">
        <v>0</v>
      </c>
      <c r="AS46" s="80">
        <f>AR$10*'Mkt share'!$D$47</f>
        <v>0</v>
      </c>
      <c r="AT46" s="80">
        <f>AR$13*'Mkt share'!$D$47</f>
        <v>0</v>
      </c>
      <c r="AU46" s="88">
        <f>AR$16*'Mkt share'!$D$47</f>
        <v>0</v>
      </c>
      <c r="AX46" s="87" t="s">
        <v>176</v>
      </c>
      <c r="AY46" s="103"/>
      <c r="AZ46" s="105">
        <v>0</v>
      </c>
      <c r="BA46" s="80">
        <f>AZ$10*'Mkt share'!$D$48</f>
        <v>0</v>
      </c>
      <c r="BB46" s="80">
        <f>AZ$13*'Mkt share'!$D$48</f>
        <v>0</v>
      </c>
      <c r="BC46" s="88">
        <f>AZ$16*'Mkt share'!$D$48</f>
        <v>0</v>
      </c>
      <c r="BF46" s="87" t="s">
        <v>176</v>
      </c>
      <c r="BG46" s="103"/>
      <c r="BH46" s="105">
        <v>0</v>
      </c>
      <c r="BI46" s="80">
        <f>BH$10*'Mkt share'!$D$49</f>
        <v>0</v>
      </c>
      <c r="BJ46" s="80">
        <f>BH$13*'Mkt share'!$D$49</f>
        <v>0</v>
      </c>
      <c r="BK46" s="88">
        <f>BH$16*'Mkt share'!$D$49</f>
        <v>0</v>
      </c>
      <c r="BN46" s="87" t="s">
        <v>176</v>
      </c>
      <c r="BO46" s="103"/>
      <c r="BP46" s="105">
        <v>0</v>
      </c>
      <c r="BQ46" s="80">
        <f>BP$10*'Mkt share'!$D$50</f>
        <v>0</v>
      </c>
      <c r="BR46" s="80">
        <f>BP$13*'Mkt share'!$D$50</f>
        <v>0</v>
      </c>
      <c r="BS46" s="88">
        <f>BP$16*'Mkt share'!$D$50</f>
        <v>0</v>
      </c>
      <c r="BV46" s="87" t="s">
        <v>176</v>
      </c>
      <c r="BW46" s="103"/>
      <c r="BX46" s="105">
        <v>0</v>
      </c>
      <c r="BY46" s="80">
        <f>BX$10*'Mkt share'!$D$51</f>
        <v>0</v>
      </c>
      <c r="BZ46" s="80">
        <f>BX$13*'Mkt share'!$D$51</f>
        <v>0</v>
      </c>
      <c r="CA46" s="88">
        <f>BX$16*'Mkt share'!$D$51</f>
        <v>0</v>
      </c>
      <c r="CD46" s="87" t="s">
        <v>176</v>
      </c>
      <c r="CE46" s="103"/>
      <c r="CF46" s="105">
        <v>0</v>
      </c>
      <c r="CG46" s="80">
        <f>CF$10*'Mkt share'!$D$52</f>
        <v>0</v>
      </c>
      <c r="CH46" s="80">
        <f>CF$13*'Mkt share'!$D$52</f>
        <v>0</v>
      </c>
      <c r="CI46" s="88">
        <f>CF$16*'Mkt share'!$D$52</f>
        <v>0</v>
      </c>
      <c r="CL46" s="87" t="s">
        <v>176</v>
      </c>
      <c r="CM46" s="103"/>
      <c r="CN46" s="105">
        <v>0</v>
      </c>
      <c r="CO46" s="80">
        <f>CN$10*'Mkt share'!$D$53</f>
        <v>0</v>
      </c>
      <c r="CP46" s="80">
        <f>CN$13*'Mkt share'!$D$53</f>
        <v>0</v>
      </c>
      <c r="CQ46" s="88">
        <f>CN$16*'Mkt share'!$D$53</f>
        <v>0</v>
      </c>
      <c r="CT46" s="87" t="s">
        <v>176</v>
      </c>
      <c r="CU46" s="103"/>
      <c r="CV46" s="105">
        <v>0</v>
      </c>
      <c r="CW46" s="80">
        <f>CV$10*'Mkt share'!$D$54</f>
        <v>0</v>
      </c>
      <c r="CX46" s="80">
        <f>CV$13*'Mkt share'!$D$54</f>
        <v>0</v>
      </c>
      <c r="CY46" s="88">
        <f>CV$16*'Mkt share'!$D$54</f>
        <v>0</v>
      </c>
      <c r="DB46" s="87" t="s">
        <v>176</v>
      </c>
      <c r="DC46" s="103"/>
      <c r="DD46" s="105">
        <v>0</v>
      </c>
      <c r="DE46" s="80">
        <f>DD$10*'Mkt share'!$D$55</f>
        <v>0</v>
      </c>
      <c r="DF46" s="80">
        <f>DD$13*'Mkt share'!$D$55</f>
        <v>0</v>
      </c>
      <c r="DG46" s="88">
        <f>DD$16*'Mkt share'!$D$55</f>
        <v>0</v>
      </c>
    </row>
    <row r="47" spans="2:111">
      <c r="B47" s="87" t="s">
        <v>172</v>
      </c>
      <c r="C47" s="103"/>
      <c r="D47" s="103"/>
      <c r="E47" s="80">
        <f>E$7*'Mkt share'!$E$42</f>
        <v>3005.9987353199999</v>
      </c>
      <c r="F47" s="80">
        <f>E$8*'Mkt share'!$E$42</f>
        <v>3005.9987353199999</v>
      </c>
      <c r="G47" s="88">
        <f>E$11*'Mkt share'!$E$42</f>
        <v>3005.9987353199999</v>
      </c>
      <c r="J47" s="87" t="s">
        <v>172</v>
      </c>
      <c r="K47" s="103"/>
      <c r="L47" s="103"/>
      <c r="M47" s="80">
        <f>M$7*'Mkt share'!$E$43</f>
        <v>0</v>
      </c>
      <c r="N47" s="80">
        <f>M$8*'Mkt share'!$E$43</f>
        <v>0</v>
      </c>
      <c r="O47" s="88">
        <f>M$11*'Mkt share'!$E$43</f>
        <v>0</v>
      </c>
      <c r="R47" s="87" t="s">
        <v>172</v>
      </c>
      <c r="S47" s="103"/>
      <c r="T47" s="103"/>
      <c r="U47" s="80">
        <f>U$7*'Mkt share'!$E$44</f>
        <v>0</v>
      </c>
      <c r="V47" s="80">
        <f>U$8*'Mkt share'!$E$44</f>
        <v>0</v>
      </c>
      <c r="W47" s="88">
        <f>U$11*'Mkt share'!$E$44</f>
        <v>0</v>
      </c>
      <c r="Z47" s="87" t="s">
        <v>172</v>
      </c>
      <c r="AA47" s="103"/>
      <c r="AB47" s="103"/>
      <c r="AC47" s="80">
        <f>AC$7*'Mkt share'!$E$45</f>
        <v>0</v>
      </c>
      <c r="AD47" s="80">
        <f>AC$8*'Mkt share'!$E$45</f>
        <v>0</v>
      </c>
      <c r="AE47" s="88">
        <f>AC$11*'Mkt share'!$E$45</f>
        <v>0</v>
      </c>
      <c r="AH47" s="87" t="s">
        <v>172</v>
      </c>
      <c r="AI47" s="103"/>
      <c r="AJ47" s="103"/>
      <c r="AK47" s="80">
        <f>AK$7*'Mkt share'!$E$46</f>
        <v>2003.9991568800001</v>
      </c>
      <c r="AL47" s="80">
        <f>AK$8*'Mkt share'!$E$46</f>
        <v>2003.9991568800001</v>
      </c>
      <c r="AM47" s="88">
        <f>AK$11*'Mkt share'!$E$46</f>
        <v>2003.9991568800001</v>
      </c>
      <c r="AP47" s="87" t="s">
        <v>172</v>
      </c>
      <c r="AQ47" s="103"/>
      <c r="AR47" s="103"/>
      <c r="AS47" s="80">
        <f>AS$7*'Mkt share'!$E$47</f>
        <v>0</v>
      </c>
      <c r="AT47" s="80">
        <f>AS$8*'Mkt share'!$E$47</f>
        <v>0</v>
      </c>
      <c r="AU47" s="88">
        <f>AS$11*'Mkt share'!$E$47</f>
        <v>0</v>
      </c>
      <c r="AX47" s="87" t="s">
        <v>172</v>
      </c>
      <c r="AY47" s="103"/>
      <c r="AZ47" s="103"/>
      <c r="BA47" s="80">
        <f>BA$7*'Mkt share'!$E$48</f>
        <v>0</v>
      </c>
      <c r="BB47" s="80">
        <f>BA$8*'Mkt share'!$E$48</f>
        <v>0</v>
      </c>
      <c r="BC47" s="88">
        <f>BA$11*'Mkt share'!$E$48</f>
        <v>0</v>
      </c>
      <c r="BF47" s="87" t="s">
        <v>172</v>
      </c>
      <c r="BG47" s="103"/>
      <c r="BH47" s="103"/>
      <c r="BI47" s="80">
        <f>BI$7*'Mkt share'!$E$49</f>
        <v>0</v>
      </c>
      <c r="BJ47" s="80">
        <f>BI$8*'Mkt share'!$E$49</f>
        <v>0</v>
      </c>
      <c r="BK47" s="88">
        <f>BI$11*'Mkt share'!$E$49</f>
        <v>0</v>
      </c>
      <c r="BN47" s="87" t="s">
        <v>172</v>
      </c>
      <c r="BO47" s="103"/>
      <c r="BP47" s="103"/>
      <c r="BQ47" s="80">
        <f>BQ$7*'Mkt share'!$E$50</f>
        <v>0</v>
      </c>
      <c r="BR47" s="80">
        <f>BQ$8*'Mkt share'!$E$50</f>
        <v>0</v>
      </c>
      <c r="BS47" s="88">
        <f>BQ$11*'Mkt share'!$E$50</f>
        <v>0</v>
      </c>
      <c r="BV47" s="87" t="s">
        <v>172</v>
      </c>
      <c r="BW47" s="103"/>
      <c r="BX47" s="103"/>
      <c r="BY47" s="80">
        <f>BY$7*'Mkt share'!$E$51</f>
        <v>0</v>
      </c>
      <c r="BZ47" s="80">
        <f>BY$8*'Mkt share'!$E$51</f>
        <v>0</v>
      </c>
      <c r="CA47" s="88">
        <f>BY$11*'Mkt share'!$E$51</f>
        <v>0</v>
      </c>
      <c r="CD47" s="87" t="s">
        <v>172</v>
      </c>
      <c r="CE47" s="103"/>
      <c r="CF47" s="103"/>
      <c r="CG47" s="80">
        <f>CG$7*'Mkt share'!$E$52</f>
        <v>0</v>
      </c>
      <c r="CH47" s="80">
        <f>CG$8*'Mkt share'!$E$52</f>
        <v>0</v>
      </c>
      <c r="CI47" s="88">
        <f>CG$11*'Mkt share'!$E$52</f>
        <v>0</v>
      </c>
      <c r="CL47" s="87" t="s">
        <v>172</v>
      </c>
      <c r="CM47" s="103"/>
      <c r="CN47" s="103"/>
      <c r="CO47" s="80">
        <f>CO$7*'Mkt share'!$E$53</f>
        <v>0</v>
      </c>
      <c r="CP47" s="80">
        <f>CO$8*'Mkt share'!$E$53</f>
        <v>0</v>
      </c>
      <c r="CQ47" s="88">
        <f>CO$11*'Mkt share'!$E$53</f>
        <v>0</v>
      </c>
      <c r="CT47" s="87" t="s">
        <v>172</v>
      </c>
      <c r="CU47" s="103"/>
      <c r="CV47" s="103"/>
      <c r="CW47" s="80">
        <f>CW$7*'Mkt share'!$E$54</f>
        <v>0</v>
      </c>
      <c r="CX47" s="80">
        <f>CW$8*'Mkt share'!$E$54</f>
        <v>0</v>
      </c>
      <c r="CY47" s="88">
        <f>CW$11*'Mkt share'!$E$54</f>
        <v>0</v>
      </c>
      <c r="DB47" s="87" t="s">
        <v>172</v>
      </c>
      <c r="DC47" s="103"/>
      <c r="DD47" s="103"/>
      <c r="DE47" s="80">
        <f>DE$7*'Mkt share'!$E$55</f>
        <v>0</v>
      </c>
      <c r="DF47" s="80">
        <f>DE$8*'Mkt share'!$E$55</f>
        <v>0</v>
      </c>
      <c r="DG47" s="88">
        <f>DE$11*'Mkt share'!$E$55</f>
        <v>0</v>
      </c>
    </row>
    <row r="48" spans="2:111">
      <c r="B48" s="87" t="s">
        <v>177</v>
      </c>
      <c r="C48" s="103"/>
      <c r="D48" s="103"/>
      <c r="E48" s="105">
        <v>0</v>
      </c>
      <c r="F48" s="80">
        <f>E$10*'Mkt share'!$E$42</f>
        <v>0</v>
      </c>
      <c r="G48" s="88">
        <f>E$13*'Mkt share'!$E$42</f>
        <v>0</v>
      </c>
      <c r="J48" s="87" t="s">
        <v>177</v>
      </c>
      <c r="K48" s="103"/>
      <c r="L48" s="103"/>
      <c r="M48" s="105">
        <v>0</v>
      </c>
      <c r="N48" s="80">
        <f>M$10*'Mkt share'!$E$43</f>
        <v>0</v>
      </c>
      <c r="O48" s="88">
        <f>M$13*'Mkt share'!$E$43</f>
        <v>0</v>
      </c>
      <c r="R48" s="87" t="s">
        <v>177</v>
      </c>
      <c r="S48" s="103"/>
      <c r="T48" s="103"/>
      <c r="U48" s="105">
        <v>0</v>
      </c>
      <c r="V48" s="80">
        <f>U$10*'Mkt share'!$E$44</f>
        <v>0</v>
      </c>
      <c r="W48" s="88">
        <f>U$13*'Mkt share'!$E$44</f>
        <v>0</v>
      </c>
      <c r="Z48" s="87" t="s">
        <v>177</v>
      </c>
      <c r="AA48" s="103"/>
      <c r="AB48" s="103"/>
      <c r="AC48" s="105">
        <v>0</v>
      </c>
      <c r="AD48" s="80">
        <f>AC$10*'Mkt share'!$E$45</f>
        <v>0</v>
      </c>
      <c r="AE48" s="88">
        <f>AC$13*'Mkt share'!$E$45</f>
        <v>0</v>
      </c>
      <c r="AH48" s="87" t="s">
        <v>177</v>
      </c>
      <c r="AI48" s="103"/>
      <c r="AJ48" s="103"/>
      <c r="AK48" s="105">
        <v>0</v>
      </c>
      <c r="AL48" s="80">
        <f>AK$10*'Mkt share'!$E$46</f>
        <v>0</v>
      </c>
      <c r="AM48" s="88">
        <f>AK$13*'Mkt share'!$E$46</f>
        <v>0</v>
      </c>
      <c r="AP48" s="87" t="s">
        <v>177</v>
      </c>
      <c r="AQ48" s="103"/>
      <c r="AR48" s="103"/>
      <c r="AS48" s="105">
        <v>0</v>
      </c>
      <c r="AT48" s="80">
        <f>AS$10*'Mkt share'!$E$47</f>
        <v>0</v>
      </c>
      <c r="AU48" s="88">
        <f>AS$13*'Mkt share'!$E$47</f>
        <v>0</v>
      </c>
      <c r="AX48" s="87" t="s">
        <v>177</v>
      </c>
      <c r="AY48" s="103"/>
      <c r="AZ48" s="103"/>
      <c r="BA48" s="105">
        <v>0</v>
      </c>
      <c r="BB48" s="80">
        <f>BA$10*'Mkt share'!$E$48</f>
        <v>0</v>
      </c>
      <c r="BC48" s="88">
        <f>BA$13*'Mkt share'!$E$48</f>
        <v>0</v>
      </c>
      <c r="BF48" s="87" t="s">
        <v>177</v>
      </c>
      <c r="BG48" s="103"/>
      <c r="BH48" s="103"/>
      <c r="BI48" s="105">
        <v>0</v>
      </c>
      <c r="BJ48" s="80">
        <f>BI$10*'Mkt share'!$E$49</f>
        <v>0</v>
      </c>
      <c r="BK48" s="88">
        <f>BI$13*'Mkt share'!$E$49</f>
        <v>0</v>
      </c>
      <c r="BN48" s="87" t="s">
        <v>177</v>
      </c>
      <c r="BO48" s="103"/>
      <c r="BP48" s="103"/>
      <c r="BQ48" s="105">
        <v>0</v>
      </c>
      <c r="BR48" s="80">
        <f>BQ$10*'Mkt share'!$E$50</f>
        <v>0</v>
      </c>
      <c r="BS48" s="88">
        <f>BQ$13*'Mkt share'!$E$50</f>
        <v>0</v>
      </c>
      <c r="BV48" s="87" t="s">
        <v>177</v>
      </c>
      <c r="BW48" s="103"/>
      <c r="BX48" s="103"/>
      <c r="BY48" s="105">
        <v>0</v>
      </c>
      <c r="BZ48" s="80">
        <f>BY$10*'Mkt share'!$E$51</f>
        <v>0</v>
      </c>
      <c r="CA48" s="88">
        <f>BY$13*'Mkt share'!$E$51</f>
        <v>0</v>
      </c>
      <c r="CD48" s="87" t="s">
        <v>177</v>
      </c>
      <c r="CE48" s="103"/>
      <c r="CF48" s="103"/>
      <c r="CG48" s="105">
        <v>0</v>
      </c>
      <c r="CH48" s="80">
        <f>CG$10*'Mkt share'!$E$52</f>
        <v>0</v>
      </c>
      <c r="CI48" s="88">
        <f>CG$13*'Mkt share'!$E$52</f>
        <v>0</v>
      </c>
      <c r="CL48" s="87" t="s">
        <v>177</v>
      </c>
      <c r="CM48" s="103"/>
      <c r="CN48" s="103"/>
      <c r="CO48" s="105">
        <v>0</v>
      </c>
      <c r="CP48" s="80">
        <f>CO$10*'Mkt share'!$E$53</f>
        <v>0</v>
      </c>
      <c r="CQ48" s="88">
        <f>CO$13*'Mkt share'!$E$53</f>
        <v>0</v>
      </c>
      <c r="CT48" s="87" t="s">
        <v>177</v>
      </c>
      <c r="CU48" s="103"/>
      <c r="CV48" s="103"/>
      <c r="CW48" s="105">
        <v>0</v>
      </c>
      <c r="CX48" s="80">
        <f>CW$10*'Mkt share'!$E$54</f>
        <v>0</v>
      </c>
      <c r="CY48" s="88">
        <f>CW$13*'Mkt share'!$E$54</f>
        <v>0</v>
      </c>
      <c r="DB48" s="87" t="s">
        <v>177</v>
      </c>
      <c r="DC48" s="103"/>
      <c r="DD48" s="103"/>
      <c r="DE48" s="105">
        <v>0</v>
      </c>
      <c r="DF48" s="80">
        <f>DE$10*'Mkt share'!$E$55</f>
        <v>0</v>
      </c>
      <c r="DG48" s="88">
        <f>DE$13*'Mkt share'!$E$55</f>
        <v>0</v>
      </c>
    </row>
    <row r="49" spans="2:111">
      <c r="B49" s="87" t="s">
        <v>173</v>
      </c>
      <c r="C49" s="103"/>
      <c r="D49" s="103"/>
      <c r="E49" s="103"/>
      <c r="F49" s="80">
        <f>F$7*'Mkt share'!$F$42</f>
        <v>4030.3508969280006</v>
      </c>
      <c r="G49" s="88">
        <f>F$8*'Mkt share'!$F$42</f>
        <v>4030.3508969280006</v>
      </c>
      <c r="J49" s="87" t="s">
        <v>173</v>
      </c>
      <c r="K49" s="103"/>
      <c r="L49" s="103"/>
      <c r="M49" s="103"/>
      <c r="N49" s="80">
        <f>N$7*'Mkt share'!$F$43</f>
        <v>0</v>
      </c>
      <c r="O49" s="88">
        <f>N$8*'Mkt share'!$F$43</f>
        <v>0</v>
      </c>
      <c r="R49" s="87" t="s">
        <v>173</v>
      </c>
      <c r="S49" s="103"/>
      <c r="T49" s="103"/>
      <c r="U49" s="103"/>
      <c r="V49" s="80">
        <f>V$7*'Mkt share'!$F$44</f>
        <v>0</v>
      </c>
      <c r="W49" s="88">
        <f>V$8*'Mkt share'!$F$44</f>
        <v>0</v>
      </c>
      <c r="Z49" s="87" t="s">
        <v>173</v>
      </c>
      <c r="AA49" s="103"/>
      <c r="AB49" s="103"/>
      <c r="AC49" s="103"/>
      <c r="AD49" s="80">
        <f>AD$7*'Mkt share'!$F$45</f>
        <v>0</v>
      </c>
      <c r="AE49" s="88">
        <f>AD$8*'Mkt share'!$F$45</f>
        <v>0</v>
      </c>
      <c r="AH49" s="87" t="s">
        <v>173</v>
      </c>
      <c r="AI49" s="103"/>
      <c r="AJ49" s="103"/>
      <c r="AK49" s="103"/>
      <c r="AL49" s="80">
        <f>AL$7*'Mkt share'!$F$46</f>
        <v>1007.5877242319998</v>
      </c>
      <c r="AM49" s="88">
        <f>AL$8*'Mkt share'!$F$46</f>
        <v>1007.5877242319998</v>
      </c>
      <c r="AP49" s="87" t="s">
        <v>173</v>
      </c>
      <c r="AQ49" s="103"/>
      <c r="AR49" s="103"/>
      <c r="AS49" s="103"/>
      <c r="AT49" s="80">
        <f>AT$7*'Mkt share'!$F$47</f>
        <v>0</v>
      </c>
      <c r="AU49" s="88">
        <f>AT$8*'Mkt share'!$F$47</f>
        <v>0</v>
      </c>
      <c r="AX49" s="87" t="s">
        <v>173</v>
      </c>
      <c r="AY49" s="103"/>
      <c r="AZ49" s="103"/>
      <c r="BA49" s="103"/>
      <c r="BB49" s="80">
        <f>BB$7*'Mkt share'!$F$48</f>
        <v>0</v>
      </c>
      <c r="BC49" s="88">
        <f>BB$8*'Mkt share'!$F$48</f>
        <v>0</v>
      </c>
      <c r="BF49" s="87" t="s">
        <v>173</v>
      </c>
      <c r="BG49" s="103"/>
      <c r="BH49" s="103"/>
      <c r="BI49" s="103"/>
      <c r="BJ49" s="80">
        <f>BJ$7*'Mkt share'!$F$49</f>
        <v>0</v>
      </c>
      <c r="BK49" s="88">
        <f>BJ$8*'Mkt share'!$F$49</f>
        <v>0</v>
      </c>
      <c r="BN49" s="87" t="s">
        <v>173</v>
      </c>
      <c r="BO49" s="103"/>
      <c r="BP49" s="103"/>
      <c r="BQ49" s="103"/>
      <c r="BR49" s="80">
        <f>BR$7*'Mkt share'!$F$50</f>
        <v>0</v>
      </c>
      <c r="BS49" s="88">
        <f>BR$8*'Mkt share'!$F$50</f>
        <v>0</v>
      </c>
      <c r="BV49" s="87" t="s">
        <v>173</v>
      </c>
      <c r="BW49" s="103"/>
      <c r="BX49" s="103"/>
      <c r="BY49" s="103"/>
      <c r="BZ49" s="80">
        <f>BZ$7*'Mkt share'!$F$51</f>
        <v>0</v>
      </c>
      <c r="CA49" s="88">
        <f>BZ$8*'Mkt share'!$F$51</f>
        <v>0</v>
      </c>
      <c r="CD49" s="87" t="s">
        <v>173</v>
      </c>
      <c r="CE49" s="103"/>
      <c r="CF49" s="103"/>
      <c r="CG49" s="103"/>
      <c r="CH49" s="80">
        <f>CH$7*'Mkt share'!$F$52</f>
        <v>0</v>
      </c>
      <c r="CI49" s="88">
        <f>CH$8*'Mkt share'!$F$52</f>
        <v>0</v>
      </c>
      <c r="CL49" s="87" t="s">
        <v>173</v>
      </c>
      <c r="CM49" s="103"/>
      <c r="CN49" s="103"/>
      <c r="CO49" s="103"/>
      <c r="CP49" s="80">
        <f>CP$7*'Mkt share'!$F$53</f>
        <v>0</v>
      </c>
      <c r="CQ49" s="88">
        <f>CP$8*'Mkt share'!$F$53</f>
        <v>0</v>
      </c>
      <c r="CT49" s="87" t="s">
        <v>173</v>
      </c>
      <c r="CU49" s="103"/>
      <c r="CV49" s="103"/>
      <c r="CW49" s="103"/>
      <c r="CX49" s="80">
        <f>CX$7*'Mkt share'!$F$54</f>
        <v>0</v>
      </c>
      <c r="CY49" s="88">
        <f>CX$8*'Mkt share'!$F$54</f>
        <v>0</v>
      </c>
      <c r="DB49" s="87" t="s">
        <v>173</v>
      </c>
      <c r="DC49" s="103"/>
      <c r="DD49" s="103"/>
      <c r="DE49" s="103"/>
      <c r="DF49" s="80">
        <f>DF$7*'Mkt share'!$F$55</f>
        <v>0</v>
      </c>
      <c r="DG49" s="88">
        <f>DF$8*'Mkt share'!$F$55</f>
        <v>0</v>
      </c>
    </row>
    <row r="50" spans="2:111">
      <c r="B50" s="87" t="s">
        <v>178</v>
      </c>
      <c r="C50" s="103"/>
      <c r="D50" s="103"/>
      <c r="E50" s="103"/>
      <c r="F50" s="105">
        <v>0</v>
      </c>
      <c r="G50" s="88">
        <f>F$10*'Mkt share'!$F$42</f>
        <v>0</v>
      </c>
      <c r="J50" s="87" t="s">
        <v>178</v>
      </c>
      <c r="K50" s="103"/>
      <c r="L50" s="103"/>
      <c r="M50" s="103"/>
      <c r="N50" s="105">
        <v>0</v>
      </c>
      <c r="O50" s="88">
        <f>N$10*'Mkt share'!$F$43</f>
        <v>0</v>
      </c>
      <c r="R50" s="87" t="s">
        <v>178</v>
      </c>
      <c r="S50" s="103"/>
      <c r="T50" s="103"/>
      <c r="U50" s="103"/>
      <c r="V50" s="105">
        <v>0</v>
      </c>
      <c r="W50" s="88">
        <f>V$10*'Mkt share'!$F$44</f>
        <v>0</v>
      </c>
      <c r="Z50" s="87" t="s">
        <v>178</v>
      </c>
      <c r="AA50" s="103"/>
      <c r="AB50" s="103"/>
      <c r="AC50" s="103"/>
      <c r="AD50" s="105">
        <v>0</v>
      </c>
      <c r="AE50" s="88">
        <f>AD$10*'Mkt share'!$F$45</f>
        <v>0</v>
      </c>
      <c r="AH50" s="87" t="s">
        <v>178</v>
      </c>
      <c r="AI50" s="103"/>
      <c r="AJ50" s="103"/>
      <c r="AK50" s="103"/>
      <c r="AL50" s="105">
        <v>0</v>
      </c>
      <c r="AM50" s="88">
        <f>AL$10*'Mkt share'!$F$46</f>
        <v>0</v>
      </c>
      <c r="AP50" s="87" t="s">
        <v>178</v>
      </c>
      <c r="AQ50" s="103"/>
      <c r="AR50" s="103"/>
      <c r="AS50" s="103"/>
      <c r="AT50" s="105">
        <v>0</v>
      </c>
      <c r="AU50" s="88">
        <f>AT$10*'Mkt share'!$F$47</f>
        <v>0</v>
      </c>
      <c r="AX50" s="87" t="s">
        <v>178</v>
      </c>
      <c r="AY50" s="103"/>
      <c r="AZ50" s="103"/>
      <c r="BA50" s="103"/>
      <c r="BB50" s="105">
        <v>0</v>
      </c>
      <c r="BC50" s="88">
        <f>BB$10*'Mkt share'!$F$48</f>
        <v>0</v>
      </c>
      <c r="BF50" s="87" t="s">
        <v>178</v>
      </c>
      <c r="BG50" s="103"/>
      <c r="BH50" s="103"/>
      <c r="BI50" s="103"/>
      <c r="BJ50" s="105">
        <v>0</v>
      </c>
      <c r="BK50" s="88">
        <f>BJ$10*'Mkt share'!$F$49</f>
        <v>0</v>
      </c>
      <c r="BN50" s="87" t="s">
        <v>178</v>
      </c>
      <c r="BO50" s="103"/>
      <c r="BP50" s="103"/>
      <c r="BQ50" s="103"/>
      <c r="BR50" s="105">
        <v>0</v>
      </c>
      <c r="BS50" s="88">
        <f>BR$10*'Mkt share'!$F$50</f>
        <v>0</v>
      </c>
      <c r="BV50" s="87" t="s">
        <v>178</v>
      </c>
      <c r="BW50" s="103"/>
      <c r="BX50" s="103"/>
      <c r="BY50" s="103"/>
      <c r="BZ50" s="105">
        <v>0</v>
      </c>
      <c r="CA50" s="88">
        <f>BZ$10*'Mkt share'!$F$51</f>
        <v>0</v>
      </c>
      <c r="CD50" s="87" t="s">
        <v>178</v>
      </c>
      <c r="CE50" s="103"/>
      <c r="CF50" s="103"/>
      <c r="CG50" s="103"/>
      <c r="CH50" s="105">
        <v>0</v>
      </c>
      <c r="CI50" s="88">
        <f>CH$10*'Mkt share'!$F$52</f>
        <v>0</v>
      </c>
      <c r="CL50" s="87" t="s">
        <v>178</v>
      </c>
      <c r="CM50" s="103"/>
      <c r="CN50" s="103"/>
      <c r="CO50" s="103"/>
      <c r="CP50" s="105">
        <v>0</v>
      </c>
      <c r="CQ50" s="88">
        <f>CP$10*'Mkt share'!$F$53</f>
        <v>0</v>
      </c>
      <c r="CT50" s="87" t="s">
        <v>178</v>
      </c>
      <c r="CU50" s="103"/>
      <c r="CV50" s="103"/>
      <c r="CW50" s="103"/>
      <c r="CX50" s="105">
        <v>0</v>
      </c>
      <c r="CY50" s="88">
        <f>CX$10*'Mkt share'!$F$54</f>
        <v>0</v>
      </c>
      <c r="DB50" s="87" t="s">
        <v>178</v>
      </c>
      <c r="DC50" s="103"/>
      <c r="DD50" s="103"/>
      <c r="DE50" s="103"/>
      <c r="DF50" s="105">
        <v>0</v>
      </c>
      <c r="DG50" s="88">
        <f>DF$10*'Mkt share'!$F$55</f>
        <v>0</v>
      </c>
    </row>
    <row r="51" spans="2:111">
      <c r="B51" s="87" t="s">
        <v>174</v>
      </c>
      <c r="C51" s="103"/>
      <c r="D51" s="103"/>
      <c r="E51" s="103"/>
      <c r="F51" s="103"/>
      <c r="G51" s="88">
        <f>G$7*'Mkt share'!$G$42</f>
        <v>5064.5088330599992</v>
      </c>
      <c r="J51" s="87" t="s">
        <v>174</v>
      </c>
      <c r="K51" s="103"/>
      <c r="L51" s="103"/>
      <c r="M51" s="103"/>
      <c r="N51" s="103"/>
      <c r="O51" s="88">
        <f>O$7*'Mkt share'!$G$43</f>
        <v>0</v>
      </c>
      <c r="R51" s="87" t="s">
        <v>174</v>
      </c>
      <c r="S51" s="103"/>
      <c r="T51" s="103"/>
      <c r="U51" s="103"/>
      <c r="V51" s="103"/>
      <c r="W51" s="88">
        <f>W$7*'Mkt share'!$G$44</f>
        <v>0</v>
      </c>
      <c r="Z51" s="87" t="s">
        <v>174</v>
      </c>
      <c r="AA51" s="103"/>
      <c r="AB51" s="103"/>
      <c r="AC51" s="103"/>
      <c r="AD51" s="103"/>
      <c r="AE51" s="88">
        <f>AE$7*'Mkt share'!$G$45</f>
        <v>0</v>
      </c>
      <c r="AH51" s="87" t="s">
        <v>174</v>
      </c>
      <c r="AI51" s="103"/>
      <c r="AJ51" s="103"/>
      <c r="AK51" s="103"/>
      <c r="AL51" s="103"/>
      <c r="AM51" s="88">
        <f>AM$7*'Mkt share'!$G$46</f>
        <v>0</v>
      </c>
      <c r="AP51" s="87" t="s">
        <v>174</v>
      </c>
      <c r="AQ51" s="103"/>
      <c r="AR51" s="103"/>
      <c r="AS51" s="103"/>
      <c r="AT51" s="103"/>
      <c r="AU51" s="88">
        <f>AU$7*'Mkt share'!$G$47</f>
        <v>0</v>
      </c>
      <c r="AX51" s="87" t="s">
        <v>174</v>
      </c>
      <c r="AY51" s="103"/>
      <c r="AZ51" s="103"/>
      <c r="BA51" s="103"/>
      <c r="BB51" s="103"/>
      <c r="BC51" s="88">
        <f>BC$7*'Mkt share'!$G$48</f>
        <v>0</v>
      </c>
      <c r="BF51" s="87" t="s">
        <v>174</v>
      </c>
      <c r="BG51" s="103"/>
      <c r="BH51" s="103"/>
      <c r="BI51" s="103"/>
      <c r="BJ51" s="103"/>
      <c r="BK51" s="88">
        <f>BK$7*'Mkt share'!$G$49</f>
        <v>0</v>
      </c>
      <c r="BN51" s="87" t="s">
        <v>174</v>
      </c>
      <c r="BO51" s="103"/>
      <c r="BP51" s="103"/>
      <c r="BQ51" s="103"/>
      <c r="BR51" s="103"/>
      <c r="BS51" s="88">
        <f>BS$7*'Mkt share'!$G$50</f>
        <v>0</v>
      </c>
      <c r="BV51" s="87" t="s">
        <v>174</v>
      </c>
      <c r="BW51" s="103"/>
      <c r="BX51" s="103"/>
      <c r="BY51" s="103"/>
      <c r="BZ51" s="103"/>
      <c r="CA51" s="88">
        <f>CA$7*'Mkt share'!$G$51</f>
        <v>0</v>
      </c>
      <c r="CD51" s="87" t="s">
        <v>174</v>
      </c>
      <c r="CE51" s="103"/>
      <c r="CF51" s="103"/>
      <c r="CG51" s="103"/>
      <c r="CH51" s="103"/>
      <c r="CI51" s="88">
        <f>CI$7*'Mkt share'!$G$52</f>
        <v>0</v>
      </c>
      <c r="CL51" s="87" t="s">
        <v>174</v>
      </c>
      <c r="CM51" s="103"/>
      <c r="CN51" s="103"/>
      <c r="CO51" s="103"/>
      <c r="CP51" s="103"/>
      <c r="CQ51" s="88">
        <f>CQ$7*'Mkt share'!$G$53</f>
        <v>0</v>
      </c>
      <c r="CT51" s="87" t="s">
        <v>174</v>
      </c>
      <c r="CU51" s="103"/>
      <c r="CV51" s="103"/>
      <c r="CW51" s="103"/>
      <c r="CX51" s="103"/>
      <c r="CY51" s="88">
        <f>CY$7*'Mkt share'!$G$54</f>
        <v>0</v>
      </c>
      <c r="DB51" s="87" t="s">
        <v>174</v>
      </c>
      <c r="DC51" s="103"/>
      <c r="DD51" s="103"/>
      <c r="DE51" s="103"/>
      <c r="DF51" s="103"/>
      <c r="DG51" s="88">
        <f>DG$7*'Mkt share'!$G$55</f>
        <v>0</v>
      </c>
    </row>
    <row r="52" spans="2:111" ht="15" thickBot="1">
      <c r="B52" s="87" t="s">
        <v>179</v>
      </c>
      <c r="C52" s="103"/>
      <c r="D52" s="103"/>
      <c r="E52" s="103"/>
      <c r="F52" s="103"/>
      <c r="G52" s="106">
        <v>0</v>
      </c>
      <c r="J52" s="87" t="s">
        <v>179</v>
      </c>
      <c r="K52" s="103"/>
      <c r="L52" s="103"/>
      <c r="M52" s="103"/>
      <c r="N52" s="103"/>
      <c r="O52" s="106">
        <v>0</v>
      </c>
      <c r="R52" s="87" t="s">
        <v>179</v>
      </c>
      <c r="S52" s="103"/>
      <c r="T52" s="103"/>
      <c r="U52" s="103"/>
      <c r="V52" s="103"/>
      <c r="W52" s="106">
        <v>0</v>
      </c>
      <c r="Z52" s="87" t="s">
        <v>179</v>
      </c>
      <c r="AA52" s="103"/>
      <c r="AB52" s="103"/>
      <c r="AC52" s="103"/>
      <c r="AD52" s="103"/>
      <c r="AE52" s="106">
        <v>0</v>
      </c>
      <c r="AH52" s="87" t="s">
        <v>179</v>
      </c>
      <c r="AI52" s="103"/>
      <c r="AJ52" s="103"/>
      <c r="AK52" s="103"/>
      <c r="AL52" s="103"/>
      <c r="AM52" s="106">
        <v>0</v>
      </c>
      <c r="AP52" s="87" t="s">
        <v>179</v>
      </c>
      <c r="AQ52" s="103"/>
      <c r="AR52" s="103"/>
      <c r="AS52" s="103"/>
      <c r="AT52" s="103"/>
      <c r="AU52" s="106">
        <v>0</v>
      </c>
      <c r="AX52" s="87" t="s">
        <v>179</v>
      </c>
      <c r="AY52" s="103"/>
      <c r="AZ52" s="103"/>
      <c r="BA52" s="103"/>
      <c r="BB52" s="103"/>
      <c r="BC52" s="106">
        <v>0</v>
      </c>
      <c r="BF52" s="87" t="s">
        <v>179</v>
      </c>
      <c r="BG52" s="103"/>
      <c r="BH52" s="103"/>
      <c r="BI52" s="103"/>
      <c r="BJ52" s="103"/>
      <c r="BK52" s="106">
        <v>0</v>
      </c>
      <c r="BN52" s="87" t="s">
        <v>179</v>
      </c>
      <c r="BO52" s="103"/>
      <c r="BP52" s="103"/>
      <c r="BQ52" s="103"/>
      <c r="BR52" s="103"/>
      <c r="BS52" s="106">
        <v>0</v>
      </c>
      <c r="BV52" s="87" t="s">
        <v>179</v>
      </c>
      <c r="BW52" s="103"/>
      <c r="BX52" s="103"/>
      <c r="BY52" s="103"/>
      <c r="BZ52" s="103"/>
      <c r="CA52" s="106">
        <v>0</v>
      </c>
      <c r="CD52" s="87" t="s">
        <v>179</v>
      </c>
      <c r="CE52" s="103"/>
      <c r="CF52" s="103"/>
      <c r="CG52" s="103"/>
      <c r="CH52" s="103"/>
      <c r="CI52" s="106">
        <v>0</v>
      </c>
      <c r="CL52" s="87" t="s">
        <v>179</v>
      </c>
      <c r="CM52" s="103"/>
      <c r="CN52" s="103"/>
      <c r="CO52" s="103"/>
      <c r="CP52" s="103"/>
      <c r="CQ52" s="106">
        <v>0</v>
      </c>
      <c r="CT52" s="87" t="s">
        <v>179</v>
      </c>
      <c r="CU52" s="103"/>
      <c r="CV52" s="103"/>
      <c r="CW52" s="103"/>
      <c r="CX52" s="103"/>
      <c r="CY52" s="106">
        <v>0</v>
      </c>
      <c r="DB52" s="87" t="s">
        <v>179</v>
      </c>
      <c r="DC52" s="103"/>
      <c r="DD52" s="103"/>
      <c r="DE52" s="103"/>
      <c r="DF52" s="103"/>
      <c r="DG52" s="106">
        <v>0</v>
      </c>
    </row>
    <row r="53" spans="2:111" ht="15" thickBot="1">
      <c r="B53" s="89" t="s">
        <v>114</v>
      </c>
      <c r="C53" s="90">
        <f>SUM(C43:C52)</f>
        <v>990.02893317600001</v>
      </c>
      <c r="D53" s="90">
        <f>SUM(D43:D51)</f>
        <v>2982.3175631039999</v>
      </c>
      <c r="E53" s="90">
        <f>SUM(E43:E51)</f>
        <v>5988.3162984239998</v>
      </c>
      <c r="F53" s="90">
        <f>SUM(F43:F51)</f>
        <v>10018.667195352</v>
      </c>
      <c r="G53" s="91">
        <f>SUM(G43:G52)</f>
        <v>15083.176028411999</v>
      </c>
      <c r="J53" s="89" t="s">
        <v>114</v>
      </c>
      <c r="K53" s="90">
        <f>SUM(K43:K52)</f>
        <v>0</v>
      </c>
      <c r="L53" s="90">
        <f>SUM(L43:L51)</f>
        <v>0</v>
      </c>
      <c r="M53" s="90">
        <f>SUM(M43:M51)</f>
        <v>0</v>
      </c>
      <c r="N53" s="90">
        <f>SUM(N43:N51)</f>
        <v>0</v>
      </c>
      <c r="O53" s="91">
        <f>SUM(O43:O52)</f>
        <v>0</v>
      </c>
      <c r="R53" s="89" t="s">
        <v>114</v>
      </c>
      <c r="S53" s="90">
        <f>SUM(S43:S52)</f>
        <v>0</v>
      </c>
      <c r="T53" s="90">
        <f>SUM(T43:T51)</f>
        <v>0</v>
      </c>
      <c r="U53" s="90">
        <f>SUM(U43:U51)</f>
        <v>0</v>
      </c>
      <c r="V53" s="90">
        <f>SUM(V43:V51)</f>
        <v>0</v>
      </c>
      <c r="W53" s="91">
        <f>SUM(W43:W52)</f>
        <v>0</v>
      </c>
      <c r="Z53" s="89" t="s">
        <v>114</v>
      </c>
      <c r="AA53" s="90">
        <f>SUM(AA43:AA52)</f>
        <v>0</v>
      </c>
      <c r="AB53" s="90">
        <f>SUM(AB43:AB51)</f>
        <v>0</v>
      </c>
      <c r="AC53" s="90">
        <f>SUM(AC43:AC51)</f>
        <v>0</v>
      </c>
      <c r="AD53" s="90">
        <f>SUM(AD43:AD51)</f>
        <v>0</v>
      </c>
      <c r="AE53" s="91">
        <f>SUM(AE43:AE52)</f>
        <v>0</v>
      </c>
      <c r="AH53" s="89" t="s">
        <v>114</v>
      </c>
      <c r="AI53" s="90">
        <f>SUM(AI43:AI52)</f>
        <v>3960.115732704</v>
      </c>
      <c r="AJ53" s="90">
        <f>SUM(AJ43:AJ51)</f>
        <v>6948.5486775959998</v>
      </c>
      <c r="AK53" s="90">
        <f>SUM(AK43:AK51)</f>
        <v>8952.5478344759995</v>
      </c>
      <c r="AL53" s="90">
        <f>SUM(AL43:AL51)</f>
        <v>9960.1355587079997</v>
      </c>
      <c r="AM53" s="91">
        <f>SUM(AM43:AM52)</f>
        <v>9960.1355587079997</v>
      </c>
      <c r="AP53" s="89" t="s">
        <v>114</v>
      </c>
      <c r="AQ53" s="90">
        <f>SUM(AQ43:AQ52)</f>
        <v>0</v>
      </c>
      <c r="AR53" s="90">
        <f>SUM(AR43:AR51)</f>
        <v>0</v>
      </c>
      <c r="AS53" s="90">
        <f>SUM(AS43:AS51)</f>
        <v>0</v>
      </c>
      <c r="AT53" s="90">
        <f>SUM(AT43:AT51)</f>
        <v>0</v>
      </c>
      <c r="AU53" s="91">
        <f>SUM(AU43:AU52)</f>
        <v>0</v>
      </c>
      <c r="AX53" s="89" t="s">
        <v>114</v>
      </c>
      <c r="AY53" s="90">
        <f>SUM(AY43:AY52)</f>
        <v>0</v>
      </c>
      <c r="AZ53" s="90">
        <f>SUM(AZ43:AZ51)</f>
        <v>0</v>
      </c>
      <c r="BA53" s="90">
        <f>SUM(BA43:BA51)</f>
        <v>0</v>
      </c>
      <c r="BB53" s="90">
        <f>SUM(BB43:BB51)</f>
        <v>0</v>
      </c>
      <c r="BC53" s="91">
        <f>SUM(BC43:BC52)</f>
        <v>0</v>
      </c>
      <c r="BF53" s="89" t="s">
        <v>114</v>
      </c>
      <c r="BG53" s="90">
        <f>SUM(BG43:BG52)</f>
        <v>0</v>
      </c>
      <c r="BH53" s="90">
        <f>SUM(BH43:BH51)</f>
        <v>0</v>
      </c>
      <c r="BI53" s="90">
        <f>SUM(BI43:BI51)</f>
        <v>0</v>
      </c>
      <c r="BJ53" s="90">
        <f>SUM(BJ43:BJ51)</f>
        <v>0</v>
      </c>
      <c r="BK53" s="91">
        <f>SUM(BK43:BK52)</f>
        <v>0</v>
      </c>
      <c r="BN53" s="89" t="s">
        <v>114</v>
      </c>
      <c r="BO53" s="90">
        <f>SUM(BO43:BO52)</f>
        <v>0</v>
      </c>
      <c r="BP53" s="90">
        <f>SUM(BP43:BP51)</f>
        <v>0</v>
      </c>
      <c r="BQ53" s="90">
        <f>SUM(BQ43:BQ51)</f>
        <v>0</v>
      </c>
      <c r="BR53" s="90">
        <f>SUM(BR43:BR51)</f>
        <v>0</v>
      </c>
      <c r="BS53" s="91">
        <f>SUM(BS43:BS52)</f>
        <v>0</v>
      </c>
      <c r="BV53" s="89" t="s">
        <v>114</v>
      </c>
      <c r="BW53" s="90">
        <f>SUM(BW43:BW52)</f>
        <v>0</v>
      </c>
      <c r="BX53" s="90">
        <f>SUM(BX43:BX51)</f>
        <v>0</v>
      </c>
      <c r="BY53" s="90">
        <f>SUM(BY43:BY51)</f>
        <v>0</v>
      </c>
      <c r="BZ53" s="90">
        <f>SUM(BZ43:BZ51)</f>
        <v>0</v>
      </c>
      <c r="CA53" s="91">
        <f>SUM(CA43:CA52)</f>
        <v>0</v>
      </c>
      <c r="CD53" s="89" t="s">
        <v>114</v>
      </c>
      <c r="CE53" s="90">
        <f>SUM(CE43:CE52)</f>
        <v>0</v>
      </c>
      <c r="CF53" s="90">
        <f>SUM(CF43:CF51)</f>
        <v>0</v>
      </c>
      <c r="CG53" s="90">
        <f>SUM(CG43:CG51)</f>
        <v>0</v>
      </c>
      <c r="CH53" s="90">
        <f>SUM(CH43:CH51)</f>
        <v>0</v>
      </c>
      <c r="CI53" s="91">
        <f>SUM(CI43:CI52)</f>
        <v>0</v>
      </c>
      <c r="CL53" s="89" t="s">
        <v>114</v>
      </c>
      <c r="CM53" s="90">
        <f>SUM(CM43:CM52)</f>
        <v>0</v>
      </c>
      <c r="CN53" s="90">
        <f>SUM(CN43:CN51)</f>
        <v>0</v>
      </c>
      <c r="CO53" s="90">
        <f>SUM(CO43:CO51)</f>
        <v>0</v>
      </c>
      <c r="CP53" s="90">
        <f>SUM(CP43:CP51)</f>
        <v>0</v>
      </c>
      <c r="CQ53" s="91">
        <f>SUM(CQ43:CQ52)</f>
        <v>0</v>
      </c>
      <c r="CT53" s="89" t="s">
        <v>114</v>
      </c>
      <c r="CU53" s="90">
        <f>SUM(CU43:CU52)</f>
        <v>0</v>
      </c>
      <c r="CV53" s="90">
        <f>SUM(CV43:CV51)</f>
        <v>0</v>
      </c>
      <c r="CW53" s="90">
        <f>SUM(CW43:CW51)</f>
        <v>0</v>
      </c>
      <c r="CX53" s="90">
        <f>SUM(CX43:CX51)</f>
        <v>0</v>
      </c>
      <c r="CY53" s="91">
        <f>SUM(CY43:CY52)</f>
        <v>0</v>
      </c>
      <c r="DB53" s="89" t="s">
        <v>114</v>
      </c>
      <c r="DC53" s="90">
        <f>SUM(DC43:DC52)</f>
        <v>0</v>
      </c>
      <c r="DD53" s="90">
        <f>SUM(DD43:DD51)</f>
        <v>0</v>
      </c>
      <c r="DE53" s="90">
        <f>SUM(DE43:DE51)</f>
        <v>0</v>
      </c>
      <c r="DF53" s="90">
        <f>SUM(DF43:DF51)</f>
        <v>0</v>
      </c>
      <c r="DG53" s="91">
        <f>SUM(DG43:DG52)</f>
        <v>0</v>
      </c>
    </row>
    <row r="54" spans="2:111">
      <c r="B54" s="80" t="s">
        <v>206</v>
      </c>
      <c r="C54" s="92">
        <f>C43+C45+C47+C49+C51</f>
        <v>990.02893317600001</v>
      </c>
      <c r="D54" s="92">
        <f t="shared" ref="D54:G54" si="108">D43+D45+D47+D49+D51</f>
        <v>2982.3175631039999</v>
      </c>
      <c r="E54" s="92">
        <f t="shared" si="108"/>
        <v>5988.3162984239998</v>
      </c>
      <c r="F54" s="92">
        <f t="shared" si="108"/>
        <v>10018.667195352</v>
      </c>
      <c r="G54" s="92">
        <f t="shared" si="108"/>
        <v>15083.176028411999</v>
      </c>
      <c r="J54" s="80" t="s">
        <v>206</v>
      </c>
      <c r="K54" s="92">
        <f>K43+K45+K47+K49+K51</f>
        <v>0</v>
      </c>
      <c r="L54" s="92">
        <f t="shared" ref="L54:O54" si="109">L43+L45+L47+L49+L51</f>
        <v>0</v>
      </c>
      <c r="M54" s="92">
        <f t="shared" si="109"/>
        <v>0</v>
      </c>
      <c r="N54" s="92">
        <f t="shared" si="109"/>
        <v>0</v>
      </c>
      <c r="O54" s="92">
        <f t="shared" si="109"/>
        <v>0</v>
      </c>
      <c r="R54" s="80" t="s">
        <v>206</v>
      </c>
      <c r="S54" s="92">
        <f>S43+S45+S47+S49+S51</f>
        <v>0</v>
      </c>
      <c r="T54" s="92">
        <f t="shared" ref="T54:W54" si="110">T43+T45+T47+T49+T51</f>
        <v>0</v>
      </c>
      <c r="U54" s="92">
        <f t="shared" si="110"/>
        <v>0</v>
      </c>
      <c r="V54" s="92">
        <f t="shared" si="110"/>
        <v>0</v>
      </c>
      <c r="W54" s="92">
        <f t="shared" si="110"/>
        <v>0</v>
      </c>
      <c r="Z54" s="80" t="s">
        <v>206</v>
      </c>
      <c r="AA54" s="92">
        <f>AA43+AA45+AA47+AA49+AA51</f>
        <v>0</v>
      </c>
      <c r="AB54" s="92">
        <f t="shared" ref="AB54:AE54" si="111">AB43+AB45+AB47+AB49+AB51</f>
        <v>0</v>
      </c>
      <c r="AC54" s="92">
        <f t="shared" si="111"/>
        <v>0</v>
      </c>
      <c r="AD54" s="92">
        <f t="shared" si="111"/>
        <v>0</v>
      </c>
      <c r="AE54" s="92">
        <f t="shared" si="111"/>
        <v>0</v>
      </c>
      <c r="AH54" s="80" t="s">
        <v>206</v>
      </c>
      <c r="AI54" s="92">
        <f>AI43+AI45+AI47+AI49+AI51</f>
        <v>3960.115732704</v>
      </c>
      <c r="AJ54" s="92">
        <f t="shared" ref="AJ54:AM54" si="112">AJ43+AJ45+AJ47+AJ49+AJ51</f>
        <v>6948.5486775959998</v>
      </c>
      <c r="AK54" s="92">
        <f t="shared" si="112"/>
        <v>8952.5478344759995</v>
      </c>
      <c r="AL54" s="92">
        <f t="shared" si="112"/>
        <v>9960.1355587079997</v>
      </c>
      <c r="AM54" s="92">
        <f t="shared" si="112"/>
        <v>9960.1355587079997</v>
      </c>
      <c r="AP54" s="80" t="s">
        <v>206</v>
      </c>
      <c r="AQ54" s="92">
        <f>AQ43+AQ45+AQ47+AQ49+AQ51</f>
        <v>0</v>
      </c>
      <c r="AR54" s="92">
        <f t="shared" ref="AR54:AU54" si="113">AR43+AR45+AR47+AR49+AR51</f>
        <v>0</v>
      </c>
      <c r="AS54" s="92">
        <f t="shared" si="113"/>
        <v>0</v>
      </c>
      <c r="AT54" s="92">
        <f t="shared" si="113"/>
        <v>0</v>
      </c>
      <c r="AU54" s="92">
        <f t="shared" si="113"/>
        <v>0</v>
      </c>
      <c r="AX54" s="80" t="s">
        <v>206</v>
      </c>
      <c r="AY54" s="92">
        <f>AY43+AY45+AY47+AY49+AY51</f>
        <v>0</v>
      </c>
      <c r="AZ54" s="92">
        <f t="shared" ref="AZ54:BC54" si="114">AZ43+AZ45+AZ47+AZ49+AZ51</f>
        <v>0</v>
      </c>
      <c r="BA54" s="92">
        <f t="shared" si="114"/>
        <v>0</v>
      </c>
      <c r="BB54" s="92">
        <f t="shared" si="114"/>
        <v>0</v>
      </c>
      <c r="BC54" s="92">
        <f t="shared" si="114"/>
        <v>0</v>
      </c>
      <c r="BF54" s="80" t="s">
        <v>206</v>
      </c>
      <c r="BG54" s="92">
        <f>BG43+BG45+BG47+BG49+BG51</f>
        <v>0</v>
      </c>
      <c r="BH54" s="92">
        <f t="shared" ref="BH54:BK54" si="115">BH43+BH45+BH47+BH49+BH51</f>
        <v>0</v>
      </c>
      <c r="BI54" s="92">
        <f t="shared" si="115"/>
        <v>0</v>
      </c>
      <c r="BJ54" s="92">
        <f t="shared" si="115"/>
        <v>0</v>
      </c>
      <c r="BK54" s="92">
        <f t="shared" si="115"/>
        <v>0</v>
      </c>
      <c r="BN54" s="80" t="s">
        <v>206</v>
      </c>
      <c r="BO54" s="92">
        <f>BO43+BO45+BO47+BO49+BO51</f>
        <v>0</v>
      </c>
      <c r="BP54" s="92">
        <f t="shared" ref="BP54:BS54" si="116">BP43+BP45+BP47+BP49+BP51</f>
        <v>0</v>
      </c>
      <c r="BQ54" s="92">
        <f t="shared" si="116"/>
        <v>0</v>
      </c>
      <c r="BR54" s="92">
        <f t="shared" si="116"/>
        <v>0</v>
      </c>
      <c r="BS54" s="92">
        <f t="shared" si="116"/>
        <v>0</v>
      </c>
      <c r="BV54" s="80" t="s">
        <v>206</v>
      </c>
      <c r="BW54" s="92">
        <f>BW43+BW45+BW47+BW49+BW51</f>
        <v>0</v>
      </c>
      <c r="BX54" s="92">
        <f t="shared" ref="BX54:CA54" si="117">BX43+BX45+BX47+BX49+BX51</f>
        <v>0</v>
      </c>
      <c r="BY54" s="92">
        <f t="shared" si="117"/>
        <v>0</v>
      </c>
      <c r="BZ54" s="92">
        <f t="shared" si="117"/>
        <v>0</v>
      </c>
      <c r="CA54" s="92">
        <f t="shared" si="117"/>
        <v>0</v>
      </c>
      <c r="CD54" s="80" t="s">
        <v>206</v>
      </c>
      <c r="CE54" s="92">
        <f>CE43+CE45+CE47+CE49+CE51</f>
        <v>0</v>
      </c>
      <c r="CF54" s="92">
        <f t="shared" ref="CF54:CI54" si="118">CF43+CF45+CF47+CF49+CF51</f>
        <v>0</v>
      </c>
      <c r="CG54" s="92">
        <f t="shared" si="118"/>
        <v>0</v>
      </c>
      <c r="CH54" s="92">
        <f t="shared" si="118"/>
        <v>0</v>
      </c>
      <c r="CI54" s="92">
        <f t="shared" si="118"/>
        <v>0</v>
      </c>
      <c r="CL54" s="80" t="s">
        <v>206</v>
      </c>
      <c r="CM54" s="92">
        <f>CM43+CM45+CM47+CM49+CM51</f>
        <v>0</v>
      </c>
      <c r="CN54" s="92">
        <f t="shared" ref="CN54:CQ54" si="119">CN43+CN45+CN47+CN49+CN51</f>
        <v>0</v>
      </c>
      <c r="CO54" s="92">
        <f t="shared" si="119"/>
        <v>0</v>
      </c>
      <c r="CP54" s="92">
        <f t="shared" si="119"/>
        <v>0</v>
      </c>
      <c r="CQ54" s="92">
        <f t="shared" si="119"/>
        <v>0</v>
      </c>
      <c r="CT54" s="80" t="s">
        <v>206</v>
      </c>
      <c r="CU54" s="92">
        <f>CU43+CU45+CU47+CU49+CU51</f>
        <v>0</v>
      </c>
      <c r="CV54" s="92">
        <f t="shared" ref="CV54:CY54" si="120">CV43+CV45+CV47+CV49+CV51</f>
        <v>0</v>
      </c>
      <c r="CW54" s="92">
        <f t="shared" si="120"/>
        <v>0</v>
      </c>
      <c r="CX54" s="92">
        <f t="shared" si="120"/>
        <v>0</v>
      </c>
      <c r="CY54" s="92">
        <f t="shared" si="120"/>
        <v>0</v>
      </c>
      <c r="DB54" s="80" t="s">
        <v>206</v>
      </c>
      <c r="DC54" s="92">
        <f>DC43+DC45+DC47+DC49+DC51</f>
        <v>0</v>
      </c>
      <c r="DD54" s="92">
        <f t="shared" ref="DD54:DG54" si="121">DD43+DD45+DD47+DD49+DD51</f>
        <v>0</v>
      </c>
      <c r="DE54" s="92">
        <f t="shared" si="121"/>
        <v>0</v>
      </c>
      <c r="DF54" s="92">
        <f t="shared" si="121"/>
        <v>0</v>
      </c>
      <c r="DG54" s="92">
        <f t="shared" si="121"/>
        <v>0</v>
      </c>
    </row>
    <row r="55" spans="2:111" ht="15" thickBot="1">
      <c r="B55" s="80" t="s">
        <v>208</v>
      </c>
      <c r="C55" s="92">
        <f>C44+C46+C48+C50+C52</f>
        <v>0</v>
      </c>
      <c r="D55" s="92">
        <f t="shared" ref="D55:G55" si="122">D44+D46+D48+D50+D52</f>
        <v>0</v>
      </c>
      <c r="E55" s="92">
        <f t="shared" si="122"/>
        <v>0</v>
      </c>
      <c r="F55" s="92">
        <f t="shared" si="122"/>
        <v>0</v>
      </c>
      <c r="G55" s="92">
        <f t="shared" si="122"/>
        <v>0</v>
      </c>
      <c r="J55" s="80" t="s">
        <v>208</v>
      </c>
      <c r="K55" s="92">
        <f>K44+K46+K48+K50+K52</f>
        <v>0</v>
      </c>
      <c r="L55" s="92">
        <f t="shared" ref="L55:O55" si="123">L44+L46+L48+L50+L52</f>
        <v>0</v>
      </c>
      <c r="M55" s="92">
        <f t="shared" si="123"/>
        <v>0</v>
      </c>
      <c r="N55" s="92">
        <f t="shared" si="123"/>
        <v>0</v>
      </c>
      <c r="O55" s="92">
        <f t="shared" si="123"/>
        <v>0</v>
      </c>
      <c r="R55" s="80" t="s">
        <v>208</v>
      </c>
      <c r="S55" s="92">
        <f>S44+S46+S48+S50+S52</f>
        <v>0</v>
      </c>
      <c r="T55" s="92">
        <f t="shared" ref="T55:W55" si="124">T44+T46+T48+T50+T52</f>
        <v>0</v>
      </c>
      <c r="U55" s="92">
        <f t="shared" si="124"/>
        <v>0</v>
      </c>
      <c r="V55" s="92">
        <f t="shared" si="124"/>
        <v>0</v>
      </c>
      <c r="W55" s="92">
        <f t="shared" si="124"/>
        <v>0</v>
      </c>
      <c r="Z55" s="80" t="s">
        <v>208</v>
      </c>
      <c r="AA55" s="92">
        <f>AA44+AA46+AA48+AA50+AA52</f>
        <v>0</v>
      </c>
      <c r="AB55" s="92">
        <f t="shared" ref="AB55:AE55" si="125">AB44+AB46+AB48+AB50+AB52</f>
        <v>0</v>
      </c>
      <c r="AC55" s="92">
        <f t="shared" si="125"/>
        <v>0</v>
      </c>
      <c r="AD55" s="92">
        <f t="shared" si="125"/>
        <v>0</v>
      </c>
      <c r="AE55" s="92">
        <f t="shared" si="125"/>
        <v>0</v>
      </c>
      <c r="AH55" s="80" t="s">
        <v>208</v>
      </c>
      <c r="AI55" s="92">
        <f>AI44+AI46+AI48+AI50+AI52</f>
        <v>0</v>
      </c>
      <c r="AJ55" s="92">
        <f t="shared" ref="AJ55:AM55" si="126">AJ44+AJ46+AJ48+AJ50+AJ52</f>
        <v>0</v>
      </c>
      <c r="AK55" s="92">
        <f t="shared" si="126"/>
        <v>0</v>
      </c>
      <c r="AL55" s="92">
        <f t="shared" si="126"/>
        <v>0</v>
      </c>
      <c r="AM55" s="92">
        <f t="shared" si="126"/>
        <v>0</v>
      </c>
      <c r="AP55" s="80" t="s">
        <v>208</v>
      </c>
      <c r="AQ55" s="92">
        <f>AQ44+AQ46+AQ48+AQ50+AQ52</f>
        <v>0</v>
      </c>
      <c r="AR55" s="92">
        <f t="shared" ref="AR55:AU55" si="127">AR44+AR46+AR48+AR50+AR52</f>
        <v>0</v>
      </c>
      <c r="AS55" s="92">
        <f t="shared" si="127"/>
        <v>0</v>
      </c>
      <c r="AT55" s="92">
        <f t="shared" si="127"/>
        <v>0</v>
      </c>
      <c r="AU55" s="92">
        <f t="shared" si="127"/>
        <v>0</v>
      </c>
      <c r="AX55" s="80" t="s">
        <v>208</v>
      </c>
      <c r="AY55" s="92">
        <f>AY44+AY46+AY48+AY50+AY52</f>
        <v>0</v>
      </c>
      <c r="AZ55" s="92">
        <f t="shared" ref="AZ55:BC55" si="128">AZ44+AZ46+AZ48+AZ50+AZ52</f>
        <v>0</v>
      </c>
      <c r="BA55" s="92">
        <f t="shared" si="128"/>
        <v>0</v>
      </c>
      <c r="BB55" s="92">
        <f t="shared" si="128"/>
        <v>0</v>
      </c>
      <c r="BC55" s="92">
        <f t="shared" si="128"/>
        <v>0</v>
      </c>
      <c r="BF55" s="80" t="s">
        <v>208</v>
      </c>
      <c r="BG55" s="92">
        <f>BG44+BG46+BG48+BG50+BG52</f>
        <v>0</v>
      </c>
      <c r="BH55" s="92">
        <f t="shared" ref="BH55:BK55" si="129">BH44+BH46+BH48+BH50+BH52</f>
        <v>0</v>
      </c>
      <c r="BI55" s="92">
        <f t="shared" si="129"/>
        <v>0</v>
      </c>
      <c r="BJ55" s="92">
        <f t="shared" si="129"/>
        <v>0</v>
      </c>
      <c r="BK55" s="92">
        <f t="shared" si="129"/>
        <v>0</v>
      </c>
      <c r="BN55" s="80" t="s">
        <v>208</v>
      </c>
      <c r="BO55" s="92">
        <f>BO44+BO46+BO48+BO50+BO52</f>
        <v>0</v>
      </c>
      <c r="BP55" s="92">
        <f t="shared" ref="BP55:BS55" si="130">BP44+BP46+BP48+BP50+BP52</f>
        <v>0</v>
      </c>
      <c r="BQ55" s="92">
        <f t="shared" si="130"/>
        <v>0</v>
      </c>
      <c r="BR55" s="92">
        <f t="shared" si="130"/>
        <v>0</v>
      </c>
      <c r="BS55" s="92">
        <f t="shared" si="130"/>
        <v>0</v>
      </c>
      <c r="BV55" s="80" t="s">
        <v>208</v>
      </c>
      <c r="BW55" s="92">
        <f>BW44+BW46+BW48+BW50+BW52</f>
        <v>0</v>
      </c>
      <c r="BX55" s="92">
        <f t="shared" ref="BX55:CA55" si="131">BX44+BX46+BX48+BX50+BX52</f>
        <v>0</v>
      </c>
      <c r="BY55" s="92">
        <f t="shared" si="131"/>
        <v>0</v>
      </c>
      <c r="BZ55" s="92">
        <f t="shared" si="131"/>
        <v>0</v>
      </c>
      <c r="CA55" s="92">
        <f t="shared" si="131"/>
        <v>0</v>
      </c>
      <c r="CD55" s="80" t="s">
        <v>208</v>
      </c>
      <c r="CE55" s="92">
        <f>CE44+CE46+CE48+CE50+CE52</f>
        <v>0</v>
      </c>
      <c r="CF55" s="92">
        <f t="shared" ref="CF55:CI55" si="132">CF44+CF46+CF48+CF50+CF52</f>
        <v>0</v>
      </c>
      <c r="CG55" s="92">
        <f t="shared" si="132"/>
        <v>0</v>
      </c>
      <c r="CH55" s="92">
        <f t="shared" si="132"/>
        <v>0</v>
      </c>
      <c r="CI55" s="92">
        <f t="shared" si="132"/>
        <v>0</v>
      </c>
      <c r="CL55" s="80" t="s">
        <v>208</v>
      </c>
      <c r="CM55" s="92">
        <f>CM44+CM46+CM48+CM50+CM52</f>
        <v>0</v>
      </c>
      <c r="CN55" s="92">
        <f t="shared" ref="CN55:CQ55" si="133">CN44+CN46+CN48+CN50+CN52</f>
        <v>0</v>
      </c>
      <c r="CO55" s="92">
        <f t="shared" si="133"/>
        <v>0</v>
      </c>
      <c r="CP55" s="92">
        <f t="shared" si="133"/>
        <v>0</v>
      </c>
      <c r="CQ55" s="92">
        <f t="shared" si="133"/>
        <v>0</v>
      </c>
      <c r="CT55" s="80" t="s">
        <v>208</v>
      </c>
      <c r="CU55" s="92">
        <f>CU44+CU46+CU48+CU50+CU52</f>
        <v>0</v>
      </c>
      <c r="CV55" s="92">
        <f t="shared" ref="CV55:CY55" si="134">CV44+CV46+CV48+CV50+CV52</f>
        <v>0</v>
      </c>
      <c r="CW55" s="92">
        <f t="shared" si="134"/>
        <v>0</v>
      </c>
      <c r="CX55" s="92">
        <f t="shared" si="134"/>
        <v>0</v>
      </c>
      <c r="CY55" s="92">
        <f t="shared" si="134"/>
        <v>0</v>
      </c>
      <c r="DB55" s="80" t="s">
        <v>208</v>
      </c>
      <c r="DC55" s="92">
        <f>DC44+DC46+DC48+DC50+DC52</f>
        <v>0</v>
      </c>
      <c r="DD55" s="92">
        <f t="shared" ref="DD55:DG55" si="135">DD44+DD46+DD48+DD50+DD52</f>
        <v>0</v>
      </c>
      <c r="DE55" s="92">
        <f t="shared" si="135"/>
        <v>0</v>
      </c>
      <c r="DF55" s="92">
        <f t="shared" si="135"/>
        <v>0</v>
      </c>
      <c r="DG55" s="92">
        <f t="shared" si="135"/>
        <v>0</v>
      </c>
    </row>
    <row r="56" spans="2:111" ht="15" thickBot="1">
      <c r="B56" s="507" t="str">
        <f>cen_prop2</f>
        <v>With PET-CT 10-50%</v>
      </c>
      <c r="C56" s="508"/>
      <c r="D56" s="508"/>
      <c r="E56" s="508"/>
      <c r="F56" s="508"/>
      <c r="G56" s="509"/>
      <c r="J56" s="507" t="str">
        <f>cen_prop2</f>
        <v>With PET-CT 10-50%</v>
      </c>
      <c r="K56" s="508"/>
      <c r="L56" s="508"/>
      <c r="M56" s="508"/>
      <c r="N56" s="508"/>
      <c r="O56" s="509"/>
      <c r="R56" s="507" t="str">
        <f>cen_prop2</f>
        <v>With PET-CT 10-50%</v>
      </c>
      <c r="S56" s="508"/>
      <c r="T56" s="508"/>
      <c r="U56" s="508"/>
      <c r="V56" s="508"/>
      <c r="W56" s="509"/>
      <c r="Z56" s="507" t="str">
        <f>cen_prop2</f>
        <v>With PET-CT 10-50%</v>
      </c>
      <c r="AA56" s="508"/>
      <c r="AB56" s="508"/>
      <c r="AC56" s="508"/>
      <c r="AD56" s="508"/>
      <c r="AE56" s="509"/>
      <c r="AH56" s="507" t="str">
        <f>cen_prop2</f>
        <v>With PET-CT 10-50%</v>
      </c>
      <c r="AI56" s="508"/>
      <c r="AJ56" s="508"/>
      <c r="AK56" s="508"/>
      <c r="AL56" s="508"/>
      <c r="AM56" s="509"/>
      <c r="AP56" s="507" t="str">
        <f>cen_prop2</f>
        <v>With PET-CT 10-50%</v>
      </c>
      <c r="AQ56" s="508"/>
      <c r="AR56" s="508"/>
      <c r="AS56" s="508"/>
      <c r="AT56" s="508"/>
      <c r="AU56" s="509"/>
      <c r="AX56" s="507" t="str">
        <f>cen_prop2</f>
        <v>With PET-CT 10-50%</v>
      </c>
      <c r="AY56" s="508"/>
      <c r="AZ56" s="508"/>
      <c r="BA56" s="508"/>
      <c r="BB56" s="508"/>
      <c r="BC56" s="509"/>
      <c r="BF56" s="507" t="str">
        <f>cen_prop2</f>
        <v>With PET-CT 10-50%</v>
      </c>
      <c r="BG56" s="508"/>
      <c r="BH56" s="508"/>
      <c r="BI56" s="508"/>
      <c r="BJ56" s="508"/>
      <c r="BK56" s="509"/>
      <c r="BN56" s="507" t="str">
        <f>cen_prop2</f>
        <v>With PET-CT 10-50%</v>
      </c>
      <c r="BO56" s="508"/>
      <c r="BP56" s="508"/>
      <c r="BQ56" s="508"/>
      <c r="BR56" s="508"/>
      <c r="BS56" s="509"/>
      <c r="BV56" s="507" t="str">
        <f>cen_prop2</f>
        <v>With PET-CT 10-50%</v>
      </c>
      <c r="BW56" s="508"/>
      <c r="BX56" s="508"/>
      <c r="BY56" s="508"/>
      <c r="BZ56" s="508"/>
      <c r="CA56" s="509"/>
      <c r="CD56" s="507" t="str">
        <f>cen_prop2</f>
        <v>With PET-CT 10-50%</v>
      </c>
      <c r="CE56" s="508"/>
      <c r="CF56" s="508"/>
      <c r="CG56" s="508"/>
      <c r="CH56" s="508"/>
      <c r="CI56" s="509"/>
      <c r="CL56" s="507" t="str">
        <f>cen_prop2</f>
        <v>With PET-CT 10-50%</v>
      </c>
      <c r="CM56" s="508"/>
      <c r="CN56" s="508"/>
      <c r="CO56" s="508"/>
      <c r="CP56" s="508"/>
      <c r="CQ56" s="509"/>
      <c r="CT56" s="507" t="str">
        <f>cen_prop2</f>
        <v>With PET-CT 10-50%</v>
      </c>
      <c r="CU56" s="508"/>
      <c r="CV56" s="508"/>
      <c r="CW56" s="508"/>
      <c r="CX56" s="508"/>
      <c r="CY56" s="509"/>
      <c r="DB56" s="507" t="str">
        <f>cen_prop2</f>
        <v>With PET-CT 10-50%</v>
      </c>
      <c r="DC56" s="508"/>
      <c r="DD56" s="508"/>
      <c r="DE56" s="508"/>
      <c r="DF56" s="508"/>
      <c r="DG56" s="509"/>
    </row>
    <row r="57" spans="2:111">
      <c r="B57" s="84"/>
      <c r="C57" s="101">
        <f>ano_1</f>
        <v>2024</v>
      </c>
      <c r="D57" s="101">
        <f>C57+1</f>
        <v>2025</v>
      </c>
      <c r="E57" s="101">
        <f t="shared" ref="E57:G57" si="136">D57+1</f>
        <v>2026</v>
      </c>
      <c r="F57" s="101">
        <f t="shared" si="136"/>
        <v>2027</v>
      </c>
      <c r="G57" s="102">
        <f t="shared" si="136"/>
        <v>2028</v>
      </c>
      <c r="J57" s="84"/>
      <c r="K57" s="101">
        <f>ano_1</f>
        <v>2024</v>
      </c>
      <c r="L57" s="101">
        <f>K57+1</f>
        <v>2025</v>
      </c>
      <c r="M57" s="101">
        <f t="shared" ref="M57" si="137">L57+1</f>
        <v>2026</v>
      </c>
      <c r="N57" s="101">
        <f t="shared" ref="N57" si="138">M57+1</f>
        <v>2027</v>
      </c>
      <c r="O57" s="102">
        <f t="shared" ref="O57" si="139">N57+1</f>
        <v>2028</v>
      </c>
      <c r="R57" s="84"/>
      <c r="S57" s="101">
        <f>ano_1</f>
        <v>2024</v>
      </c>
      <c r="T57" s="101">
        <f>S57+1</f>
        <v>2025</v>
      </c>
      <c r="U57" s="101">
        <f t="shared" ref="U57" si="140">T57+1</f>
        <v>2026</v>
      </c>
      <c r="V57" s="101">
        <f t="shared" ref="V57" si="141">U57+1</f>
        <v>2027</v>
      </c>
      <c r="W57" s="102">
        <f t="shared" ref="W57" si="142">V57+1</f>
        <v>2028</v>
      </c>
      <c r="Z57" s="84"/>
      <c r="AA57" s="101">
        <f>ano_1</f>
        <v>2024</v>
      </c>
      <c r="AB57" s="101">
        <f>AA57+1</f>
        <v>2025</v>
      </c>
      <c r="AC57" s="101">
        <f t="shared" ref="AC57" si="143">AB57+1</f>
        <v>2026</v>
      </c>
      <c r="AD57" s="101">
        <f t="shared" ref="AD57" si="144">AC57+1</f>
        <v>2027</v>
      </c>
      <c r="AE57" s="102">
        <f t="shared" ref="AE57" si="145">AD57+1</f>
        <v>2028</v>
      </c>
      <c r="AH57" s="84"/>
      <c r="AI57" s="101">
        <f>ano_1</f>
        <v>2024</v>
      </c>
      <c r="AJ57" s="101">
        <f>AI57+1</f>
        <v>2025</v>
      </c>
      <c r="AK57" s="101">
        <f t="shared" ref="AK57" si="146">AJ57+1</f>
        <v>2026</v>
      </c>
      <c r="AL57" s="101">
        <f t="shared" ref="AL57" si="147">AK57+1</f>
        <v>2027</v>
      </c>
      <c r="AM57" s="102">
        <f t="shared" ref="AM57" si="148">AL57+1</f>
        <v>2028</v>
      </c>
      <c r="AP57" s="84"/>
      <c r="AQ57" s="101">
        <f>ano_1</f>
        <v>2024</v>
      </c>
      <c r="AR57" s="101">
        <f>AQ57+1</f>
        <v>2025</v>
      </c>
      <c r="AS57" s="101">
        <f t="shared" ref="AS57" si="149">AR57+1</f>
        <v>2026</v>
      </c>
      <c r="AT57" s="101">
        <f t="shared" ref="AT57" si="150">AS57+1</f>
        <v>2027</v>
      </c>
      <c r="AU57" s="102">
        <f t="shared" ref="AU57" si="151">AT57+1</f>
        <v>2028</v>
      </c>
      <c r="AX57" s="84"/>
      <c r="AY57" s="101">
        <f>ano_1</f>
        <v>2024</v>
      </c>
      <c r="AZ57" s="101">
        <f>AY57+1</f>
        <v>2025</v>
      </c>
      <c r="BA57" s="101">
        <f t="shared" ref="BA57" si="152">AZ57+1</f>
        <v>2026</v>
      </c>
      <c r="BB57" s="101">
        <f t="shared" ref="BB57" si="153">BA57+1</f>
        <v>2027</v>
      </c>
      <c r="BC57" s="102">
        <f t="shared" ref="BC57" si="154">BB57+1</f>
        <v>2028</v>
      </c>
      <c r="BF57" s="84"/>
      <c r="BG57" s="101">
        <f>ano_1</f>
        <v>2024</v>
      </c>
      <c r="BH57" s="101">
        <f>BG57+1</f>
        <v>2025</v>
      </c>
      <c r="BI57" s="101">
        <f t="shared" ref="BI57" si="155">BH57+1</f>
        <v>2026</v>
      </c>
      <c r="BJ57" s="101">
        <f t="shared" ref="BJ57" si="156">BI57+1</f>
        <v>2027</v>
      </c>
      <c r="BK57" s="102">
        <f t="shared" ref="BK57" si="157">BJ57+1</f>
        <v>2028</v>
      </c>
      <c r="BN57" s="84"/>
      <c r="BO57" s="101">
        <f>ano_1</f>
        <v>2024</v>
      </c>
      <c r="BP57" s="101">
        <f>BO57+1</f>
        <v>2025</v>
      </c>
      <c r="BQ57" s="101">
        <f t="shared" ref="BQ57" si="158">BP57+1</f>
        <v>2026</v>
      </c>
      <c r="BR57" s="101">
        <f t="shared" ref="BR57" si="159">BQ57+1</f>
        <v>2027</v>
      </c>
      <c r="BS57" s="102">
        <f t="shared" ref="BS57" si="160">BR57+1</f>
        <v>2028</v>
      </c>
      <c r="BV57" s="84"/>
      <c r="BW57" s="101">
        <f>ano_1</f>
        <v>2024</v>
      </c>
      <c r="BX57" s="101">
        <f>BW57+1</f>
        <v>2025</v>
      </c>
      <c r="BY57" s="101">
        <f t="shared" ref="BY57" si="161">BX57+1</f>
        <v>2026</v>
      </c>
      <c r="BZ57" s="101">
        <f t="shared" ref="BZ57" si="162">BY57+1</f>
        <v>2027</v>
      </c>
      <c r="CA57" s="102">
        <f t="shared" ref="CA57" si="163">BZ57+1</f>
        <v>2028</v>
      </c>
      <c r="CD57" s="84"/>
      <c r="CE57" s="101">
        <f>ano_1</f>
        <v>2024</v>
      </c>
      <c r="CF57" s="101">
        <f>CE57+1</f>
        <v>2025</v>
      </c>
      <c r="CG57" s="101">
        <f t="shared" ref="CG57" si="164">CF57+1</f>
        <v>2026</v>
      </c>
      <c r="CH57" s="101">
        <f t="shared" ref="CH57" si="165">CG57+1</f>
        <v>2027</v>
      </c>
      <c r="CI57" s="102">
        <f t="shared" ref="CI57" si="166">CH57+1</f>
        <v>2028</v>
      </c>
      <c r="CL57" s="84"/>
      <c r="CM57" s="101">
        <f>ano_1</f>
        <v>2024</v>
      </c>
      <c r="CN57" s="101">
        <f>CM57+1</f>
        <v>2025</v>
      </c>
      <c r="CO57" s="101">
        <f t="shared" ref="CO57" si="167">CN57+1</f>
        <v>2026</v>
      </c>
      <c r="CP57" s="101">
        <f t="shared" ref="CP57" si="168">CO57+1</f>
        <v>2027</v>
      </c>
      <c r="CQ57" s="102">
        <f t="shared" ref="CQ57" si="169">CP57+1</f>
        <v>2028</v>
      </c>
      <c r="CT57" s="84"/>
      <c r="CU57" s="101">
        <f>ano_1</f>
        <v>2024</v>
      </c>
      <c r="CV57" s="101">
        <f>CU57+1</f>
        <v>2025</v>
      </c>
      <c r="CW57" s="101">
        <f t="shared" ref="CW57" si="170">CV57+1</f>
        <v>2026</v>
      </c>
      <c r="CX57" s="101">
        <f t="shared" ref="CX57" si="171">CW57+1</f>
        <v>2027</v>
      </c>
      <c r="CY57" s="102">
        <f t="shared" ref="CY57" si="172">CX57+1</f>
        <v>2028</v>
      </c>
      <c r="DB57" s="84"/>
      <c r="DC57" s="101">
        <f>ano_1</f>
        <v>2024</v>
      </c>
      <c r="DD57" s="101">
        <f>DC57+1</f>
        <v>2025</v>
      </c>
      <c r="DE57" s="101">
        <f t="shared" ref="DE57" si="173">DD57+1</f>
        <v>2026</v>
      </c>
      <c r="DF57" s="101">
        <f t="shared" ref="DF57" si="174">DE57+1</f>
        <v>2027</v>
      </c>
      <c r="DG57" s="102">
        <f t="shared" ref="DG57" si="175">DF57+1</f>
        <v>2028</v>
      </c>
    </row>
    <row r="58" spans="2:111">
      <c r="B58" s="87" t="s">
        <v>170</v>
      </c>
      <c r="C58" s="80">
        <f>C$7*'Mkt share'!$C$62</f>
        <v>495.014466588</v>
      </c>
      <c r="D58" s="80">
        <f>C$8*'Mkt share'!$C$62</f>
        <v>495.014466588</v>
      </c>
      <c r="E58" s="80">
        <f>C$11*'Mkt share'!$C$62</f>
        <v>495.014466588</v>
      </c>
      <c r="F58" s="80">
        <f>C$14*'Mkt share'!$C$62</f>
        <v>495.014466588</v>
      </c>
      <c r="G58" s="88">
        <f>C$17*'Mkt share'!$C$62</f>
        <v>495.014466588</v>
      </c>
      <c r="J58" s="87" t="s">
        <v>170</v>
      </c>
      <c r="K58" s="80">
        <f>K$7*'Mkt share'!$C$63</f>
        <v>0</v>
      </c>
      <c r="L58" s="80">
        <f>K$8*'Mkt share'!$C$63</f>
        <v>0</v>
      </c>
      <c r="M58" s="80">
        <f>K$11*'Mkt share'!$C$63</f>
        <v>0</v>
      </c>
      <c r="N58" s="80">
        <f>K$14*'Mkt share'!$C$63</f>
        <v>0</v>
      </c>
      <c r="O58" s="88">
        <f>K$17*'Mkt share'!$C$63</f>
        <v>0</v>
      </c>
      <c r="R58" s="87" t="s">
        <v>170</v>
      </c>
      <c r="S58" s="80">
        <f>S$7*'Mkt share'!$C$64</f>
        <v>0</v>
      </c>
      <c r="T58" s="80">
        <f>S$8*'Mkt share'!$C$64</f>
        <v>0</v>
      </c>
      <c r="U58" s="80">
        <f>S$11*'Mkt share'!$C$64</f>
        <v>0</v>
      </c>
      <c r="V58" s="80">
        <f>S$14*'Mkt share'!$C$64</f>
        <v>0</v>
      </c>
      <c r="W58" s="88">
        <f>S$17*'Mkt share'!$C$64</f>
        <v>0</v>
      </c>
      <c r="Z58" s="87" t="s">
        <v>170</v>
      </c>
      <c r="AA58" s="80">
        <f>AA$7*'Mkt share'!$C$65</f>
        <v>0</v>
      </c>
      <c r="AB58" s="80">
        <f>AA$8*'Mkt share'!$C$65</f>
        <v>0</v>
      </c>
      <c r="AC58" s="80">
        <f>AA$11*'Mkt share'!$C$65</f>
        <v>0</v>
      </c>
      <c r="AD58" s="80">
        <f>AA$14*'Mkt share'!$C$65</f>
        <v>0</v>
      </c>
      <c r="AE58" s="88">
        <f>AA$17*'Mkt share'!$C$65</f>
        <v>0</v>
      </c>
      <c r="AH58" s="87" t="s">
        <v>170</v>
      </c>
      <c r="AI58" s="80">
        <f>AI$7*'Mkt share'!$C$66</f>
        <v>4455.1301992919998</v>
      </c>
      <c r="AJ58" s="80">
        <f>AI$8*'Mkt share'!$C$66</f>
        <v>4455.1301992919998</v>
      </c>
      <c r="AK58" s="80">
        <f>AI$11*'Mkt share'!$C$66</f>
        <v>4455.1301992919998</v>
      </c>
      <c r="AL58" s="80">
        <f>AI$14*'Mkt share'!$C$66</f>
        <v>4455.1301992919998</v>
      </c>
      <c r="AM58" s="88">
        <f>AI$17*'Mkt share'!$C$66</f>
        <v>4455.1301992919998</v>
      </c>
      <c r="AP58" s="87" t="s">
        <v>170</v>
      </c>
      <c r="AQ58" s="80">
        <f>AQ$7*'Mkt share'!$C$67</f>
        <v>0</v>
      </c>
      <c r="AR58" s="80">
        <f>AQ$8*'Mkt share'!$C$67</f>
        <v>0</v>
      </c>
      <c r="AS58" s="80">
        <f>AQ$11*'Mkt share'!$C$67</f>
        <v>0</v>
      </c>
      <c r="AT58" s="80">
        <f>AQ$14*'Mkt share'!$C$67</f>
        <v>0</v>
      </c>
      <c r="AU58" s="88">
        <f>AQ$17*'Mkt share'!$C$67</f>
        <v>0</v>
      </c>
      <c r="AX58" s="87" t="s">
        <v>170</v>
      </c>
      <c r="AY58" s="80">
        <f>AY$7*'Mkt share'!$C$68</f>
        <v>0</v>
      </c>
      <c r="AZ58" s="80">
        <f>AY$8*'Mkt share'!$C$68</f>
        <v>0</v>
      </c>
      <c r="BA58" s="80">
        <f>AY$11*'Mkt share'!$C$68</f>
        <v>0</v>
      </c>
      <c r="BB58" s="80">
        <f>AY$14*'Mkt share'!$C$68</f>
        <v>0</v>
      </c>
      <c r="BC58" s="88">
        <f>AY$17*'Mkt share'!$C$68</f>
        <v>0</v>
      </c>
      <c r="BF58" s="87" t="s">
        <v>170</v>
      </c>
      <c r="BG58" s="80">
        <f>BG$7*'Mkt share'!$C$69</f>
        <v>0</v>
      </c>
      <c r="BH58" s="80">
        <f>BG$8*'Mkt share'!$C$69</f>
        <v>0</v>
      </c>
      <c r="BI58" s="80">
        <f>BG$11*'Mkt share'!$C$69</f>
        <v>0</v>
      </c>
      <c r="BJ58" s="80">
        <f>BG$14*'Mkt share'!$C$69</f>
        <v>0</v>
      </c>
      <c r="BK58" s="88">
        <f>BG$17*'Mkt share'!$C$69</f>
        <v>0</v>
      </c>
      <c r="BN58" s="87" t="s">
        <v>170</v>
      </c>
      <c r="BO58" s="80">
        <f>BO$7*'Mkt share'!$C$70</f>
        <v>0</v>
      </c>
      <c r="BP58" s="80">
        <f>BO$8*'Mkt share'!$C$70</f>
        <v>0</v>
      </c>
      <c r="BQ58" s="80">
        <f>BO$11*'Mkt share'!$C$70</f>
        <v>0</v>
      </c>
      <c r="BR58" s="80">
        <f>BO$14*'Mkt share'!$C$70</f>
        <v>0</v>
      </c>
      <c r="BS58" s="88">
        <f>BO$17*'Mkt share'!$C$70</f>
        <v>0</v>
      </c>
      <c r="BV58" s="87" t="s">
        <v>170</v>
      </c>
      <c r="BW58" s="80">
        <f>BW$7*'Mkt share'!$C$71</f>
        <v>0</v>
      </c>
      <c r="BX58" s="80">
        <f>BW$8*'Mkt share'!$C$71</f>
        <v>0</v>
      </c>
      <c r="BY58" s="80">
        <f>BW$11*'Mkt share'!$C$71</f>
        <v>0</v>
      </c>
      <c r="BZ58" s="80">
        <f>BW$14*'Mkt share'!$C$71</f>
        <v>0</v>
      </c>
      <c r="CA58" s="88">
        <f>BW$17*'Mkt share'!$C$71</f>
        <v>0</v>
      </c>
      <c r="CD58" s="87" t="s">
        <v>170</v>
      </c>
      <c r="CE58" s="80">
        <f>CE$7*'Mkt share'!$C$72</f>
        <v>0</v>
      </c>
      <c r="CF58" s="80">
        <f>CE$8*'Mkt share'!$C$72</f>
        <v>0</v>
      </c>
      <c r="CG58" s="80">
        <f>CE$11*'Mkt share'!$C$72</f>
        <v>0</v>
      </c>
      <c r="CH58" s="80">
        <f>CE$14*'Mkt share'!$C$72</f>
        <v>0</v>
      </c>
      <c r="CI58" s="88">
        <f>CE$17*'Mkt share'!$C$72</f>
        <v>0</v>
      </c>
      <c r="CL58" s="87" t="s">
        <v>170</v>
      </c>
      <c r="CM58" s="80">
        <f>CM$7*'Mkt share'!$C$73</f>
        <v>0</v>
      </c>
      <c r="CN58" s="80">
        <f>CM$8*'Mkt share'!$C$73</f>
        <v>0</v>
      </c>
      <c r="CO58" s="80">
        <f>CM$11*'Mkt share'!$C$73</f>
        <v>0</v>
      </c>
      <c r="CP58" s="80">
        <f>CM$14*'Mkt share'!$C$73</f>
        <v>0</v>
      </c>
      <c r="CQ58" s="88">
        <f>CM$17*'Mkt share'!$C$73</f>
        <v>0</v>
      </c>
      <c r="CT58" s="87" t="s">
        <v>170</v>
      </c>
      <c r="CU58" s="80">
        <f>CU$7*'Mkt share'!$C$74</f>
        <v>0</v>
      </c>
      <c r="CV58" s="80">
        <f>CU$8*'Mkt share'!$C$74</f>
        <v>0</v>
      </c>
      <c r="CW58" s="80">
        <f>CU$11*'Mkt share'!$C$74</f>
        <v>0</v>
      </c>
      <c r="CX58" s="80">
        <f>CU$14*'Mkt share'!$C$74</f>
        <v>0</v>
      </c>
      <c r="CY58" s="88">
        <f>CU$17*'Mkt share'!$C$74</f>
        <v>0</v>
      </c>
      <c r="DB58" s="87" t="s">
        <v>170</v>
      </c>
      <c r="DC58" s="80">
        <f>DC$7*'Mkt share'!$C$75</f>
        <v>0</v>
      </c>
      <c r="DD58" s="80">
        <f>DC$8*'Mkt share'!$C$75</f>
        <v>0</v>
      </c>
      <c r="DE58" s="80">
        <f>DC$11*'Mkt share'!$C$75</f>
        <v>0</v>
      </c>
      <c r="DF58" s="80">
        <f>DC$14*'Mkt share'!$C$75</f>
        <v>0</v>
      </c>
      <c r="DG58" s="88">
        <f>DC$17*'Mkt share'!$C$75</f>
        <v>0</v>
      </c>
    </row>
    <row r="59" spans="2:111">
      <c r="B59" s="87" t="s">
        <v>175</v>
      </c>
      <c r="C59" s="105">
        <v>0</v>
      </c>
      <c r="D59" s="80">
        <f>C$10*'Mkt share'!$C$62</f>
        <v>0</v>
      </c>
      <c r="E59" s="80">
        <f>C$13*'Mkt share'!$C$62</f>
        <v>0</v>
      </c>
      <c r="F59" s="80">
        <f>C$16*'Mkt share'!$C$62</f>
        <v>0</v>
      </c>
      <c r="G59" s="88">
        <f>C$19*'Mkt share'!$C$62</f>
        <v>0</v>
      </c>
      <c r="J59" s="87" t="s">
        <v>175</v>
      </c>
      <c r="K59" s="105">
        <v>0</v>
      </c>
      <c r="L59" s="80">
        <f>K$10*'Mkt share'!$C$63</f>
        <v>0</v>
      </c>
      <c r="M59" s="80">
        <f>K$13*'Mkt share'!$C$63</f>
        <v>0</v>
      </c>
      <c r="N59" s="80">
        <f>K$16*'Mkt share'!$C$63</f>
        <v>0</v>
      </c>
      <c r="O59" s="88">
        <f>K$19*'Mkt share'!$C$63</f>
        <v>0</v>
      </c>
      <c r="R59" s="87" t="s">
        <v>175</v>
      </c>
      <c r="S59" s="105">
        <v>0</v>
      </c>
      <c r="T59" s="80">
        <f>S$10*'Mkt share'!$C$64</f>
        <v>0</v>
      </c>
      <c r="U59" s="80">
        <f>S$13*'Mkt share'!$C$64</f>
        <v>0</v>
      </c>
      <c r="V59" s="80">
        <f>S$16*'Mkt share'!$C$64</f>
        <v>0</v>
      </c>
      <c r="W59" s="88">
        <f>S$19*'Mkt share'!$C$64</f>
        <v>0</v>
      </c>
      <c r="Z59" s="87" t="s">
        <v>175</v>
      </c>
      <c r="AA59" s="105">
        <v>0</v>
      </c>
      <c r="AB59" s="80">
        <f>AA$10*'Mkt share'!$C$65</f>
        <v>0</v>
      </c>
      <c r="AC59" s="80">
        <f>AA$13*'Mkt share'!$C$65</f>
        <v>0</v>
      </c>
      <c r="AD59" s="80">
        <f>AA$16*'Mkt share'!$C$65</f>
        <v>0</v>
      </c>
      <c r="AE59" s="88">
        <f>AA$19*'Mkt share'!$C$65</f>
        <v>0</v>
      </c>
      <c r="AH59" s="87" t="s">
        <v>175</v>
      </c>
      <c r="AI59" s="105">
        <v>0</v>
      </c>
      <c r="AJ59" s="80">
        <f>AI$10*'Mkt share'!$C$66</f>
        <v>0</v>
      </c>
      <c r="AK59" s="80">
        <f>AI$13*'Mkt share'!$C$66</f>
        <v>0</v>
      </c>
      <c r="AL59" s="80">
        <f>AI$16*'Mkt share'!$C$66</f>
        <v>0</v>
      </c>
      <c r="AM59" s="88">
        <f>AI$19*'Mkt share'!$C$66</f>
        <v>0</v>
      </c>
      <c r="AP59" s="87" t="s">
        <v>175</v>
      </c>
      <c r="AQ59" s="105">
        <v>0</v>
      </c>
      <c r="AR59" s="80">
        <f>AQ$10*'Mkt share'!$C$67</f>
        <v>0</v>
      </c>
      <c r="AS59" s="80">
        <f>AQ$13*'Mkt share'!$C$67</f>
        <v>0</v>
      </c>
      <c r="AT59" s="80">
        <f>AQ$16*'Mkt share'!$C$67</f>
        <v>0</v>
      </c>
      <c r="AU59" s="88">
        <f>AQ$19*'Mkt share'!$C$67</f>
        <v>0</v>
      </c>
      <c r="AX59" s="87" t="s">
        <v>175</v>
      </c>
      <c r="AY59" s="105">
        <v>0</v>
      </c>
      <c r="AZ59" s="80">
        <f>AY$10*'Mkt share'!$C$68</f>
        <v>0</v>
      </c>
      <c r="BA59" s="80">
        <f>AY$13*'Mkt share'!$C$68</f>
        <v>0</v>
      </c>
      <c r="BB59" s="80">
        <f>AY$16*'Mkt share'!$C$68</f>
        <v>0</v>
      </c>
      <c r="BC59" s="88">
        <f>AY$19*'Mkt share'!$C$68</f>
        <v>0</v>
      </c>
      <c r="BF59" s="87" t="s">
        <v>175</v>
      </c>
      <c r="BG59" s="105">
        <v>0</v>
      </c>
      <c r="BH59" s="80">
        <f>BG$10*'Mkt share'!$C$69</f>
        <v>0</v>
      </c>
      <c r="BI59" s="80">
        <f>BG$13*'Mkt share'!$C$69</f>
        <v>0</v>
      </c>
      <c r="BJ59" s="80">
        <f>BG$16*'Mkt share'!$C$69</f>
        <v>0</v>
      </c>
      <c r="BK59" s="88">
        <f>BG$19*'Mkt share'!$C$69</f>
        <v>0</v>
      </c>
      <c r="BN59" s="87" t="s">
        <v>175</v>
      </c>
      <c r="BO59" s="105">
        <v>0</v>
      </c>
      <c r="BP59" s="80">
        <f>BO$10*'Mkt share'!$C$70</f>
        <v>0</v>
      </c>
      <c r="BQ59" s="80">
        <f>BO$13*'Mkt share'!$C$70</f>
        <v>0</v>
      </c>
      <c r="BR59" s="80">
        <f>BO$16*'Mkt share'!$C$70</f>
        <v>0</v>
      </c>
      <c r="BS59" s="88">
        <f>BO$19*'Mkt share'!$C$70</f>
        <v>0</v>
      </c>
      <c r="BV59" s="87" t="s">
        <v>175</v>
      </c>
      <c r="BW59" s="105">
        <v>0</v>
      </c>
      <c r="BX59" s="80">
        <f>BW$10*'Mkt share'!$C$71</f>
        <v>0</v>
      </c>
      <c r="BY59" s="80">
        <f>BW$13*'Mkt share'!$C$71</f>
        <v>0</v>
      </c>
      <c r="BZ59" s="80">
        <f>BW$16*'Mkt share'!$C$71</f>
        <v>0</v>
      </c>
      <c r="CA59" s="88">
        <f>BW$19*'Mkt share'!$C$71</f>
        <v>0</v>
      </c>
      <c r="CD59" s="87" t="s">
        <v>175</v>
      </c>
      <c r="CE59" s="105">
        <v>0</v>
      </c>
      <c r="CF59" s="80">
        <f>CE$10*'Mkt share'!$C$72</f>
        <v>0</v>
      </c>
      <c r="CG59" s="80">
        <f>CE$13*'Mkt share'!$C$72</f>
        <v>0</v>
      </c>
      <c r="CH59" s="80">
        <f>CE$16*'Mkt share'!$C$72</f>
        <v>0</v>
      </c>
      <c r="CI59" s="88">
        <f>CE$19*'Mkt share'!$C$72</f>
        <v>0</v>
      </c>
      <c r="CL59" s="87" t="s">
        <v>175</v>
      </c>
      <c r="CM59" s="105">
        <v>0</v>
      </c>
      <c r="CN59" s="80">
        <f>CM$10*'Mkt share'!$C$73</f>
        <v>0</v>
      </c>
      <c r="CO59" s="80">
        <f>CM$13*'Mkt share'!$C$73</f>
        <v>0</v>
      </c>
      <c r="CP59" s="80">
        <f>CM$16*'Mkt share'!$C$73</f>
        <v>0</v>
      </c>
      <c r="CQ59" s="88">
        <f>CM$19*'Mkt share'!$C$73</f>
        <v>0</v>
      </c>
      <c r="CT59" s="87" t="s">
        <v>175</v>
      </c>
      <c r="CU59" s="105">
        <v>0</v>
      </c>
      <c r="CV59" s="80">
        <f>CU$10*'Mkt share'!$C$74</f>
        <v>0</v>
      </c>
      <c r="CW59" s="80">
        <f>CU$13*'Mkt share'!$C$74</f>
        <v>0</v>
      </c>
      <c r="CX59" s="80">
        <f>CU$16*'Mkt share'!$C$74</f>
        <v>0</v>
      </c>
      <c r="CY59" s="88">
        <f>CU$19*'Mkt share'!$C$74</f>
        <v>0</v>
      </c>
      <c r="DB59" s="87" t="s">
        <v>175</v>
      </c>
      <c r="DC59" s="105">
        <v>0</v>
      </c>
      <c r="DD59" s="80">
        <f>DC$10*'Mkt share'!$C$75</f>
        <v>0</v>
      </c>
      <c r="DE59" s="80">
        <f>DC$13*'Mkt share'!$C$75</f>
        <v>0</v>
      </c>
      <c r="DF59" s="80">
        <f>DC$16*'Mkt share'!$C$75</f>
        <v>0</v>
      </c>
      <c r="DG59" s="88">
        <f>DC$19*'Mkt share'!$C$75</f>
        <v>0</v>
      </c>
    </row>
    <row r="60" spans="2:111">
      <c r="B60" s="87" t="s">
        <v>171</v>
      </c>
      <c r="C60" s="103"/>
      <c r="D60" s="80">
        <f>D$7*'Mkt share'!$D$62</f>
        <v>996.14431496399993</v>
      </c>
      <c r="E60" s="80">
        <f>D$8*'Mkt share'!$D$62</f>
        <v>996.14431496399993</v>
      </c>
      <c r="F60" s="80">
        <f>D$11*'Mkt share'!$D$62</f>
        <v>996.14431496399993</v>
      </c>
      <c r="G60" s="88">
        <f>D$14*'Mkt share'!$D$62</f>
        <v>996.14431496399993</v>
      </c>
      <c r="J60" s="87" t="s">
        <v>171</v>
      </c>
      <c r="K60" s="103"/>
      <c r="L60" s="80">
        <f>L$7*'Mkt share'!$D$63</f>
        <v>0</v>
      </c>
      <c r="M60" s="80">
        <f>L$8*'Mkt share'!$D$63</f>
        <v>0</v>
      </c>
      <c r="N60" s="80">
        <f>L$11*'Mkt share'!$D$63</f>
        <v>0</v>
      </c>
      <c r="O60" s="88">
        <f>L$14*'Mkt share'!$D$63</f>
        <v>0</v>
      </c>
      <c r="R60" s="87" t="s">
        <v>171</v>
      </c>
      <c r="S60" s="103"/>
      <c r="T60" s="80">
        <f>T$7*'Mkt share'!$D$64</f>
        <v>0</v>
      </c>
      <c r="U60" s="80">
        <f>T$8*'Mkt share'!$D$64</f>
        <v>0</v>
      </c>
      <c r="V60" s="80">
        <f>T$11*'Mkt share'!$D$64</f>
        <v>0</v>
      </c>
      <c r="W60" s="88">
        <f>T$14*'Mkt share'!$D$64</f>
        <v>0</v>
      </c>
      <c r="Z60" s="87" t="s">
        <v>171</v>
      </c>
      <c r="AA60" s="103"/>
      <c r="AB60" s="80">
        <f>AB$7*'Mkt share'!$D$65</f>
        <v>0</v>
      </c>
      <c r="AC60" s="80">
        <f>AB$8*'Mkt share'!$D$65</f>
        <v>0</v>
      </c>
      <c r="AD60" s="80">
        <f>AB$11*'Mkt share'!$D$65</f>
        <v>0</v>
      </c>
      <c r="AE60" s="88">
        <f>AB$14*'Mkt share'!$D$65</f>
        <v>0</v>
      </c>
      <c r="AH60" s="87" t="s">
        <v>171</v>
      </c>
      <c r="AI60" s="103"/>
      <c r="AJ60" s="80">
        <f>AJ$7*'Mkt share'!$D$66</f>
        <v>3984.5772598559997</v>
      </c>
      <c r="AK60" s="80">
        <f>AJ$8*'Mkt share'!$D$66</f>
        <v>3984.5772598559997</v>
      </c>
      <c r="AL60" s="80">
        <f>AJ$11*'Mkt share'!$D$66</f>
        <v>3984.5772598559997</v>
      </c>
      <c r="AM60" s="88">
        <f>AJ$14*'Mkt share'!$D$66</f>
        <v>3984.5772598559997</v>
      </c>
      <c r="AP60" s="87" t="s">
        <v>171</v>
      </c>
      <c r="AQ60" s="103"/>
      <c r="AR60" s="80">
        <f>AR$7*'Mkt share'!$D$67</f>
        <v>0</v>
      </c>
      <c r="AS60" s="80">
        <f>AR$8*'Mkt share'!$D$67</f>
        <v>0</v>
      </c>
      <c r="AT60" s="80">
        <f>AR$11*'Mkt share'!$D$67</f>
        <v>0</v>
      </c>
      <c r="AU60" s="88">
        <f>AR$14*'Mkt share'!$D$67</f>
        <v>0</v>
      </c>
      <c r="AX60" s="87" t="s">
        <v>171</v>
      </c>
      <c r="AY60" s="103"/>
      <c r="AZ60" s="80">
        <f>AZ$7*'Mkt share'!$D$68</f>
        <v>0</v>
      </c>
      <c r="BA60" s="80">
        <f>AZ$8*'Mkt share'!$D$68</f>
        <v>0</v>
      </c>
      <c r="BB60" s="80">
        <f>AZ$11*'Mkt share'!$D$68</f>
        <v>0</v>
      </c>
      <c r="BC60" s="88">
        <f>AZ$14*'Mkt share'!$D$68</f>
        <v>0</v>
      </c>
      <c r="BF60" s="87" t="s">
        <v>171</v>
      </c>
      <c r="BG60" s="103"/>
      <c r="BH60" s="80">
        <f>BH$7*'Mkt share'!$D$69</f>
        <v>0</v>
      </c>
      <c r="BI60" s="80">
        <f>BH$8*'Mkt share'!$D$69</f>
        <v>0</v>
      </c>
      <c r="BJ60" s="80">
        <f>BH$11*'Mkt share'!$D$69</f>
        <v>0</v>
      </c>
      <c r="BK60" s="88">
        <f>BH$14*'Mkt share'!$D$69</f>
        <v>0</v>
      </c>
      <c r="BN60" s="87" t="s">
        <v>171</v>
      </c>
      <c r="BO60" s="103"/>
      <c r="BP60" s="80">
        <f>BP$7*'Mkt share'!$D$70</f>
        <v>0</v>
      </c>
      <c r="BQ60" s="80">
        <f>BP$8*'Mkt share'!$D$70</f>
        <v>0</v>
      </c>
      <c r="BR60" s="80">
        <f>BP$11*'Mkt share'!$D$70</f>
        <v>0</v>
      </c>
      <c r="BS60" s="88">
        <f>BP$14*'Mkt share'!$D$70</f>
        <v>0</v>
      </c>
      <c r="BV60" s="87" t="s">
        <v>171</v>
      </c>
      <c r="BW60" s="103"/>
      <c r="BX60" s="80">
        <f>BX$7*'Mkt share'!$D$71</f>
        <v>0</v>
      </c>
      <c r="BY60" s="80">
        <f>BX$8*'Mkt share'!$D$71</f>
        <v>0</v>
      </c>
      <c r="BZ60" s="80">
        <f>BX$11*'Mkt share'!$D$71</f>
        <v>0</v>
      </c>
      <c r="CA60" s="88">
        <f>BX$14*'Mkt share'!$D$71</f>
        <v>0</v>
      </c>
      <c r="CD60" s="87" t="s">
        <v>171</v>
      </c>
      <c r="CE60" s="103"/>
      <c r="CF60" s="80">
        <f>CF$7*'Mkt share'!$D$72</f>
        <v>0</v>
      </c>
      <c r="CG60" s="80">
        <f>CF$8*'Mkt share'!$D$72</f>
        <v>0</v>
      </c>
      <c r="CH60" s="80">
        <f>CF$11*'Mkt share'!$D$72</f>
        <v>0</v>
      </c>
      <c r="CI60" s="88">
        <f>CF$14*'Mkt share'!$D$72</f>
        <v>0</v>
      </c>
      <c r="CL60" s="87" t="s">
        <v>171</v>
      </c>
      <c r="CM60" s="103"/>
      <c r="CN60" s="80">
        <f>CN$7*'Mkt share'!$D$73</f>
        <v>0</v>
      </c>
      <c r="CO60" s="80">
        <f>CN$8*'Mkt share'!$D$73</f>
        <v>0</v>
      </c>
      <c r="CP60" s="80">
        <f>CN$11*'Mkt share'!$D$73</f>
        <v>0</v>
      </c>
      <c r="CQ60" s="88">
        <f>CN$14*'Mkt share'!$D$73</f>
        <v>0</v>
      </c>
      <c r="CT60" s="87" t="s">
        <v>171</v>
      </c>
      <c r="CU60" s="103"/>
      <c r="CV60" s="80">
        <f>CV$7*'Mkt share'!$D$74</f>
        <v>0</v>
      </c>
      <c r="CW60" s="80">
        <f>CV$8*'Mkt share'!$D$74</f>
        <v>0</v>
      </c>
      <c r="CX60" s="80">
        <f>CV$11*'Mkt share'!$D$74</f>
        <v>0</v>
      </c>
      <c r="CY60" s="88">
        <f>CV$14*'Mkt share'!$D$74</f>
        <v>0</v>
      </c>
      <c r="DB60" s="87" t="s">
        <v>171</v>
      </c>
      <c r="DC60" s="103"/>
      <c r="DD60" s="80">
        <f>DD$7*'Mkt share'!$D$75</f>
        <v>0</v>
      </c>
      <c r="DE60" s="80">
        <f>DD$8*'Mkt share'!$D$75</f>
        <v>0</v>
      </c>
      <c r="DF60" s="80">
        <f>DD$11*'Mkt share'!$D$75</f>
        <v>0</v>
      </c>
      <c r="DG60" s="88">
        <f>DD$14*'Mkt share'!$D$75</f>
        <v>0</v>
      </c>
    </row>
    <row r="61" spans="2:111">
      <c r="B61" s="87" t="s">
        <v>176</v>
      </c>
      <c r="C61" s="103"/>
      <c r="D61" s="105">
        <v>0</v>
      </c>
      <c r="E61" s="80">
        <f>D$10*'Mkt share'!$D$62</f>
        <v>0</v>
      </c>
      <c r="F61" s="80">
        <f>D$13*'Mkt share'!$D$62</f>
        <v>0</v>
      </c>
      <c r="G61" s="88">
        <f>D$16*'Mkt share'!$D$62</f>
        <v>0</v>
      </c>
      <c r="J61" s="87" t="s">
        <v>176</v>
      </c>
      <c r="K61" s="103"/>
      <c r="L61" s="105">
        <v>0</v>
      </c>
      <c r="M61" s="80">
        <f>L$10*'Mkt share'!$D$63</f>
        <v>0</v>
      </c>
      <c r="N61" s="80">
        <f>L$13*'Mkt share'!$D$63</f>
        <v>0</v>
      </c>
      <c r="O61" s="88">
        <f>L$16*'Mkt share'!$D$63</f>
        <v>0</v>
      </c>
      <c r="R61" s="87" t="s">
        <v>176</v>
      </c>
      <c r="S61" s="103"/>
      <c r="T61" s="105">
        <v>0</v>
      </c>
      <c r="U61" s="80">
        <f>T$10*'Mkt share'!$D$64</f>
        <v>0</v>
      </c>
      <c r="V61" s="80">
        <f>T$13*'Mkt share'!$D$64</f>
        <v>0</v>
      </c>
      <c r="W61" s="88">
        <f>T$16*'Mkt share'!$D$64</f>
        <v>0</v>
      </c>
      <c r="Z61" s="87" t="s">
        <v>176</v>
      </c>
      <c r="AA61" s="103"/>
      <c r="AB61" s="105">
        <v>0</v>
      </c>
      <c r="AC61" s="80">
        <f>AB$10*'Mkt share'!$D$65</f>
        <v>0</v>
      </c>
      <c r="AD61" s="80">
        <f>AB$13*'Mkt share'!$D$65</f>
        <v>0</v>
      </c>
      <c r="AE61" s="88">
        <f>AB$16*'Mkt share'!$D$65</f>
        <v>0</v>
      </c>
      <c r="AH61" s="87" t="s">
        <v>176</v>
      </c>
      <c r="AI61" s="103"/>
      <c r="AJ61" s="105">
        <v>0</v>
      </c>
      <c r="AK61" s="80">
        <f>AJ$10*'Mkt share'!$D$66</f>
        <v>0</v>
      </c>
      <c r="AL61" s="80">
        <f>AJ$13*'Mkt share'!$D$66</f>
        <v>0</v>
      </c>
      <c r="AM61" s="88">
        <f>AJ$16*'Mkt share'!$D$66</f>
        <v>0</v>
      </c>
      <c r="AP61" s="87" t="s">
        <v>176</v>
      </c>
      <c r="AQ61" s="103"/>
      <c r="AR61" s="105">
        <v>0</v>
      </c>
      <c r="AS61" s="80">
        <f>AR$10*'Mkt share'!$D$67</f>
        <v>0</v>
      </c>
      <c r="AT61" s="80">
        <f>AR$13*'Mkt share'!$D$67</f>
        <v>0</v>
      </c>
      <c r="AU61" s="88">
        <f>AR$16*'Mkt share'!$D$67</f>
        <v>0</v>
      </c>
      <c r="AX61" s="87" t="s">
        <v>176</v>
      </c>
      <c r="AY61" s="103"/>
      <c r="AZ61" s="105">
        <v>0</v>
      </c>
      <c r="BA61" s="80">
        <f>AZ$10*'Mkt share'!$D$68</f>
        <v>0</v>
      </c>
      <c r="BB61" s="80">
        <f>AZ$13*'Mkt share'!$D$68</f>
        <v>0</v>
      </c>
      <c r="BC61" s="88">
        <f>AZ$16*'Mkt share'!$D$68</f>
        <v>0</v>
      </c>
      <c r="BF61" s="87" t="s">
        <v>176</v>
      </c>
      <c r="BG61" s="103"/>
      <c r="BH61" s="105">
        <v>0</v>
      </c>
      <c r="BI61" s="80">
        <f>BH$10*'Mkt share'!$D$69</f>
        <v>0</v>
      </c>
      <c r="BJ61" s="80">
        <f>BH$13*'Mkt share'!$D$69</f>
        <v>0</v>
      </c>
      <c r="BK61" s="88">
        <f>BH$16*'Mkt share'!$D$69</f>
        <v>0</v>
      </c>
      <c r="BN61" s="87" t="s">
        <v>176</v>
      </c>
      <c r="BO61" s="103"/>
      <c r="BP61" s="105">
        <v>0</v>
      </c>
      <c r="BQ61" s="80">
        <f>BP$10*'Mkt share'!$D$70</f>
        <v>0</v>
      </c>
      <c r="BR61" s="80">
        <f>BP$13*'Mkt share'!$D$70</f>
        <v>0</v>
      </c>
      <c r="BS61" s="88">
        <f>BP$16*'Mkt share'!$D$70</f>
        <v>0</v>
      </c>
      <c r="BV61" s="87" t="s">
        <v>176</v>
      </c>
      <c r="BW61" s="103"/>
      <c r="BX61" s="105">
        <v>0</v>
      </c>
      <c r="BY61" s="80">
        <f>BX$10*'Mkt share'!$D$71</f>
        <v>0</v>
      </c>
      <c r="BZ61" s="80">
        <f>BX$13*'Mkt share'!$D$71</f>
        <v>0</v>
      </c>
      <c r="CA61" s="88">
        <f>BX$16*'Mkt share'!$D$71</f>
        <v>0</v>
      </c>
      <c r="CD61" s="87" t="s">
        <v>176</v>
      </c>
      <c r="CE61" s="103"/>
      <c r="CF61" s="105">
        <v>0</v>
      </c>
      <c r="CG61" s="80">
        <f>CF$10*'Mkt share'!$D$72</f>
        <v>0</v>
      </c>
      <c r="CH61" s="80">
        <f>CF$13*'Mkt share'!$D$72</f>
        <v>0</v>
      </c>
      <c r="CI61" s="88">
        <f>CF$16*'Mkt share'!$D$72</f>
        <v>0</v>
      </c>
      <c r="CL61" s="87" t="s">
        <v>176</v>
      </c>
      <c r="CM61" s="103"/>
      <c r="CN61" s="105">
        <v>0</v>
      </c>
      <c r="CO61" s="80">
        <f>CN$10*'Mkt share'!$D$73</f>
        <v>0</v>
      </c>
      <c r="CP61" s="80">
        <f>CN$13*'Mkt share'!$D$73</f>
        <v>0</v>
      </c>
      <c r="CQ61" s="88">
        <f>CN$16*'Mkt share'!$D$73</f>
        <v>0</v>
      </c>
      <c r="CT61" s="87" t="s">
        <v>176</v>
      </c>
      <c r="CU61" s="103"/>
      <c r="CV61" s="105">
        <v>0</v>
      </c>
      <c r="CW61" s="80">
        <f>CV$10*'Mkt share'!$D$74</f>
        <v>0</v>
      </c>
      <c r="CX61" s="80">
        <f>CV$13*'Mkt share'!$D$74</f>
        <v>0</v>
      </c>
      <c r="CY61" s="88">
        <f>CV$16*'Mkt share'!$D$74</f>
        <v>0</v>
      </c>
      <c r="DB61" s="87" t="s">
        <v>176</v>
      </c>
      <c r="DC61" s="103"/>
      <c r="DD61" s="105">
        <v>0</v>
      </c>
      <c r="DE61" s="80">
        <f>DD$10*'Mkt share'!$D$75</f>
        <v>0</v>
      </c>
      <c r="DF61" s="80">
        <f>DD$13*'Mkt share'!$D$75</f>
        <v>0</v>
      </c>
      <c r="DG61" s="88">
        <f>DD$16*'Mkt share'!$D$75</f>
        <v>0</v>
      </c>
    </row>
    <row r="62" spans="2:111">
      <c r="B62" s="87" t="s">
        <v>172</v>
      </c>
      <c r="C62" s="103"/>
      <c r="D62" s="103"/>
      <c r="E62" s="80">
        <f>E$7*'Mkt share'!$E$62</f>
        <v>1502.99936766</v>
      </c>
      <c r="F62" s="80">
        <f>E$8*'Mkt share'!$E$62</f>
        <v>1502.99936766</v>
      </c>
      <c r="G62" s="88">
        <f>E$11*'Mkt share'!$E$62</f>
        <v>1502.99936766</v>
      </c>
      <c r="J62" s="87" t="s">
        <v>172</v>
      </c>
      <c r="K62" s="103"/>
      <c r="L62" s="103"/>
      <c r="M62" s="80">
        <f>M$7*'Mkt share'!$E$63</f>
        <v>0</v>
      </c>
      <c r="N62" s="80">
        <f>M$8*'Mkt share'!$E$63</f>
        <v>0</v>
      </c>
      <c r="O62" s="88">
        <f>M$11*'Mkt share'!$E$63</f>
        <v>0</v>
      </c>
      <c r="R62" s="87" t="s">
        <v>172</v>
      </c>
      <c r="S62" s="103"/>
      <c r="T62" s="103"/>
      <c r="U62" s="80">
        <f>U$7*'Mkt share'!$E$64</f>
        <v>0</v>
      </c>
      <c r="V62" s="80">
        <f>U$8*'Mkt share'!$E$64</f>
        <v>0</v>
      </c>
      <c r="W62" s="88">
        <f>U$11*'Mkt share'!$E$64</f>
        <v>0</v>
      </c>
      <c r="Z62" s="87" t="s">
        <v>172</v>
      </c>
      <c r="AA62" s="103"/>
      <c r="AB62" s="103"/>
      <c r="AC62" s="80">
        <f>AC$7*'Mkt share'!$E$65</f>
        <v>0</v>
      </c>
      <c r="AD62" s="80">
        <f>AC$8*'Mkt share'!$E$65</f>
        <v>0</v>
      </c>
      <c r="AE62" s="88">
        <f>AC$11*'Mkt share'!$E$65</f>
        <v>0</v>
      </c>
      <c r="AH62" s="87" t="s">
        <v>172</v>
      </c>
      <c r="AI62" s="103"/>
      <c r="AJ62" s="103"/>
      <c r="AK62" s="80">
        <f>AK$7*'Mkt share'!$E$66</f>
        <v>3506.9985245399998</v>
      </c>
      <c r="AL62" s="80">
        <f>AK$8*'Mkt share'!$E$66</f>
        <v>3506.9985245399998</v>
      </c>
      <c r="AM62" s="88">
        <f>AK$11*'Mkt share'!$E$66</f>
        <v>3506.9985245399998</v>
      </c>
      <c r="AP62" s="87" t="s">
        <v>172</v>
      </c>
      <c r="AQ62" s="103"/>
      <c r="AR62" s="103"/>
      <c r="AS62" s="80">
        <f>AS$7*'Mkt share'!$E$67</f>
        <v>0</v>
      </c>
      <c r="AT62" s="80">
        <f>AS$8*'Mkt share'!$E$67</f>
        <v>0</v>
      </c>
      <c r="AU62" s="88">
        <f>AS$11*'Mkt share'!$E$67</f>
        <v>0</v>
      </c>
      <c r="AX62" s="87" t="s">
        <v>172</v>
      </c>
      <c r="AY62" s="103"/>
      <c r="AZ62" s="103"/>
      <c r="BA62" s="80">
        <f>BA$7*'Mkt share'!$E$68</f>
        <v>0</v>
      </c>
      <c r="BB62" s="80">
        <f>BA$8*'Mkt share'!$E$68</f>
        <v>0</v>
      </c>
      <c r="BC62" s="88">
        <f>BA$11*'Mkt share'!$E$68</f>
        <v>0</v>
      </c>
      <c r="BF62" s="87" t="s">
        <v>172</v>
      </c>
      <c r="BG62" s="103"/>
      <c r="BH62" s="103"/>
      <c r="BI62" s="80">
        <f>BI$7*'Mkt share'!$E$69</f>
        <v>0</v>
      </c>
      <c r="BJ62" s="80">
        <f>BI$8*'Mkt share'!$E$69</f>
        <v>0</v>
      </c>
      <c r="BK62" s="88">
        <f>BI$11*'Mkt share'!$E$69</f>
        <v>0</v>
      </c>
      <c r="BN62" s="87" t="s">
        <v>172</v>
      </c>
      <c r="BO62" s="103"/>
      <c r="BP62" s="103"/>
      <c r="BQ62" s="80">
        <f>BQ$7*'Mkt share'!$E$70</f>
        <v>0</v>
      </c>
      <c r="BR62" s="80">
        <f>BQ$8*'Mkt share'!$E$70</f>
        <v>0</v>
      </c>
      <c r="BS62" s="88">
        <f>BQ$11*'Mkt share'!$E$70</f>
        <v>0</v>
      </c>
      <c r="BV62" s="87" t="s">
        <v>172</v>
      </c>
      <c r="BW62" s="103"/>
      <c r="BX62" s="103"/>
      <c r="BY62" s="80">
        <f>BY$7*'Mkt share'!$E$71</f>
        <v>0</v>
      </c>
      <c r="BZ62" s="80">
        <f>BY$8*'Mkt share'!$E$71</f>
        <v>0</v>
      </c>
      <c r="CA62" s="88">
        <f>BY$11*'Mkt share'!$E$71</f>
        <v>0</v>
      </c>
      <c r="CD62" s="87" t="s">
        <v>172</v>
      </c>
      <c r="CE62" s="103"/>
      <c r="CF62" s="103"/>
      <c r="CG62" s="80">
        <f>CG$7*'Mkt share'!$E$72</f>
        <v>0</v>
      </c>
      <c r="CH62" s="80">
        <f>CG$8*'Mkt share'!$E$72</f>
        <v>0</v>
      </c>
      <c r="CI62" s="88">
        <f>CG$11*'Mkt share'!$E$72</f>
        <v>0</v>
      </c>
      <c r="CL62" s="87" t="s">
        <v>172</v>
      </c>
      <c r="CM62" s="103"/>
      <c r="CN62" s="103"/>
      <c r="CO62" s="80">
        <f>CO$7*'Mkt share'!$E$73</f>
        <v>0</v>
      </c>
      <c r="CP62" s="80">
        <f>CO$8*'Mkt share'!$E$73</f>
        <v>0</v>
      </c>
      <c r="CQ62" s="88">
        <f>CO$11*'Mkt share'!$E$73</f>
        <v>0</v>
      </c>
      <c r="CT62" s="87" t="s">
        <v>172</v>
      </c>
      <c r="CU62" s="103"/>
      <c r="CV62" s="103"/>
      <c r="CW62" s="80">
        <f>CW$7*'Mkt share'!$E$74</f>
        <v>0</v>
      </c>
      <c r="CX62" s="80">
        <f>CW$8*'Mkt share'!$E$74</f>
        <v>0</v>
      </c>
      <c r="CY62" s="88">
        <f>CW$11*'Mkt share'!$E$74</f>
        <v>0</v>
      </c>
      <c r="DB62" s="87" t="s">
        <v>172</v>
      </c>
      <c r="DC62" s="103"/>
      <c r="DD62" s="103"/>
      <c r="DE62" s="80">
        <f>DE$7*'Mkt share'!$E$75</f>
        <v>0</v>
      </c>
      <c r="DF62" s="80">
        <f>DE$8*'Mkt share'!$E$75</f>
        <v>0</v>
      </c>
      <c r="DG62" s="88">
        <f>DE$11*'Mkt share'!$E$75</f>
        <v>0</v>
      </c>
    </row>
    <row r="63" spans="2:111">
      <c r="B63" s="87" t="s">
        <v>177</v>
      </c>
      <c r="C63" s="103"/>
      <c r="D63" s="103"/>
      <c r="E63" s="105">
        <v>0</v>
      </c>
      <c r="F63" s="80">
        <f>E$10*'Mkt share'!$E$62</f>
        <v>0</v>
      </c>
      <c r="G63" s="88">
        <f>E$13*'Mkt share'!$E$62</f>
        <v>0</v>
      </c>
      <c r="J63" s="87" t="s">
        <v>177</v>
      </c>
      <c r="K63" s="103"/>
      <c r="L63" s="103"/>
      <c r="M63" s="105">
        <v>0</v>
      </c>
      <c r="N63" s="80">
        <f>M$10*'Mkt share'!$E$63</f>
        <v>0</v>
      </c>
      <c r="O63" s="88">
        <f>M$13*'Mkt share'!$E$63</f>
        <v>0</v>
      </c>
      <c r="R63" s="87" t="s">
        <v>177</v>
      </c>
      <c r="S63" s="103"/>
      <c r="T63" s="103"/>
      <c r="U63" s="105">
        <v>0</v>
      </c>
      <c r="V63" s="80">
        <f>U$10*'Mkt share'!$E$64</f>
        <v>0</v>
      </c>
      <c r="W63" s="88">
        <f>U$13*'Mkt share'!$E$64</f>
        <v>0</v>
      </c>
      <c r="Z63" s="87" t="s">
        <v>177</v>
      </c>
      <c r="AA63" s="103"/>
      <c r="AB63" s="103"/>
      <c r="AC63" s="105">
        <v>0</v>
      </c>
      <c r="AD63" s="80">
        <f>AC$10*'Mkt share'!$E$65</f>
        <v>0</v>
      </c>
      <c r="AE63" s="88">
        <f>AC$13*'Mkt share'!$E$65</f>
        <v>0</v>
      </c>
      <c r="AH63" s="87" t="s">
        <v>177</v>
      </c>
      <c r="AI63" s="103"/>
      <c r="AJ63" s="103"/>
      <c r="AK63" s="105">
        <v>0</v>
      </c>
      <c r="AL63" s="80">
        <f>AK$10*'Mkt share'!$E$66</f>
        <v>0</v>
      </c>
      <c r="AM63" s="88">
        <f>AK$13*'Mkt share'!$E$66</f>
        <v>0</v>
      </c>
      <c r="AP63" s="87" t="s">
        <v>177</v>
      </c>
      <c r="AQ63" s="103"/>
      <c r="AR63" s="103"/>
      <c r="AS63" s="105">
        <v>0</v>
      </c>
      <c r="AT63" s="80">
        <f>AS$10*'Mkt share'!$E$67</f>
        <v>0</v>
      </c>
      <c r="AU63" s="88">
        <f>AS$13*'Mkt share'!$E$67</f>
        <v>0</v>
      </c>
      <c r="AX63" s="87" t="s">
        <v>177</v>
      </c>
      <c r="AY63" s="103"/>
      <c r="AZ63" s="103"/>
      <c r="BA63" s="105">
        <v>0</v>
      </c>
      <c r="BB63" s="80">
        <f>BA$10*'Mkt share'!$E$68</f>
        <v>0</v>
      </c>
      <c r="BC63" s="88">
        <f>BA$13*'Mkt share'!$E$68</f>
        <v>0</v>
      </c>
      <c r="BF63" s="87" t="s">
        <v>177</v>
      </c>
      <c r="BG63" s="103"/>
      <c r="BH63" s="103"/>
      <c r="BI63" s="105">
        <v>0</v>
      </c>
      <c r="BJ63" s="80">
        <f>BI$10*'Mkt share'!$E$69</f>
        <v>0</v>
      </c>
      <c r="BK63" s="88">
        <f>BI$13*'Mkt share'!$E$69</f>
        <v>0</v>
      </c>
      <c r="BN63" s="87" t="s">
        <v>177</v>
      </c>
      <c r="BO63" s="103"/>
      <c r="BP63" s="103"/>
      <c r="BQ63" s="105">
        <v>0</v>
      </c>
      <c r="BR63" s="80">
        <f>BQ$10*'Mkt share'!$E$70</f>
        <v>0</v>
      </c>
      <c r="BS63" s="88">
        <f>BQ$13*'Mkt share'!$E$70</f>
        <v>0</v>
      </c>
      <c r="BV63" s="87" t="s">
        <v>177</v>
      </c>
      <c r="BW63" s="103"/>
      <c r="BX63" s="103"/>
      <c r="BY63" s="105">
        <v>0</v>
      </c>
      <c r="BZ63" s="80">
        <f>BY$10*'Mkt share'!$E$71</f>
        <v>0</v>
      </c>
      <c r="CA63" s="88">
        <f>BY$13*'Mkt share'!$E$71</f>
        <v>0</v>
      </c>
      <c r="CD63" s="87" t="s">
        <v>177</v>
      </c>
      <c r="CE63" s="103"/>
      <c r="CF63" s="103"/>
      <c r="CG63" s="105">
        <v>0</v>
      </c>
      <c r="CH63" s="80">
        <f>CG$10*'Mkt share'!$E$72</f>
        <v>0</v>
      </c>
      <c r="CI63" s="88">
        <f>CG$13*'Mkt share'!$E$72</f>
        <v>0</v>
      </c>
      <c r="CL63" s="87" t="s">
        <v>177</v>
      </c>
      <c r="CM63" s="103"/>
      <c r="CN63" s="103"/>
      <c r="CO63" s="105">
        <v>0</v>
      </c>
      <c r="CP63" s="80">
        <f>CO$10*'Mkt share'!$E$73</f>
        <v>0</v>
      </c>
      <c r="CQ63" s="88">
        <f>CO$13*'Mkt share'!$E$73</f>
        <v>0</v>
      </c>
      <c r="CT63" s="87" t="s">
        <v>177</v>
      </c>
      <c r="CU63" s="103"/>
      <c r="CV63" s="103"/>
      <c r="CW63" s="105">
        <v>0</v>
      </c>
      <c r="CX63" s="80">
        <f>CW$10*'Mkt share'!$E$74</f>
        <v>0</v>
      </c>
      <c r="CY63" s="88">
        <f>CW$13*'Mkt share'!$E$74</f>
        <v>0</v>
      </c>
      <c r="DB63" s="87" t="s">
        <v>177</v>
      </c>
      <c r="DC63" s="103"/>
      <c r="DD63" s="103"/>
      <c r="DE63" s="105">
        <v>0</v>
      </c>
      <c r="DF63" s="80">
        <f>DE$10*'Mkt share'!$E$75</f>
        <v>0</v>
      </c>
      <c r="DG63" s="88">
        <f>DE$13*'Mkt share'!$E$75</f>
        <v>0</v>
      </c>
    </row>
    <row r="64" spans="2:111">
      <c r="B64" s="87" t="s">
        <v>173</v>
      </c>
      <c r="C64" s="103"/>
      <c r="D64" s="103"/>
      <c r="E64" s="103"/>
      <c r="F64" s="80">
        <f>F$7*'Mkt share'!$F$62</f>
        <v>2015.1754484640003</v>
      </c>
      <c r="G64" s="88">
        <f>F$8*'Mkt share'!$F$62</f>
        <v>2015.1754484640003</v>
      </c>
      <c r="J64" s="87" t="s">
        <v>173</v>
      </c>
      <c r="K64" s="103"/>
      <c r="L64" s="103"/>
      <c r="M64" s="103"/>
      <c r="N64" s="80">
        <f>N$7*'Mkt share'!$F$63</f>
        <v>0</v>
      </c>
      <c r="O64" s="88">
        <f>N$8*'Mkt share'!$F$63</f>
        <v>0</v>
      </c>
      <c r="R64" s="87" t="s">
        <v>173</v>
      </c>
      <c r="S64" s="103"/>
      <c r="T64" s="103"/>
      <c r="U64" s="103"/>
      <c r="V64" s="80">
        <f>V$7*'Mkt share'!$F$64</f>
        <v>0</v>
      </c>
      <c r="W64" s="88">
        <f>V$8*'Mkt share'!$F$64</f>
        <v>0</v>
      </c>
      <c r="Z64" s="87" t="s">
        <v>173</v>
      </c>
      <c r="AA64" s="103"/>
      <c r="AB64" s="103"/>
      <c r="AC64" s="103"/>
      <c r="AD64" s="80">
        <f>AD$7*'Mkt share'!$F$65</f>
        <v>0</v>
      </c>
      <c r="AE64" s="88">
        <f>AD$8*'Mkt share'!$F$65</f>
        <v>0</v>
      </c>
      <c r="AH64" s="87" t="s">
        <v>173</v>
      </c>
      <c r="AI64" s="103"/>
      <c r="AJ64" s="103"/>
      <c r="AK64" s="103"/>
      <c r="AL64" s="80">
        <f>AL$7*'Mkt share'!$F$66</f>
        <v>3022.7631726960003</v>
      </c>
      <c r="AM64" s="88">
        <f>AL$8*'Mkt share'!$F$66</f>
        <v>3022.7631726960003</v>
      </c>
      <c r="AP64" s="87" t="s">
        <v>173</v>
      </c>
      <c r="AQ64" s="103"/>
      <c r="AR64" s="103"/>
      <c r="AS64" s="103"/>
      <c r="AT64" s="80">
        <f>AT$7*'Mkt share'!$F$67</f>
        <v>0</v>
      </c>
      <c r="AU64" s="88">
        <f>AT$8*'Mkt share'!$F$67</f>
        <v>0</v>
      </c>
      <c r="AX64" s="87" t="s">
        <v>173</v>
      </c>
      <c r="AY64" s="103"/>
      <c r="AZ64" s="103"/>
      <c r="BA64" s="103"/>
      <c r="BB64" s="80">
        <f>BB$7*'Mkt share'!$F$68</f>
        <v>0</v>
      </c>
      <c r="BC64" s="88">
        <f>BB$8*'Mkt share'!$F$68</f>
        <v>0</v>
      </c>
      <c r="BF64" s="87" t="s">
        <v>173</v>
      </c>
      <c r="BG64" s="103"/>
      <c r="BH64" s="103"/>
      <c r="BI64" s="103"/>
      <c r="BJ64" s="80">
        <f>BJ$7*'Mkt share'!$F$69</f>
        <v>0</v>
      </c>
      <c r="BK64" s="88">
        <f>BJ$8*'Mkt share'!$F$69</f>
        <v>0</v>
      </c>
      <c r="BN64" s="87" t="s">
        <v>173</v>
      </c>
      <c r="BO64" s="103"/>
      <c r="BP64" s="103"/>
      <c r="BQ64" s="103"/>
      <c r="BR64" s="80">
        <f>BR$7*'Mkt share'!$F$70</f>
        <v>0</v>
      </c>
      <c r="BS64" s="88">
        <f>BR$8*'Mkt share'!$F$70</f>
        <v>0</v>
      </c>
      <c r="BV64" s="87" t="s">
        <v>173</v>
      </c>
      <c r="BW64" s="103"/>
      <c r="BX64" s="103"/>
      <c r="BY64" s="103"/>
      <c r="BZ64" s="80">
        <f>BZ$7*'Mkt share'!$F$71</f>
        <v>0</v>
      </c>
      <c r="CA64" s="88">
        <f>BZ$8*'Mkt share'!$F$71</f>
        <v>0</v>
      </c>
      <c r="CD64" s="87" t="s">
        <v>173</v>
      </c>
      <c r="CE64" s="103"/>
      <c r="CF64" s="103"/>
      <c r="CG64" s="103"/>
      <c r="CH64" s="80">
        <f>CH$7*'Mkt share'!$F$72</f>
        <v>0</v>
      </c>
      <c r="CI64" s="88">
        <f>CH$8*'Mkt share'!$F$72</f>
        <v>0</v>
      </c>
      <c r="CL64" s="87" t="s">
        <v>173</v>
      </c>
      <c r="CM64" s="103"/>
      <c r="CN64" s="103"/>
      <c r="CO64" s="103"/>
      <c r="CP64" s="80">
        <f>CP$7*'Mkt share'!$F$73</f>
        <v>0</v>
      </c>
      <c r="CQ64" s="88">
        <f>CP$8*'Mkt share'!$F$73</f>
        <v>0</v>
      </c>
      <c r="CT64" s="87" t="s">
        <v>173</v>
      </c>
      <c r="CU64" s="103"/>
      <c r="CV64" s="103"/>
      <c r="CW64" s="103"/>
      <c r="CX64" s="80">
        <f>CX$7*'Mkt share'!$F$74</f>
        <v>0</v>
      </c>
      <c r="CY64" s="88">
        <f>CX$8*'Mkt share'!$F$74</f>
        <v>0</v>
      </c>
      <c r="DB64" s="87" t="s">
        <v>173</v>
      </c>
      <c r="DC64" s="103"/>
      <c r="DD64" s="103"/>
      <c r="DE64" s="103"/>
      <c r="DF64" s="80">
        <f>DF$7*'Mkt share'!$F$75</f>
        <v>0</v>
      </c>
      <c r="DG64" s="88">
        <f>DF$8*'Mkt share'!$F$75</f>
        <v>0</v>
      </c>
    </row>
    <row r="65" spans="2:111">
      <c r="B65" s="87" t="s">
        <v>178</v>
      </c>
      <c r="C65" s="103"/>
      <c r="D65" s="103"/>
      <c r="E65" s="103"/>
      <c r="F65" s="105">
        <v>0</v>
      </c>
      <c r="G65" s="88">
        <f>F$10*'Mkt share'!$F$62</f>
        <v>0</v>
      </c>
      <c r="J65" s="87" t="s">
        <v>178</v>
      </c>
      <c r="K65" s="103"/>
      <c r="L65" s="103"/>
      <c r="M65" s="103"/>
      <c r="N65" s="105">
        <v>0</v>
      </c>
      <c r="O65" s="88">
        <f>N$10*'Mkt share'!$F$63</f>
        <v>0</v>
      </c>
      <c r="R65" s="87" t="s">
        <v>178</v>
      </c>
      <c r="S65" s="103"/>
      <c r="T65" s="103"/>
      <c r="U65" s="103"/>
      <c r="V65" s="105">
        <v>0</v>
      </c>
      <c r="W65" s="88">
        <f>V$10*'Mkt share'!$F$64</f>
        <v>0</v>
      </c>
      <c r="Z65" s="87" t="s">
        <v>178</v>
      </c>
      <c r="AA65" s="103"/>
      <c r="AB65" s="103"/>
      <c r="AC65" s="103"/>
      <c r="AD65" s="105">
        <v>0</v>
      </c>
      <c r="AE65" s="88">
        <f>AD$10*'Mkt share'!$F$65</f>
        <v>0</v>
      </c>
      <c r="AH65" s="87" t="s">
        <v>178</v>
      </c>
      <c r="AI65" s="103"/>
      <c r="AJ65" s="103"/>
      <c r="AK65" s="103"/>
      <c r="AL65" s="105">
        <v>0</v>
      </c>
      <c r="AM65" s="88">
        <f>AL$10*'Mkt share'!$F$66</f>
        <v>0</v>
      </c>
      <c r="AP65" s="87" t="s">
        <v>178</v>
      </c>
      <c r="AQ65" s="103"/>
      <c r="AR65" s="103"/>
      <c r="AS65" s="103"/>
      <c r="AT65" s="105">
        <v>0</v>
      </c>
      <c r="AU65" s="88">
        <f>AT$10*'Mkt share'!$F$67</f>
        <v>0</v>
      </c>
      <c r="AX65" s="87" t="s">
        <v>178</v>
      </c>
      <c r="AY65" s="103"/>
      <c r="AZ65" s="103"/>
      <c r="BA65" s="103"/>
      <c r="BB65" s="105">
        <v>0</v>
      </c>
      <c r="BC65" s="88">
        <f>BB$10*'Mkt share'!$F$68</f>
        <v>0</v>
      </c>
      <c r="BF65" s="87" t="s">
        <v>178</v>
      </c>
      <c r="BG65" s="103"/>
      <c r="BH65" s="103"/>
      <c r="BI65" s="103"/>
      <c r="BJ65" s="105">
        <v>0</v>
      </c>
      <c r="BK65" s="88">
        <f>BJ$10*'Mkt share'!$F$69</f>
        <v>0</v>
      </c>
      <c r="BN65" s="87" t="s">
        <v>178</v>
      </c>
      <c r="BO65" s="103"/>
      <c r="BP65" s="103"/>
      <c r="BQ65" s="103"/>
      <c r="BR65" s="105">
        <v>0</v>
      </c>
      <c r="BS65" s="88">
        <f>BR$10*'Mkt share'!$F$70</f>
        <v>0</v>
      </c>
      <c r="BV65" s="87" t="s">
        <v>178</v>
      </c>
      <c r="BW65" s="103"/>
      <c r="BX65" s="103"/>
      <c r="BY65" s="103"/>
      <c r="BZ65" s="105">
        <v>0</v>
      </c>
      <c r="CA65" s="88">
        <f>BZ$10*'Mkt share'!$F$71</f>
        <v>0</v>
      </c>
      <c r="CD65" s="87" t="s">
        <v>178</v>
      </c>
      <c r="CE65" s="103"/>
      <c r="CF65" s="103"/>
      <c r="CG65" s="103"/>
      <c r="CH65" s="105">
        <v>0</v>
      </c>
      <c r="CI65" s="88">
        <f>CH$10*'Mkt share'!$F$72</f>
        <v>0</v>
      </c>
      <c r="CL65" s="87" t="s">
        <v>178</v>
      </c>
      <c r="CM65" s="103"/>
      <c r="CN65" s="103"/>
      <c r="CO65" s="103"/>
      <c r="CP65" s="105">
        <v>0</v>
      </c>
      <c r="CQ65" s="88">
        <f>CP$10*'Mkt share'!$F$73</f>
        <v>0</v>
      </c>
      <c r="CT65" s="87" t="s">
        <v>178</v>
      </c>
      <c r="CU65" s="103"/>
      <c r="CV65" s="103"/>
      <c r="CW65" s="103"/>
      <c r="CX65" s="105">
        <v>0</v>
      </c>
      <c r="CY65" s="88">
        <f>CX$10*'Mkt share'!$F$74</f>
        <v>0</v>
      </c>
      <c r="DB65" s="87" t="s">
        <v>178</v>
      </c>
      <c r="DC65" s="103"/>
      <c r="DD65" s="103"/>
      <c r="DE65" s="103"/>
      <c r="DF65" s="105">
        <v>0</v>
      </c>
      <c r="DG65" s="88">
        <f>DF$10*'Mkt share'!$F$75</f>
        <v>0</v>
      </c>
    </row>
    <row r="66" spans="2:111">
      <c r="B66" s="87" t="s">
        <v>174</v>
      </c>
      <c r="C66" s="103"/>
      <c r="D66" s="103"/>
      <c r="E66" s="103"/>
      <c r="F66" s="103"/>
      <c r="G66" s="88">
        <f>G$7*'Mkt share'!$G$62</f>
        <v>2532.2544165299996</v>
      </c>
      <c r="J66" s="87" t="s">
        <v>174</v>
      </c>
      <c r="K66" s="103"/>
      <c r="L66" s="103"/>
      <c r="M66" s="103"/>
      <c r="N66" s="103"/>
      <c r="O66" s="88">
        <f>O$7*'Mkt share'!$G$63</f>
        <v>0</v>
      </c>
      <c r="R66" s="87" t="s">
        <v>174</v>
      </c>
      <c r="S66" s="103"/>
      <c r="T66" s="103"/>
      <c r="U66" s="103"/>
      <c r="V66" s="103"/>
      <c r="W66" s="88">
        <f>W$7*'Mkt share'!$G$64</f>
        <v>0</v>
      </c>
      <c r="Z66" s="87" t="s">
        <v>174</v>
      </c>
      <c r="AA66" s="103"/>
      <c r="AB66" s="103"/>
      <c r="AC66" s="103"/>
      <c r="AD66" s="103"/>
      <c r="AE66" s="88">
        <f>AE$7*'Mkt share'!$G$65</f>
        <v>0</v>
      </c>
      <c r="AH66" s="87" t="s">
        <v>174</v>
      </c>
      <c r="AI66" s="103"/>
      <c r="AJ66" s="103"/>
      <c r="AK66" s="103"/>
      <c r="AL66" s="103"/>
      <c r="AM66" s="88">
        <f>AM$7*'Mkt share'!$G$66</f>
        <v>2532.2544165299996</v>
      </c>
      <c r="AP66" s="87" t="s">
        <v>174</v>
      </c>
      <c r="AQ66" s="103"/>
      <c r="AR66" s="103"/>
      <c r="AS66" s="103"/>
      <c r="AT66" s="103"/>
      <c r="AU66" s="88">
        <f>AU$7*'Mkt share'!$G$67</f>
        <v>0</v>
      </c>
      <c r="AX66" s="87" t="s">
        <v>174</v>
      </c>
      <c r="AY66" s="103"/>
      <c r="AZ66" s="103"/>
      <c r="BA66" s="103"/>
      <c r="BB66" s="103"/>
      <c r="BC66" s="88">
        <f>BC$7*'Mkt share'!$G$68</f>
        <v>0</v>
      </c>
      <c r="BF66" s="87" t="s">
        <v>174</v>
      </c>
      <c r="BG66" s="103"/>
      <c r="BH66" s="103"/>
      <c r="BI66" s="103"/>
      <c r="BJ66" s="103"/>
      <c r="BK66" s="88">
        <f>BK$7*'Mkt share'!$G$69</f>
        <v>0</v>
      </c>
      <c r="BN66" s="87" t="s">
        <v>174</v>
      </c>
      <c r="BO66" s="103"/>
      <c r="BP66" s="103"/>
      <c r="BQ66" s="103"/>
      <c r="BR66" s="103"/>
      <c r="BS66" s="88">
        <f>BS$7*'Mkt share'!$G$70</f>
        <v>0</v>
      </c>
      <c r="BV66" s="87" t="s">
        <v>174</v>
      </c>
      <c r="BW66" s="103"/>
      <c r="BX66" s="103"/>
      <c r="BY66" s="103"/>
      <c r="BZ66" s="103"/>
      <c r="CA66" s="88">
        <f>CA$7*'Mkt share'!$G$71</f>
        <v>0</v>
      </c>
      <c r="CD66" s="87" t="s">
        <v>174</v>
      </c>
      <c r="CE66" s="103"/>
      <c r="CF66" s="103"/>
      <c r="CG66" s="103"/>
      <c r="CH66" s="103"/>
      <c r="CI66" s="88">
        <f>CI$7*'Mkt share'!$G$72</f>
        <v>0</v>
      </c>
      <c r="CL66" s="87" t="s">
        <v>174</v>
      </c>
      <c r="CM66" s="103"/>
      <c r="CN66" s="103"/>
      <c r="CO66" s="103"/>
      <c r="CP66" s="103"/>
      <c r="CQ66" s="88">
        <f>CQ$7*'Mkt share'!$G$73</f>
        <v>0</v>
      </c>
      <c r="CT66" s="87" t="s">
        <v>174</v>
      </c>
      <c r="CU66" s="103"/>
      <c r="CV66" s="103"/>
      <c r="CW66" s="103"/>
      <c r="CX66" s="103"/>
      <c r="CY66" s="88">
        <f>CY$7*'Mkt share'!$G$74</f>
        <v>0</v>
      </c>
      <c r="DB66" s="87" t="s">
        <v>174</v>
      </c>
      <c r="DC66" s="103"/>
      <c r="DD66" s="103"/>
      <c r="DE66" s="103"/>
      <c r="DF66" s="103"/>
      <c r="DG66" s="88">
        <f>DG$7*'Mkt share'!$G$75</f>
        <v>0</v>
      </c>
    </row>
    <row r="67" spans="2:111" ht="15" thickBot="1">
      <c r="B67" s="87" t="s">
        <v>179</v>
      </c>
      <c r="C67" s="103"/>
      <c r="D67" s="103"/>
      <c r="E67" s="103"/>
      <c r="F67" s="103"/>
      <c r="G67" s="106">
        <v>0</v>
      </c>
      <c r="J67" s="87" t="s">
        <v>179</v>
      </c>
      <c r="K67" s="103"/>
      <c r="L67" s="103"/>
      <c r="M67" s="103"/>
      <c r="N67" s="103"/>
      <c r="O67" s="106">
        <v>0</v>
      </c>
      <c r="R67" s="87" t="s">
        <v>179</v>
      </c>
      <c r="S67" s="103"/>
      <c r="T67" s="103"/>
      <c r="U67" s="103"/>
      <c r="V67" s="103"/>
      <c r="W67" s="106">
        <v>0</v>
      </c>
      <c r="Z67" s="87" t="s">
        <v>179</v>
      </c>
      <c r="AA67" s="103"/>
      <c r="AB67" s="103"/>
      <c r="AC67" s="103"/>
      <c r="AD67" s="103"/>
      <c r="AE67" s="106">
        <v>0</v>
      </c>
      <c r="AH67" s="87" t="s">
        <v>179</v>
      </c>
      <c r="AI67" s="103"/>
      <c r="AJ67" s="103"/>
      <c r="AK67" s="103"/>
      <c r="AL67" s="103"/>
      <c r="AM67" s="106">
        <v>0</v>
      </c>
      <c r="AP67" s="87" t="s">
        <v>179</v>
      </c>
      <c r="AQ67" s="103"/>
      <c r="AR67" s="103"/>
      <c r="AS67" s="103"/>
      <c r="AT67" s="103"/>
      <c r="AU67" s="106">
        <v>0</v>
      </c>
      <c r="AX67" s="87" t="s">
        <v>179</v>
      </c>
      <c r="AY67" s="103"/>
      <c r="AZ67" s="103"/>
      <c r="BA67" s="103"/>
      <c r="BB67" s="103"/>
      <c r="BC67" s="106">
        <v>0</v>
      </c>
      <c r="BF67" s="87" t="s">
        <v>179</v>
      </c>
      <c r="BG67" s="103"/>
      <c r="BH67" s="103"/>
      <c r="BI67" s="103"/>
      <c r="BJ67" s="103"/>
      <c r="BK67" s="106">
        <v>0</v>
      </c>
      <c r="BN67" s="87" t="s">
        <v>179</v>
      </c>
      <c r="BO67" s="103"/>
      <c r="BP67" s="103"/>
      <c r="BQ67" s="103"/>
      <c r="BR67" s="103"/>
      <c r="BS67" s="106">
        <v>0</v>
      </c>
      <c r="BV67" s="87" t="s">
        <v>179</v>
      </c>
      <c r="BW67" s="103"/>
      <c r="BX67" s="103"/>
      <c r="BY67" s="103"/>
      <c r="BZ67" s="103"/>
      <c r="CA67" s="106">
        <v>0</v>
      </c>
      <c r="CD67" s="87" t="s">
        <v>179</v>
      </c>
      <c r="CE67" s="103"/>
      <c r="CF67" s="103"/>
      <c r="CG67" s="103"/>
      <c r="CH67" s="103"/>
      <c r="CI67" s="106">
        <v>0</v>
      </c>
      <c r="CL67" s="87" t="s">
        <v>179</v>
      </c>
      <c r="CM67" s="103"/>
      <c r="CN67" s="103"/>
      <c r="CO67" s="103"/>
      <c r="CP67" s="103"/>
      <c r="CQ67" s="106">
        <v>0</v>
      </c>
      <c r="CT67" s="87" t="s">
        <v>179</v>
      </c>
      <c r="CU67" s="103"/>
      <c r="CV67" s="103"/>
      <c r="CW67" s="103"/>
      <c r="CX67" s="103"/>
      <c r="CY67" s="106">
        <v>0</v>
      </c>
      <c r="DB67" s="87" t="s">
        <v>179</v>
      </c>
      <c r="DC67" s="103"/>
      <c r="DD67" s="103"/>
      <c r="DE67" s="103"/>
      <c r="DF67" s="103"/>
      <c r="DG67" s="106">
        <v>0</v>
      </c>
    </row>
    <row r="68" spans="2:111" ht="15" thickBot="1">
      <c r="B68" s="89" t="s">
        <v>114</v>
      </c>
      <c r="C68" s="90">
        <f>SUM(C58:C67)</f>
        <v>495.014466588</v>
      </c>
      <c r="D68" s="90">
        <f>SUM(D58:D66)</f>
        <v>1491.1587815519999</v>
      </c>
      <c r="E68" s="90">
        <f>SUM(E58:E66)</f>
        <v>2994.1581492119999</v>
      </c>
      <c r="F68" s="90">
        <f>SUM(F58:F66)</f>
        <v>5009.333597676</v>
      </c>
      <c r="G68" s="91">
        <f>SUM(G58:G67)</f>
        <v>7541.5880142059996</v>
      </c>
      <c r="J68" s="89" t="s">
        <v>114</v>
      </c>
      <c r="K68" s="90">
        <f>SUM(K58:K67)</f>
        <v>0</v>
      </c>
      <c r="L68" s="90">
        <f>SUM(L58:L66)</f>
        <v>0</v>
      </c>
      <c r="M68" s="90">
        <f>SUM(M58:M66)</f>
        <v>0</v>
      </c>
      <c r="N68" s="90">
        <f>SUM(N58:N66)</f>
        <v>0</v>
      </c>
      <c r="O68" s="91">
        <f>SUM(O58:O67)</f>
        <v>0</v>
      </c>
      <c r="R68" s="89" t="s">
        <v>114</v>
      </c>
      <c r="S68" s="90">
        <f>SUM(S58:S67)</f>
        <v>0</v>
      </c>
      <c r="T68" s="90">
        <f>SUM(T58:T66)</f>
        <v>0</v>
      </c>
      <c r="U68" s="90">
        <f>SUM(U58:U66)</f>
        <v>0</v>
      </c>
      <c r="V68" s="90">
        <f>SUM(V58:V66)</f>
        <v>0</v>
      </c>
      <c r="W68" s="91">
        <f>SUM(W58:W67)</f>
        <v>0</v>
      </c>
      <c r="Z68" s="89" t="s">
        <v>114</v>
      </c>
      <c r="AA68" s="90">
        <f>SUM(AA58:AA67)</f>
        <v>0</v>
      </c>
      <c r="AB68" s="90">
        <f>SUM(AB58:AB66)</f>
        <v>0</v>
      </c>
      <c r="AC68" s="90">
        <f>SUM(AC58:AC66)</f>
        <v>0</v>
      </c>
      <c r="AD68" s="90">
        <f>SUM(AD58:AD66)</f>
        <v>0</v>
      </c>
      <c r="AE68" s="91">
        <f>SUM(AE58:AE67)</f>
        <v>0</v>
      </c>
      <c r="AH68" s="89" t="s">
        <v>114</v>
      </c>
      <c r="AI68" s="90">
        <f>SUM(AI58:AI67)</f>
        <v>4455.1301992919998</v>
      </c>
      <c r="AJ68" s="90">
        <f>SUM(AJ58:AJ66)</f>
        <v>8439.7074591479995</v>
      </c>
      <c r="AK68" s="90">
        <f>SUM(AK58:AK66)</f>
        <v>11946.705983688</v>
      </c>
      <c r="AL68" s="90">
        <f>SUM(AL58:AL66)</f>
        <v>14969.469156384001</v>
      </c>
      <c r="AM68" s="91">
        <f>SUM(AM58:AM67)</f>
        <v>17501.723572914001</v>
      </c>
      <c r="AP68" s="89" t="s">
        <v>114</v>
      </c>
      <c r="AQ68" s="90">
        <f>SUM(AQ58:AQ67)</f>
        <v>0</v>
      </c>
      <c r="AR68" s="90">
        <f>SUM(AR58:AR66)</f>
        <v>0</v>
      </c>
      <c r="AS68" s="90">
        <f>SUM(AS58:AS66)</f>
        <v>0</v>
      </c>
      <c r="AT68" s="90">
        <f>SUM(AT58:AT66)</f>
        <v>0</v>
      </c>
      <c r="AU68" s="91">
        <f>SUM(AU58:AU67)</f>
        <v>0</v>
      </c>
      <c r="AX68" s="89" t="s">
        <v>114</v>
      </c>
      <c r="AY68" s="90">
        <f>SUM(AY58:AY67)</f>
        <v>0</v>
      </c>
      <c r="AZ68" s="90">
        <f>SUM(AZ58:AZ66)</f>
        <v>0</v>
      </c>
      <c r="BA68" s="90">
        <f>SUM(BA58:BA66)</f>
        <v>0</v>
      </c>
      <c r="BB68" s="90">
        <f>SUM(BB58:BB66)</f>
        <v>0</v>
      </c>
      <c r="BC68" s="91">
        <f>SUM(BC58:BC67)</f>
        <v>0</v>
      </c>
      <c r="BF68" s="89" t="s">
        <v>114</v>
      </c>
      <c r="BG68" s="90">
        <f>SUM(BG58:BG67)</f>
        <v>0</v>
      </c>
      <c r="BH68" s="90">
        <f>SUM(BH58:BH66)</f>
        <v>0</v>
      </c>
      <c r="BI68" s="90">
        <f>SUM(BI58:BI66)</f>
        <v>0</v>
      </c>
      <c r="BJ68" s="90">
        <f>SUM(BJ58:BJ66)</f>
        <v>0</v>
      </c>
      <c r="BK68" s="91">
        <f>SUM(BK58:BK67)</f>
        <v>0</v>
      </c>
      <c r="BN68" s="89" t="s">
        <v>114</v>
      </c>
      <c r="BO68" s="90">
        <f>SUM(BO58:BO67)</f>
        <v>0</v>
      </c>
      <c r="BP68" s="90">
        <f>SUM(BP58:BP66)</f>
        <v>0</v>
      </c>
      <c r="BQ68" s="90">
        <f>SUM(BQ58:BQ66)</f>
        <v>0</v>
      </c>
      <c r="BR68" s="90">
        <f>SUM(BR58:BR66)</f>
        <v>0</v>
      </c>
      <c r="BS68" s="91">
        <f>SUM(BS58:BS67)</f>
        <v>0</v>
      </c>
      <c r="BV68" s="89" t="s">
        <v>114</v>
      </c>
      <c r="BW68" s="90">
        <f>SUM(BW58:BW67)</f>
        <v>0</v>
      </c>
      <c r="BX68" s="90">
        <f>SUM(BX58:BX66)</f>
        <v>0</v>
      </c>
      <c r="BY68" s="90">
        <f>SUM(BY58:BY66)</f>
        <v>0</v>
      </c>
      <c r="BZ68" s="90">
        <f>SUM(BZ58:BZ66)</f>
        <v>0</v>
      </c>
      <c r="CA68" s="91">
        <f>SUM(CA58:CA67)</f>
        <v>0</v>
      </c>
      <c r="CD68" s="89" t="s">
        <v>114</v>
      </c>
      <c r="CE68" s="90">
        <f>SUM(CE58:CE67)</f>
        <v>0</v>
      </c>
      <c r="CF68" s="90">
        <f>SUM(CF58:CF66)</f>
        <v>0</v>
      </c>
      <c r="CG68" s="90">
        <f>SUM(CG58:CG66)</f>
        <v>0</v>
      </c>
      <c r="CH68" s="90">
        <f>SUM(CH58:CH66)</f>
        <v>0</v>
      </c>
      <c r="CI68" s="91">
        <f>SUM(CI58:CI67)</f>
        <v>0</v>
      </c>
      <c r="CL68" s="89" t="s">
        <v>114</v>
      </c>
      <c r="CM68" s="90">
        <f>SUM(CM58:CM67)</f>
        <v>0</v>
      </c>
      <c r="CN68" s="90">
        <f>SUM(CN58:CN66)</f>
        <v>0</v>
      </c>
      <c r="CO68" s="90">
        <f>SUM(CO58:CO66)</f>
        <v>0</v>
      </c>
      <c r="CP68" s="90">
        <f>SUM(CP58:CP66)</f>
        <v>0</v>
      </c>
      <c r="CQ68" s="91">
        <f>SUM(CQ58:CQ67)</f>
        <v>0</v>
      </c>
      <c r="CT68" s="89" t="s">
        <v>114</v>
      </c>
      <c r="CU68" s="90">
        <f>SUM(CU58:CU67)</f>
        <v>0</v>
      </c>
      <c r="CV68" s="90">
        <f>SUM(CV58:CV66)</f>
        <v>0</v>
      </c>
      <c r="CW68" s="90">
        <f>SUM(CW58:CW66)</f>
        <v>0</v>
      </c>
      <c r="CX68" s="90">
        <f>SUM(CX58:CX66)</f>
        <v>0</v>
      </c>
      <c r="CY68" s="91">
        <f>SUM(CY58:CY67)</f>
        <v>0</v>
      </c>
      <c r="DB68" s="89" t="s">
        <v>114</v>
      </c>
      <c r="DC68" s="90">
        <f>SUM(DC58:DC67)</f>
        <v>0</v>
      </c>
      <c r="DD68" s="90">
        <f>SUM(DD58:DD66)</f>
        <v>0</v>
      </c>
      <c r="DE68" s="90">
        <f>SUM(DE58:DE66)</f>
        <v>0</v>
      </c>
      <c r="DF68" s="90">
        <f>SUM(DF58:DF66)</f>
        <v>0</v>
      </c>
      <c r="DG68" s="91">
        <f>SUM(DG58:DG67)</f>
        <v>0</v>
      </c>
    </row>
    <row r="69" spans="2:111">
      <c r="B69" s="80" t="s">
        <v>206</v>
      </c>
      <c r="C69" s="92">
        <f>C58+C60+C62+C64+C66</f>
        <v>495.014466588</v>
      </c>
      <c r="D69" s="92">
        <f t="shared" ref="D69:G69" si="176">D58+D60+D62+D64+D66</f>
        <v>1491.1587815519999</v>
      </c>
      <c r="E69" s="92">
        <f t="shared" si="176"/>
        <v>2994.1581492119999</v>
      </c>
      <c r="F69" s="92">
        <f t="shared" si="176"/>
        <v>5009.333597676</v>
      </c>
      <c r="G69" s="92">
        <f t="shared" si="176"/>
        <v>7541.5880142059996</v>
      </c>
      <c r="J69" s="80" t="s">
        <v>206</v>
      </c>
      <c r="K69" s="92">
        <f>K58+K60+K62+K64+K66</f>
        <v>0</v>
      </c>
      <c r="L69" s="92">
        <f t="shared" ref="L69:O69" si="177">L58+L60+L62+L64+L66</f>
        <v>0</v>
      </c>
      <c r="M69" s="92">
        <f t="shared" si="177"/>
        <v>0</v>
      </c>
      <c r="N69" s="92">
        <f t="shared" si="177"/>
        <v>0</v>
      </c>
      <c r="O69" s="92">
        <f t="shared" si="177"/>
        <v>0</v>
      </c>
      <c r="R69" s="80" t="s">
        <v>206</v>
      </c>
      <c r="S69" s="92">
        <f>S58+S60+S62+S64+S66</f>
        <v>0</v>
      </c>
      <c r="T69" s="92">
        <f t="shared" ref="T69:W69" si="178">T58+T60+T62+T64+T66</f>
        <v>0</v>
      </c>
      <c r="U69" s="92">
        <f t="shared" si="178"/>
        <v>0</v>
      </c>
      <c r="V69" s="92">
        <f t="shared" si="178"/>
        <v>0</v>
      </c>
      <c r="W69" s="92">
        <f t="shared" si="178"/>
        <v>0</v>
      </c>
      <c r="Z69" s="80" t="s">
        <v>206</v>
      </c>
      <c r="AA69" s="92">
        <f>AA58+AA60+AA62+AA64+AA66</f>
        <v>0</v>
      </c>
      <c r="AB69" s="92">
        <f t="shared" ref="AB69:AE69" si="179">AB58+AB60+AB62+AB64+AB66</f>
        <v>0</v>
      </c>
      <c r="AC69" s="92">
        <f t="shared" si="179"/>
        <v>0</v>
      </c>
      <c r="AD69" s="92">
        <f t="shared" si="179"/>
        <v>0</v>
      </c>
      <c r="AE69" s="92">
        <f t="shared" si="179"/>
        <v>0</v>
      </c>
      <c r="AH69" s="80" t="s">
        <v>206</v>
      </c>
      <c r="AI69" s="92">
        <f>AI58+AI60+AI62+AI64+AI66</f>
        <v>4455.1301992919998</v>
      </c>
      <c r="AJ69" s="92">
        <f t="shared" ref="AJ69:AM69" si="180">AJ58+AJ60+AJ62+AJ64+AJ66</f>
        <v>8439.7074591479995</v>
      </c>
      <c r="AK69" s="92">
        <f t="shared" si="180"/>
        <v>11946.705983688</v>
      </c>
      <c r="AL69" s="92">
        <f t="shared" si="180"/>
        <v>14969.469156384001</v>
      </c>
      <c r="AM69" s="92">
        <f t="shared" si="180"/>
        <v>17501.723572914001</v>
      </c>
      <c r="AP69" s="80" t="s">
        <v>206</v>
      </c>
      <c r="AQ69" s="92">
        <f>AQ58+AQ60+AQ62+AQ64+AQ66</f>
        <v>0</v>
      </c>
      <c r="AR69" s="92">
        <f t="shared" ref="AR69:AU69" si="181">AR58+AR60+AR62+AR64+AR66</f>
        <v>0</v>
      </c>
      <c r="AS69" s="92">
        <f t="shared" si="181"/>
        <v>0</v>
      </c>
      <c r="AT69" s="92">
        <f t="shared" si="181"/>
        <v>0</v>
      </c>
      <c r="AU69" s="92">
        <f t="shared" si="181"/>
        <v>0</v>
      </c>
      <c r="AX69" s="80" t="s">
        <v>206</v>
      </c>
      <c r="AY69" s="92">
        <f>AY58+AY60+AY62+AY64+AY66</f>
        <v>0</v>
      </c>
      <c r="AZ69" s="92">
        <f t="shared" ref="AZ69:BC69" si="182">AZ58+AZ60+AZ62+AZ64+AZ66</f>
        <v>0</v>
      </c>
      <c r="BA69" s="92">
        <f t="shared" si="182"/>
        <v>0</v>
      </c>
      <c r="BB69" s="92">
        <f t="shared" si="182"/>
        <v>0</v>
      </c>
      <c r="BC69" s="92">
        <f t="shared" si="182"/>
        <v>0</v>
      </c>
      <c r="BF69" s="80" t="s">
        <v>206</v>
      </c>
      <c r="BG69" s="92">
        <f>BG58+BG60+BG62+BG64+BG66</f>
        <v>0</v>
      </c>
      <c r="BH69" s="92">
        <f t="shared" ref="BH69:BK69" si="183">BH58+BH60+BH62+BH64+BH66</f>
        <v>0</v>
      </c>
      <c r="BI69" s="92">
        <f t="shared" si="183"/>
        <v>0</v>
      </c>
      <c r="BJ69" s="92">
        <f t="shared" si="183"/>
        <v>0</v>
      </c>
      <c r="BK69" s="92">
        <f t="shared" si="183"/>
        <v>0</v>
      </c>
      <c r="BN69" s="80" t="s">
        <v>206</v>
      </c>
      <c r="BO69" s="92">
        <f>BO58+BO60+BO62+BO64+BO66</f>
        <v>0</v>
      </c>
      <c r="BP69" s="92">
        <f t="shared" ref="BP69:BS69" si="184">BP58+BP60+BP62+BP64+BP66</f>
        <v>0</v>
      </c>
      <c r="BQ69" s="92">
        <f t="shared" si="184"/>
        <v>0</v>
      </c>
      <c r="BR69" s="92">
        <f t="shared" si="184"/>
        <v>0</v>
      </c>
      <c r="BS69" s="92">
        <f t="shared" si="184"/>
        <v>0</v>
      </c>
      <c r="BV69" s="80" t="s">
        <v>206</v>
      </c>
      <c r="BW69" s="92">
        <f>BW58+BW60+BW62+BW64+BW66</f>
        <v>0</v>
      </c>
      <c r="BX69" s="92">
        <f t="shared" ref="BX69:CA69" si="185">BX58+BX60+BX62+BX64+BX66</f>
        <v>0</v>
      </c>
      <c r="BY69" s="92">
        <f t="shared" si="185"/>
        <v>0</v>
      </c>
      <c r="BZ69" s="92">
        <f t="shared" si="185"/>
        <v>0</v>
      </c>
      <c r="CA69" s="92">
        <f t="shared" si="185"/>
        <v>0</v>
      </c>
      <c r="CD69" s="80" t="s">
        <v>206</v>
      </c>
      <c r="CE69" s="92">
        <f>CE58+CE60+CE62+CE64+CE66</f>
        <v>0</v>
      </c>
      <c r="CF69" s="92">
        <f t="shared" ref="CF69:CI69" si="186">CF58+CF60+CF62+CF64+CF66</f>
        <v>0</v>
      </c>
      <c r="CG69" s="92">
        <f t="shared" si="186"/>
        <v>0</v>
      </c>
      <c r="CH69" s="92">
        <f t="shared" si="186"/>
        <v>0</v>
      </c>
      <c r="CI69" s="92">
        <f t="shared" si="186"/>
        <v>0</v>
      </c>
      <c r="CL69" s="80" t="s">
        <v>206</v>
      </c>
      <c r="CM69" s="92">
        <f>CM58+CM60+CM62+CM64+CM66</f>
        <v>0</v>
      </c>
      <c r="CN69" s="92">
        <f t="shared" ref="CN69:CQ69" si="187">CN58+CN60+CN62+CN64+CN66</f>
        <v>0</v>
      </c>
      <c r="CO69" s="92">
        <f t="shared" si="187"/>
        <v>0</v>
      </c>
      <c r="CP69" s="92">
        <f t="shared" si="187"/>
        <v>0</v>
      </c>
      <c r="CQ69" s="92">
        <f t="shared" si="187"/>
        <v>0</v>
      </c>
      <c r="CT69" s="80" t="s">
        <v>206</v>
      </c>
      <c r="CU69" s="92">
        <f>CU58+CU60+CU62+CU64+CU66</f>
        <v>0</v>
      </c>
      <c r="CV69" s="92">
        <f t="shared" ref="CV69:CY69" si="188">CV58+CV60+CV62+CV64+CV66</f>
        <v>0</v>
      </c>
      <c r="CW69" s="92">
        <f t="shared" si="188"/>
        <v>0</v>
      </c>
      <c r="CX69" s="92">
        <f t="shared" si="188"/>
        <v>0</v>
      </c>
      <c r="CY69" s="92">
        <f t="shared" si="188"/>
        <v>0</v>
      </c>
      <c r="DB69" s="80" t="s">
        <v>206</v>
      </c>
      <c r="DC69" s="92">
        <f>DC58+DC60+DC62+DC64+DC66</f>
        <v>0</v>
      </c>
      <c r="DD69" s="92">
        <f t="shared" ref="DD69:DG69" si="189">DD58+DD60+DD62+DD64+DD66</f>
        <v>0</v>
      </c>
      <c r="DE69" s="92">
        <f t="shared" si="189"/>
        <v>0</v>
      </c>
      <c r="DF69" s="92">
        <f t="shared" si="189"/>
        <v>0</v>
      </c>
      <c r="DG69" s="92">
        <f t="shared" si="189"/>
        <v>0</v>
      </c>
    </row>
    <row r="70" spans="2:111" ht="15" thickBot="1">
      <c r="B70" s="80" t="s">
        <v>208</v>
      </c>
      <c r="C70" s="92">
        <f>C59+C61+C63+C65+C67</f>
        <v>0</v>
      </c>
      <c r="D70" s="92">
        <f t="shared" ref="D70:G70" si="190">D59+D61+D63+D65+D67</f>
        <v>0</v>
      </c>
      <c r="E70" s="92">
        <f t="shared" si="190"/>
        <v>0</v>
      </c>
      <c r="F70" s="92">
        <f t="shared" si="190"/>
        <v>0</v>
      </c>
      <c r="G70" s="92">
        <f t="shared" si="190"/>
        <v>0</v>
      </c>
      <c r="J70" s="80" t="s">
        <v>208</v>
      </c>
      <c r="K70" s="92">
        <f>K59+K61+K63+K65+K67</f>
        <v>0</v>
      </c>
      <c r="L70" s="92">
        <f t="shared" ref="L70:O70" si="191">L59+L61+L63+L65+L67</f>
        <v>0</v>
      </c>
      <c r="M70" s="92">
        <f t="shared" si="191"/>
        <v>0</v>
      </c>
      <c r="N70" s="92">
        <f t="shared" si="191"/>
        <v>0</v>
      </c>
      <c r="O70" s="92">
        <f t="shared" si="191"/>
        <v>0</v>
      </c>
      <c r="R70" s="80" t="s">
        <v>208</v>
      </c>
      <c r="S70" s="92">
        <f>S59+S61+S63+S65+S67</f>
        <v>0</v>
      </c>
      <c r="T70" s="92">
        <f t="shared" ref="T70:W70" si="192">T59+T61+T63+T65+T67</f>
        <v>0</v>
      </c>
      <c r="U70" s="92">
        <f t="shared" si="192"/>
        <v>0</v>
      </c>
      <c r="V70" s="92">
        <f t="shared" si="192"/>
        <v>0</v>
      </c>
      <c r="W70" s="92">
        <f t="shared" si="192"/>
        <v>0</v>
      </c>
      <c r="Z70" s="80" t="s">
        <v>208</v>
      </c>
      <c r="AA70" s="92">
        <f>AA59+AA61+AA63+AA65+AA67</f>
        <v>0</v>
      </c>
      <c r="AB70" s="92">
        <f t="shared" ref="AB70:AE70" si="193">AB59+AB61+AB63+AB65+AB67</f>
        <v>0</v>
      </c>
      <c r="AC70" s="92">
        <f t="shared" si="193"/>
        <v>0</v>
      </c>
      <c r="AD70" s="92">
        <f t="shared" si="193"/>
        <v>0</v>
      </c>
      <c r="AE70" s="92">
        <f t="shared" si="193"/>
        <v>0</v>
      </c>
      <c r="AH70" s="80" t="s">
        <v>208</v>
      </c>
      <c r="AI70" s="92">
        <f>AI59+AI61+AI63+AI65+AI67</f>
        <v>0</v>
      </c>
      <c r="AJ70" s="92">
        <f t="shared" ref="AJ70:AM70" si="194">AJ59+AJ61+AJ63+AJ65+AJ67</f>
        <v>0</v>
      </c>
      <c r="AK70" s="92">
        <f t="shared" si="194"/>
        <v>0</v>
      </c>
      <c r="AL70" s="92">
        <f t="shared" si="194"/>
        <v>0</v>
      </c>
      <c r="AM70" s="92">
        <f t="shared" si="194"/>
        <v>0</v>
      </c>
      <c r="AP70" s="80" t="s">
        <v>208</v>
      </c>
      <c r="AQ70" s="92">
        <f>AQ59+AQ61+AQ63+AQ65+AQ67</f>
        <v>0</v>
      </c>
      <c r="AR70" s="92">
        <f t="shared" ref="AR70:AU70" si="195">AR59+AR61+AR63+AR65+AR67</f>
        <v>0</v>
      </c>
      <c r="AS70" s="92">
        <f t="shared" si="195"/>
        <v>0</v>
      </c>
      <c r="AT70" s="92">
        <f t="shared" si="195"/>
        <v>0</v>
      </c>
      <c r="AU70" s="92">
        <f t="shared" si="195"/>
        <v>0</v>
      </c>
      <c r="AX70" s="80" t="s">
        <v>208</v>
      </c>
      <c r="AY70" s="92">
        <f>AY59+AY61+AY63+AY65+AY67</f>
        <v>0</v>
      </c>
      <c r="AZ70" s="92">
        <f t="shared" ref="AZ70:BC70" si="196">AZ59+AZ61+AZ63+AZ65+AZ67</f>
        <v>0</v>
      </c>
      <c r="BA70" s="92">
        <f t="shared" si="196"/>
        <v>0</v>
      </c>
      <c r="BB70" s="92">
        <f t="shared" si="196"/>
        <v>0</v>
      </c>
      <c r="BC70" s="92">
        <f t="shared" si="196"/>
        <v>0</v>
      </c>
      <c r="BF70" s="80" t="s">
        <v>208</v>
      </c>
      <c r="BG70" s="92">
        <f>BG59+BG61+BG63+BG65+BG67</f>
        <v>0</v>
      </c>
      <c r="BH70" s="92">
        <f t="shared" ref="BH70:BK70" si="197">BH59+BH61+BH63+BH65+BH67</f>
        <v>0</v>
      </c>
      <c r="BI70" s="92">
        <f t="shared" si="197"/>
        <v>0</v>
      </c>
      <c r="BJ70" s="92">
        <f t="shared" si="197"/>
        <v>0</v>
      </c>
      <c r="BK70" s="92">
        <f t="shared" si="197"/>
        <v>0</v>
      </c>
      <c r="BN70" s="80" t="s">
        <v>208</v>
      </c>
      <c r="BO70" s="92">
        <f>BO59+BO61+BO63+BO65+BO67</f>
        <v>0</v>
      </c>
      <c r="BP70" s="92">
        <f t="shared" ref="BP70:BS70" si="198">BP59+BP61+BP63+BP65+BP67</f>
        <v>0</v>
      </c>
      <c r="BQ70" s="92">
        <f t="shared" si="198"/>
        <v>0</v>
      </c>
      <c r="BR70" s="92">
        <f t="shared" si="198"/>
        <v>0</v>
      </c>
      <c r="BS70" s="92">
        <f t="shared" si="198"/>
        <v>0</v>
      </c>
      <c r="BV70" s="80" t="s">
        <v>208</v>
      </c>
      <c r="BW70" s="92">
        <f>BW59+BW61+BW63+BW65+BW67</f>
        <v>0</v>
      </c>
      <c r="BX70" s="92">
        <f t="shared" ref="BX70:CA70" si="199">BX59+BX61+BX63+BX65+BX67</f>
        <v>0</v>
      </c>
      <c r="BY70" s="92">
        <f t="shared" si="199"/>
        <v>0</v>
      </c>
      <c r="BZ70" s="92">
        <f t="shared" si="199"/>
        <v>0</v>
      </c>
      <c r="CA70" s="92">
        <f t="shared" si="199"/>
        <v>0</v>
      </c>
      <c r="CD70" s="80" t="s">
        <v>208</v>
      </c>
      <c r="CE70" s="92">
        <f>CE59+CE61+CE63+CE65+CE67</f>
        <v>0</v>
      </c>
      <c r="CF70" s="92">
        <f t="shared" ref="CF70:CI70" si="200">CF59+CF61+CF63+CF65+CF67</f>
        <v>0</v>
      </c>
      <c r="CG70" s="92">
        <f t="shared" si="200"/>
        <v>0</v>
      </c>
      <c r="CH70" s="92">
        <f t="shared" si="200"/>
        <v>0</v>
      </c>
      <c r="CI70" s="92">
        <f t="shared" si="200"/>
        <v>0</v>
      </c>
      <c r="CL70" s="80" t="s">
        <v>208</v>
      </c>
      <c r="CM70" s="92">
        <f>CM59+CM61+CM63+CM65+CM67</f>
        <v>0</v>
      </c>
      <c r="CN70" s="92">
        <f t="shared" ref="CN70:CQ70" si="201">CN59+CN61+CN63+CN65+CN67</f>
        <v>0</v>
      </c>
      <c r="CO70" s="92">
        <f t="shared" si="201"/>
        <v>0</v>
      </c>
      <c r="CP70" s="92">
        <f t="shared" si="201"/>
        <v>0</v>
      </c>
      <c r="CQ70" s="92">
        <f t="shared" si="201"/>
        <v>0</v>
      </c>
      <c r="CT70" s="80" t="s">
        <v>208</v>
      </c>
      <c r="CU70" s="92">
        <f>CU59+CU61+CU63+CU65+CU67</f>
        <v>0</v>
      </c>
      <c r="CV70" s="92">
        <f t="shared" ref="CV70:CY70" si="202">CV59+CV61+CV63+CV65+CV67</f>
        <v>0</v>
      </c>
      <c r="CW70" s="92">
        <f t="shared" si="202"/>
        <v>0</v>
      </c>
      <c r="CX70" s="92">
        <f t="shared" si="202"/>
        <v>0</v>
      </c>
      <c r="CY70" s="92">
        <f t="shared" si="202"/>
        <v>0</v>
      </c>
      <c r="DB70" s="80" t="s">
        <v>208</v>
      </c>
      <c r="DC70" s="92">
        <f>DC59+DC61+DC63+DC65+DC67</f>
        <v>0</v>
      </c>
      <c r="DD70" s="92">
        <f t="shared" ref="DD70:DG70" si="203">DD59+DD61+DD63+DD65+DD67</f>
        <v>0</v>
      </c>
      <c r="DE70" s="92">
        <f t="shared" si="203"/>
        <v>0</v>
      </c>
      <c r="DF70" s="92">
        <f t="shared" si="203"/>
        <v>0</v>
      </c>
      <c r="DG70" s="92">
        <f t="shared" si="203"/>
        <v>0</v>
      </c>
    </row>
    <row r="71" spans="2:111" ht="15" thickBot="1">
      <c r="B71" s="507">
        <f>cen_prop3</f>
        <v>0</v>
      </c>
      <c r="C71" s="508"/>
      <c r="D71" s="508"/>
      <c r="E71" s="508"/>
      <c r="F71" s="508"/>
      <c r="G71" s="509"/>
      <c r="J71" s="507">
        <f>cen_prop3</f>
        <v>0</v>
      </c>
      <c r="K71" s="508"/>
      <c r="L71" s="508"/>
      <c r="M71" s="508"/>
      <c r="N71" s="508"/>
      <c r="O71" s="509"/>
      <c r="R71" s="507">
        <f>cen_prop3</f>
        <v>0</v>
      </c>
      <c r="S71" s="508"/>
      <c r="T71" s="508"/>
      <c r="U71" s="508"/>
      <c r="V71" s="508"/>
      <c r="W71" s="509"/>
      <c r="Z71" s="507">
        <f>cen_prop3</f>
        <v>0</v>
      </c>
      <c r="AA71" s="508"/>
      <c r="AB71" s="508"/>
      <c r="AC71" s="508"/>
      <c r="AD71" s="508"/>
      <c r="AE71" s="509"/>
      <c r="AH71" s="507">
        <f>cen_prop3</f>
        <v>0</v>
      </c>
      <c r="AI71" s="508"/>
      <c r="AJ71" s="508"/>
      <c r="AK71" s="508"/>
      <c r="AL71" s="508"/>
      <c r="AM71" s="509"/>
      <c r="AP71" s="507">
        <f>cen_prop3</f>
        <v>0</v>
      </c>
      <c r="AQ71" s="508"/>
      <c r="AR71" s="508"/>
      <c r="AS71" s="508"/>
      <c r="AT71" s="508"/>
      <c r="AU71" s="509"/>
      <c r="AX71" s="507">
        <f>cen_prop3</f>
        <v>0</v>
      </c>
      <c r="AY71" s="508"/>
      <c r="AZ71" s="508"/>
      <c r="BA71" s="508"/>
      <c r="BB71" s="508"/>
      <c r="BC71" s="509"/>
      <c r="BF71" s="507">
        <f>cen_prop3</f>
        <v>0</v>
      </c>
      <c r="BG71" s="508"/>
      <c r="BH71" s="508"/>
      <c r="BI71" s="508"/>
      <c r="BJ71" s="508"/>
      <c r="BK71" s="509"/>
      <c r="BN71" s="507">
        <f>cen_prop3</f>
        <v>0</v>
      </c>
      <c r="BO71" s="508"/>
      <c r="BP71" s="508"/>
      <c r="BQ71" s="508"/>
      <c r="BR71" s="508"/>
      <c r="BS71" s="509"/>
      <c r="BV71" s="507">
        <f>cen_prop3</f>
        <v>0</v>
      </c>
      <c r="BW71" s="508"/>
      <c r="BX71" s="508"/>
      <c r="BY71" s="508"/>
      <c r="BZ71" s="508"/>
      <c r="CA71" s="509"/>
      <c r="CD71" s="507">
        <f>cen_prop3</f>
        <v>0</v>
      </c>
      <c r="CE71" s="508"/>
      <c r="CF71" s="508"/>
      <c r="CG71" s="508"/>
      <c r="CH71" s="508"/>
      <c r="CI71" s="509"/>
      <c r="CL71" s="507">
        <f>cen_prop3</f>
        <v>0</v>
      </c>
      <c r="CM71" s="508"/>
      <c r="CN71" s="508"/>
      <c r="CO71" s="508"/>
      <c r="CP71" s="508"/>
      <c r="CQ71" s="509"/>
      <c r="CT71" s="507">
        <f>cen_prop3</f>
        <v>0</v>
      </c>
      <c r="CU71" s="508"/>
      <c r="CV71" s="508"/>
      <c r="CW71" s="508"/>
      <c r="CX71" s="508"/>
      <c r="CY71" s="509"/>
      <c r="DB71" s="507">
        <f>cen_prop3</f>
        <v>0</v>
      </c>
      <c r="DC71" s="508"/>
      <c r="DD71" s="508"/>
      <c r="DE71" s="508"/>
      <c r="DF71" s="508"/>
      <c r="DG71" s="509"/>
    </row>
    <row r="72" spans="2:111">
      <c r="B72" s="84"/>
      <c r="C72" s="101">
        <f>ano_1</f>
        <v>2024</v>
      </c>
      <c r="D72" s="101">
        <f>C72+1</f>
        <v>2025</v>
      </c>
      <c r="E72" s="101">
        <f t="shared" ref="E72:G72" si="204">D72+1</f>
        <v>2026</v>
      </c>
      <c r="F72" s="101">
        <f t="shared" si="204"/>
        <v>2027</v>
      </c>
      <c r="G72" s="102">
        <f t="shared" si="204"/>
        <v>2028</v>
      </c>
      <c r="J72" s="84"/>
      <c r="K72" s="101">
        <f>ano_1</f>
        <v>2024</v>
      </c>
      <c r="L72" s="101">
        <f>K72+1</f>
        <v>2025</v>
      </c>
      <c r="M72" s="101">
        <f t="shared" ref="M72" si="205">L72+1</f>
        <v>2026</v>
      </c>
      <c r="N72" s="101">
        <f t="shared" ref="N72" si="206">M72+1</f>
        <v>2027</v>
      </c>
      <c r="O72" s="102">
        <f t="shared" ref="O72" si="207">N72+1</f>
        <v>2028</v>
      </c>
      <c r="R72" s="84"/>
      <c r="S72" s="101">
        <f>ano_1</f>
        <v>2024</v>
      </c>
      <c r="T72" s="101">
        <f>S72+1</f>
        <v>2025</v>
      </c>
      <c r="U72" s="101">
        <f t="shared" ref="U72" si="208">T72+1</f>
        <v>2026</v>
      </c>
      <c r="V72" s="101">
        <f t="shared" ref="V72" si="209">U72+1</f>
        <v>2027</v>
      </c>
      <c r="W72" s="102">
        <f t="shared" ref="W72" si="210">V72+1</f>
        <v>2028</v>
      </c>
      <c r="Z72" s="84"/>
      <c r="AA72" s="101">
        <f>ano_1</f>
        <v>2024</v>
      </c>
      <c r="AB72" s="101">
        <f>AA72+1</f>
        <v>2025</v>
      </c>
      <c r="AC72" s="101">
        <f t="shared" ref="AC72" si="211">AB72+1</f>
        <v>2026</v>
      </c>
      <c r="AD72" s="101">
        <f t="shared" ref="AD72" si="212">AC72+1</f>
        <v>2027</v>
      </c>
      <c r="AE72" s="102">
        <f t="shared" ref="AE72" si="213">AD72+1</f>
        <v>2028</v>
      </c>
      <c r="AH72" s="84"/>
      <c r="AI72" s="101">
        <f>ano_1</f>
        <v>2024</v>
      </c>
      <c r="AJ72" s="101">
        <f>AI72+1</f>
        <v>2025</v>
      </c>
      <c r="AK72" s="101">
        <f t="shared" ref="AK72" si="214">AJ72+1</f>
        <v>2026</v>
      </c>
      <c r="AL72" s="101">
        <f t="shared" ref="AL72" si="215">AK72+1</f>
        <v>2027</v>
      </c>
      <c r="AM72" s="102">
        <f t="shared" ref="AM72" si="216">AL72+1</f>
        <v>2028</v>
      </c>
      <c r="AP72" s="84"/>
      <c r="AQ72" s="101">
        <f>ano_1</f>
        <v>2024</v>
      </c>
      <c r="AR72" s="101">
        <f>AQ72+1</f>
        <v>2025</v>
      </c>
      <c r="AS72" s="101">
        <f t="shared" ref="AS72" si="217">AR72+1</f>
        <v>2026</v>
      </c>
      <c r="AT72" s="101">
        <f t="shared" ref="AT72" si="218">AS72+1</f>
        <v>2027</v>
      </c>
      <c r="AU72" s="102">
        <f t="shared" ref="AU72" si="219">AT72+1</f>
        <v>2028</v>
      </c>
      <c r="AX72" s="84"/>
      <c r="AY72" s="101">
        <f>ano_1</f>
        <v>2024</v>
      </c>
      <c r="AZ72" s="101">
        <f>AY72+1</f>
        <v>2025</v>
      </c>
      <c r="BA72" s="101">
        <f t="shared" ref="BA72" si="220">AZ72+1</f>
        <v>2026</v>
      </c>
      <c r="BB72" s="101">
        <f t="shared" ref="BB72" si="221">BA72+1</f>
        <v>2027</v>
      </c>
      <c r="BC72" s="102">
        <f t="shared" ref="BC72" si="222">BB72+1</f>
        <v>2028</v>
      </c>
      <c r="BF72" s="84"/>
      <c r="BG72" s="101">
        <f>ano_1</f>
        <v>2024</v>
      </c>
      <c r="BH72" s="101">
        <f>BG72+1</f>
        <v>2025</v>
      </c>
      <c r="BI72" s="101">
        <f t="shared" ref="BI72" si="223">BH72+1</f>
        <v>2026</v>
      </c>
      <c r="BJ72" s="101">
        <f t="shared" ref="BJ72" si="224">BI72+1</f>
        <v>2027</v>
      </c>
      <c r="BK72" s="102">
        <f t="shared" ref="BK72" si="225">BJ72+1</f>
        <v>2028</v>
      </c>
      <c r="BN72" s="84"/>
      <c r="BO72" s="101">
        <f>ano_1</f>
        <v>2024</v>
      </c>
      <c r="BP72" s="101">
        <f>BO72+1</f>
        <v>2025</v>
      </c>
      <c r="BQ72" s="101">
        <f t="shared" ref="BQ72" si="226">BP72+1</f>
        <v>2026</v>
      </c>
      <c r="BR72" s="101">
        <f t="shared" ref="BR72" si="227">BQ72+1</f>
        <v>2027</v>
      </c>
      <c r="BS72" s="102">
        <f t="shared" ref="BS72" si="228">BR72+1</f>
        <v>2028</v>
      </c>
      <c r="BV72" s="84"/>
      <c r="BW72" s="101">
        <f>ano_1</f>
        <v>2024</v>
      </c>
      <c r="BX72" s="101">
        <f>BW72+1</f>
        <v>2025</v>
      </c>
      <c r="BY72" s="101">
        <f t="shared" ref="BY72" si="229">BX72+1</f>
        <v>2026</v>
      </c>
      <c r="BZ72" s="101">
        <f t="shared" ref="BZ72" si="230">BY72+1</f>
        <v>2027</v>
      </c>
      <c r="CA72" s="102">
        <f t="shared" ref="CA72" si="231">BZ72+1</f>
        <v>2028</v>
      </c>
      <c r="CD72" s="84"/>
      <c r="CE72" s="101">
        <f>ano_1</f>
        <v>2024</v>
      </c>
      <c r="CF72" s="101">
        <f>CE72+1</f>
        <v>2025</v>
      </c>
      <c r="CG72" s="101">
        <f t="shared" ref="CG72" si="232">CF72+1</f>
        <v>2026</v>
      </c>
      <c r="CH72" s="101">
        <f t="shared" ref="CH72" si="233">CG72+1</f>
        <v>2027</v>
      </c>
      <c r="CI72" s="102">
        <f t="shared" ref="CI72" si="234">CH72+1</f>
        <v>2028</v>
      </c>
      <c r="CL72" s="84"/>
      <c r="CM72" s="101">
        <f>ano_1</f>
        <v>2024</v>
      </c>
      <c r="CN72" s="101">
        <f>CM72+1</f>
        <v>2025</v>
      </c>
      <c r="CO72" s="101">
        <f t="shared" ref="CO72" si="235">CN72+1</f>
        <v>2026</v>
      </c>
      <c r="CP72" s="101">
        <f t="shared" ref="CP72" si="236">CO72+1</f>
        <v>2027</v>
      </c>
      <c r="CQ72" s="102">
        <f t="shared" ref="CQ72" si="237">CP72+1</f>
        <v>2028</v>
      </c>
      <c r="CT72" s="84"/>
      <c r="CU72" s="101">
        <f>ano_1</f>
        <v>2024</v>
      </c>
      <c r="CV72" s="101">
        <f>CU72+1</f>
        <v>2025</v>
      </c>
      <c r="CW72" s="101">
        <f t="shared" ref="CW72" si="238">CV72+1</f>
        <v>2026</v>
      </c>
      <c r="CX72" s="101">
        <f t="shared" ref="CX72" si="239">CW72+1</f>
        <v>2027</v>
      </c>
      <c r="CY72" s="102">
        <f t="shared" ref="CY72" si="240">CX72+1</f>
        <v>2028</v>
      </c>
      <c r="DB72" s="84"/>
      <c r="DC72" s="101">
        <f>ano_1</f>
        <v>2024</v>
      </c>
      <c r="DD72" s="101">
        <f>DC72+1</f>
        <v>2025</v>
      </c>
      <c r="DE72" s="101">
        <f t="shared" ref="DE72" si="241">DD72+1</f>
        <v>2026</v>
      </c>
      <c r="DF72" s="101">
        <f t="shared" ref="DF72" si="242">DE72+1</f>
        <v>2027</v>
      </c>
      <c r="DG72" s="102">
        <f t="shared" ref="DG72" si="243">DF72+1</f>
        <v>2028</v>
      </c>
    </row>
    <row r="73" spans="2:111">
      <c r="B73" s="87" t="s">
        <v>170</v>
      </c>
      <c r="C73" s="80">
        <f>C$7*'Mkt share'!$C$82</f>
        <v>0</v>
      </c>
      <c r="D73" s="80">
        <f>C$8*'Mkt share'!$C$82</f>
        <v>0</v>
      </c>
      <c r="E73" s="80">
        <f>C$11*'Mkt share'!$C$82</f>
        <v>0</v>
      </c>
      <c r="F73" s="80">
        <f>C$14*'Mkt share'!$C$82</f>
        <v>0</v>
      </c>
      <c r="G73" s="88">
        <f>C$17*'Mkt share'!$C$82</f>
        <v>0</v>
      </c>
      <c r="J73" s="87" t="s">
        <v>170</v>
      </c>
      <c r="K73" s="80">
        <f>K$7*'Mkt share'!$C$83</f>
        <v>0</v>
      </c>
      <c r="L73" s="80">
        <f>K$8*'Mkt share'!$C$83</f>
        <v>0</v>
      </c>
      <c r="M73" s="80">
        <f>K$11*'Mkt share'!$C$83</f>
        <v>0</v>
      </c>
      <c r="N73" s="80">
        <f>K$14*'Mkt share'!$C$83</f>
        <v>0</v>
      </c>
      <c r="O73" s="88">
        <f>K$17*'Mkt share'!$C$83</f>
        <v>0</v>
      </c>
      <c r="R73" s="87" t="s">
        <v>170</v>
      </c>
      <c r="S73" s="80">
        <f>S$7*'Mkt share'!$C$84</f>
        <v>0</v>
      </c>
      <c r="T73" s="80">
        <f>S$8*'Mkt share'!$C$84</f>
        <v>0</v>
      </c>
      <c r="U73" s="80">
        <f>S$11*'Mkt share'!$C$84</f>
        <v>0</v>
      </c>
      <c r="V73" s="80">
        <f>S$14*'Mkt share'!$C$84</f>
        <v>0</v>
      </c>
      <c r="W73" s="88">
        <f>S$17*'Mkt share'!$C$84</f>
        <v>0</v>
      </c>
      <c r="Z73" s="87" t="s">
        <v>170</v>
      </c>
      <c r="AA73" s="80">
        <f>AA$7*'Mkt share'!$C$85</f>
        <v>0</v>
      </c>
      <c r="AB73" s="80">
        <f>AA$8*'Mkt share'!$C$85</f>
        <v>0</v>
      </c>
      <c r="AC73" s="80">
        <f>AA$11*'Mkt share'!$C$85</f>
        <v>0</v>
      </c>
      <c r="AD73" s="80">
        <f>AA$14*'Mkt share'!$C$85</f>
        <v>0</v>
      </c>
      <c r="AE73" s="88">
        <f>AA$17*'Mkt share'!$C$85</f>
        <v>0</v>
      </c>
      <c r="AH73" s="87" t="s">
        <v>170</v>
      </c>
      <c r="AI73" s="80">
        <f>AI$7*'Mkt share'!$C$86</f>
        <v>0</v>
      </c>
      <c r="AJ73" s="80">
        <f>AI$8*'Mkt share'!$C$86</f>
        <v>0</v>
      </c>
      <c r="AK73" s="80">
        <f>AI$11*'Mkt share'!$C$86</f>
        <v>0</v>
      </c>
      <c r="AL73" s="80">
        <f>AI$14*'Mkt share'!$C$86</f>
        <v>0</v>
      </c>
      <c r="AM73" s="88">
        <f>AI$17*'Mkt share'!$C$86</f>
        <v>0</v>
      </c>
      <c r="AP73" s="87" t="s">
        <v>170</v>
      </c>
      <c r="AQ73" s="80">
        <f>AQ$7*'Mkt share'!$C$87</f>
        <v>0</v>
      </c>
      <c r="AR73" s="80">
        <f>AQ$8*'Mkt share'!$C$87</f>
        <v>0</v>
      </c>
      <c r="AS73" s="80">
        <f>AQ$11*'Mkt share'!$C$87</f>
        <v>0</v>
      </c>
      <c r="AT73" s="80">
        <f>AQ$14*'Mkt share'!$C$87</f>
        <v>0</v>
      </c>
      <c r="AU73" s="88">
        <f>AQ$17*'Mkt share'!$C$87</f>
        <v>0</v>
      </c>
      <c r="AX73" s="87" t="s">
        <v>170</v>
      </c>
      <c r="AY73" s="80">
        <f>AY$7*'Mkt share'!$C$88</f>
        <v>0</v>
      </c>
      <c r="AZ73" s="80">
        <f>AY$8*'Mkt share'!$C$88</f>
        <v>0</v>
      </c>
      <c r="BA73" s="80">
        <f>AY$11*'Mkt share'!$C$88</f>
        <v>0</v>
      </c>
      <c r="BB73" s="80">
        <f>AY$14*'Mkt share'!$C$88</f>
        <v>0</v>
      </c>
      <c r="BC73" s="88">
        <f>AY$17*'Mkt share'!$C$88</f>
        <v>0</v>
      </c>
      <c r="BF73" s="87" t="s">
        <v>170</v>
      </c>
      <c r="BG73" s="80">
        <f>BG$7*'Mkt share'!$C$89</f>
        <v>0</v>
      </c>
      <c r="BH73" s="80">
        <f>BG$8*'Mkt share'!$C$89</f>
        <v>0</v>
      </c>
      <c r="BI73" s="80">
        <f>BG$11*'Mkt share'!$C$89</f>
        <v>0</v>
      </c>
      <c r="BJ73" s="80">
        <f>BG$14*'Mkt share'!$C$89</f>
        <v>0</v>
      </c>
      <c r="BK73" s="88">
        <f>BG$17*'Mkt share'!$C$89</f>
        <v>0</v>
      </c>
      <c r="BN73" s="87" t="s">
        <v>170</v>
      </c>
      <c r="BO73" s="80">
        <f>BO$7*'Mkt share'!$C$90</f>
        <v>0</v>
      </c>
      <c r="BP73" s="80">
        <f>BO$8*'Mkt share'!$C$90</f>
        <v>0</v>
      </c>
      <c r="BQ73" s="80">
        <f>BO$11*'Mkt share'!$C$90</f>
        <v>0</v>
      </c>
      <c r="BR73" s="80">
        <f>BO$14*'Mkt share'!$C$90</f>
        <v>0</v>
      </c>
      <c r="BS73" s="88">
        <f>BO$17*'Mkt share'!$C$90</f>
        <v>0</v>
      </c>
      <c r="BV73" s="87" t="s">
        <v>170</v>
      </c>
      <c r="BW73" s="80">
        <f>BW$7*'Mkt share'!$C$91</f>
        <v>0</v>
      </c>
      <c r="BX73" s="80">
        <f>BW$8*'Mkt share'!$C$91</f>
        <v>0</v>
      </c>
      <c r="BY73" s="80">
        <f>BW$11*'Mkt share'!$C$91</f>
        <v>0</v>
      </c>
      <c r="BZ73" s="80">
        <f>BW$14*'Mkt share'!$C$91</f>
        <v>0</v>
      </c>
      <c r="CA73" s="88">
        <f>BW$17*'Mkt share'!$C$91</f>
        <v>0</v>
      </c>
      <c r="CD73" s="87" t="s">
        <v>170</v>
      </c>
      <c r="CE73" s="80">
        <f>CE$7*'Mkt share'!$C$92</f>
        <v>0</v>
      </c>
      <c r="CF73" s="80">
        <f>CE$8*'Mkt share'!$C$92</f>
        <v>0</v>
      </c>
      <c r="CG73" s="80">
        <f>CE$11*'Mkt share'!$C$92</f>
        <v>0</v>
      </c>
      <c r="CH73" s="80">
        <f>CE$14*'Mkt share'!$C$92</f>
        <v>0</v>
      </c>
      <c r="CI73" s="88">
        <f>CE$17*'Mkt share'!$C$92</f>
        <v>0</v>
      </c>
      <c r="CL73" s="87" t="s">
        <v>170</v>
      </c>
      <c r="CM73" s="80">
        <f>CM$7*'Mkt share'!$C$93</f>
        <v>0</v>
      </c>
      <c r="CN73" s="80">
        <f>CM$8*'Mkt share'!$C$93</f>
        <v>0</v>
      </c>
      <c r="CO73" s="80">
        <f>CM$11*'Mkt share'!$C$93</f>
        <v>0</v>
      </c>
      <c r="CP73" s="80">
        <f>CM$14*'Mkt share'!$C$93</f>
        <v>0</v>
      </c>
      <c r="CQ73" s="88">
        <f>CM$17*'Mkt share'!$C$93</f>
        <v>0</v>
      </c>
      <c r="CT73" s="87" t="s">
        <v>170</v>
      </c>
      <c r="CU73" s="80">
        <f>CU$7*'Mkt share'!$C$94</f>
        <v>0</v>
      </c>
      <c r="CV73" s="80">
        <f>CU$8*'Mkt share'!$C$94</f>
        <v>0</v>
      </c>
      <c r="CW73" s="80">
        <f>CU$11*'Mkt share'!$C$94</f>
        <v>0</v>
      </c>
      <c r="CX73" s="80">
        <f>CU$14*'Mkt share'!$C$94</f>
        <v>0</v>
      </c>
      <c r="CY73" s="88">
        <f>CU$17*'Mkt share'!$C$94</f>
        <v>0</v>
      </c>
      <c r="DB73" s="87" t="s">
        <v>170</v>
      </c>
      <c r="DC73" s="80">
        <f>DC$7*'Mkt share'!$C$95</f>
        <v>0</v>
      </c>
      <c r="DD73" s="80">
        <f>DC$8*'Mkt share'!$C$95</f>
        <v>0</v>
      </c>
      <c r="DE73" s="80">
        <f>DC$11*'Mkt share'!$C$95</f>
        <v>0</v>
      </c>
      <c r="DF73" s="80">
        <f>DC$14*'Mkt share'!$C$95</f>
        <v>0</v>
      </c>
      <c r="DG73" s="88">
        <f>DC$17*'Mkt share'!$C$95</f>
        <v>0</v>
      </c>
    </row>
    <row r="74" spans="2:111">
      <c r="B74" s="87" t="s">
        <v>175</v>
      </c>
      <c r="C74" s="105">
        <v>0</v>
      </c>
      <c r="D74" s="80">
        <f>C$10*'Mkt share'!$C$82</f>
        <v>0</v>
      </c>
      <c r="E74" s="80">
        <f>C$13*'Mkt share'!$C$82</f>
        <v>0</v>
      </c>
      <c r="F74" s="80">
        <f>C$16*'Mkt share'!$C$82</f>
        <v>0</v>
      </c>
      <c r="G74" s="88">
        <f>C$19*'Mkt share'!$C$82</f>
        <v>0</v>
      </c>
      <c r="J74" s="87" t="s">
        <v>175</v>
      </c>
      <c r="K74" s="105">
        <v>0</v>
      </c>
      <c r="L74" s="80">
        <f>K$10*'Mkt share'!$C$83</f>
        <v>0</v>
      </c>
      <c r="M74" s="80">
        <f>K$13*'Mkt share'!$C$83</f>
        <v>0</v>
      </c>
      <c r="N74" s="80">
        <f>K$16*'Mkt share'!$C$83</f>
        <v>0</v>
      </c>
      <c r="O74" s="88">
        <f>K$19*'Mkt share'!$C$83</f>
        <v>0</v>
      </c>
      <c r="R74" s="87" t="s">
        <v>175</v>
      </c>
      <c r="S74" s="105">
        <v>0</v>
      </c>
      <c r="T74" s="80">
        <f>S$10*'Mkt share'!$C$84</f>
        <v>0</v>
      </c>
      <c r="U74" s="80">
        <f>S$13*'Mkt share'!$C$84</f>
        <v>0</v>
      </c>
      <c r="V74" s="80">
        <f>S$16*'Mkt share'!$C$84</f>
        <v>0</v>
      </c>
      <c r="W74" s="88">
        <f>S$19*'Mkt share'!$C$84</f>
        <v>0</v>
      </c>
      <c r="Z74" s="87" t="s">
        <v>175</v>
      </c>
      <c r="AA74" s="105">
        <v>0</v>
      </c>
      <c r="AB74" s="80">
        <f>AA$10*'Mkt share'!$C$85</f>
        <v>0</v>
      </c>
      <c r="AC74" s="80">
        <f>AA$13*'Mkt share'!$C$85</f>
        <v>0</v>
      </c>
      <c r="AD74" s="80">
        <f>AA$16*'Mkt share'!$C$85</f>
        <v>0</v>
      </c>
      <c r="AE74" s="88">
        <f>AA$19*'Mkt share'!$C$85</f>
        <v>0</v>
      </c>
      <c r="AH74" s="87" t="s">
        <v>175</v>
      </c>
      <c r="AI74" s="105">
        <v>0</v>
      </c>
      <c r="AJ74" s="80">
        <f>AI$10*'Mkt share'!$C$86</f>
        <v>0</v>
      </c>
      <c r="AK74" s="80">
        <f>AI$13*'Mkt share'!$C$86</f>
        <v>0</v>
      </c>
      <c r="AL74" s="80">
        <f>AI$16*'Mkt share'!$C$86</f>
        <v>0</v>
      </c>
      <c r="AM74" s="88">
        <f>AI$19*'Mkt share'!$C$86</f>
        <v>0</v>
      </c>
      <c r="AP74" s="87" t="s">
        <v>175</v>
      </c>
      <c r="AQ74" s="105">
        <v>0</v>
      </c>
      <c r="AR74" s="80">
        <f>AQ$10*'Mkt share'!$C$87</f>
        <v>0</v>
      </c>
      <c r="AS74" s="80">
        <f>AQ$13*'Mkt share'!$C$87</f>
        <v>0</v>
      </c>
      <c r="AT74" s="80">
        <f>AQ$16*'Mkt share'!$C$87</f>
        <v>0</v>
      </c>
      <c r="AU74" s="88">
        <f>AQ$19*'Mkt share'!$C$87</f>
        <v>0</v>
      </c>
      <c r="AX74" s="87" t="s">
        <v>175</v>
      </c>
      <c r="AY74" s="105">
        <v>0</v>
      </c>
      <c r="AZ74" s="80">
        <f>AY$10*'Mkt share'!$C$88</f>
        <v>0</v>
      </c>
      <c r="BA74" s="80">
        <f>AY$13*'Mkt share'!$C$88</f>
        <v>0</v>
      </c>
      <c r="BB74" s="80">
        <f>AY$16*'Mkt share'!$C$88</f>
        <v>0</v>
      </c>
      <c r="BC74" s="88">
        <f>AY$19*'Mkt share'!$C$88</f>
        <v>0</v>
      </c>
      <c r="BF74" s="87" t="s">
        <v>175</v>
      </c>
      <c r="BG74" s="105">
        <v>0</v>
      </c>
      <c r="BH74" s="80">
        <f>BG$10*'Mkt share'!$C$89</f>
        <v>0</v>
      </c>
      <c r="BI74" s="80">
        <f>BG$13*'Mkt share'!$C$89</f>
        <v>0</v>
      </c>
      <c r="BJ74" s="80">
        <f>BG$16*'Mkt share'!$C$89</f>
        <v>0</v>
      </c>
      <c r="BK74" s="88">
        <f>BG$19*'Mkt share'!$C$89</f>
        <v>0</v>
      </c>
      <c r="BN74" s="87" t="s">
        <v>175</v>
      </c>
      <c r="BO74" s="105">
        <v>0</v>
      </c>
      <c r="BP74" s="80">
        <f>BO$10*'Mkt share'!$C$90</f>
        <v>0</v>
      </c>
      <c r="BQ74" s="80">
        <f>BO$13*'Mkt share'!$C$90</f>
        <v>0</v>
      </c>
      <c r="BR74" s="80">
        <f>BO$16*'Mkt share'!$C$90</f>
        <v>0</v>
      </c>
      <c r="BS74" s="88">
        <f>BO$19*'Mkt share'!$C$90</f>
        <v>0</v>
      </c>
      <c r="BV74" s="87" t="s">
        <v>175</v>
      </c>
      <c r="BW74" s="105">
        <v>0</v>
      </c>
      <c r="BX74" s="80">
        <f>BW$10*'Mkt share'!$C$91</f>
        <v>0</v>
      </c>
      <c r="BY74" s="80">
        <f>BW$13*'Mkt share'!$C$91</f>
        <v>0</v>
      </c>
      <c r="BZ74" s="80">
        <f>BW$16*'Mkt share'!$C$91</f>
        <v>0</v>
      </c>
      <c r="CA74" s="88">
        <f>BW$19*'Mkt share'!$C$91</f>
        <v>0</v>
      </c>
      <c r="CD74" s="87" t="s">
        <v>175</v>
      </c>
      <c r="CE74" s="105">
        <v>0</v>
      </c>
      <c r="CF74" s="80">
        <f>CE$10*'Mkt share'!$C$92</f>
        <v>0</v>
      </c>
      <c r="CG74" s="80">
        <f>CE$13*'Mkt share'!$C$92</f>
        <v>0</v>
      </c>
      <c r="CH74" s="80">
        <f>CE$16*'Mkt share'!$C$92</f>
        <v>0</v>
      </c>
      <c r="CI74" s="88">
        <f>CE$19*'Mkt share'!$C$92</f>
        <v>0</v>
      </c>
      <c r="CL74" s="87" t="s">
        <v>175</v>
      </c>
      <c r="CM74" s="105">
        <v>0</v>
      </c>
      <c r="CN74" s="80">
        <f>CM$10*'Mkt share'!$C$93</f>
        <v>0</v>
      </c>
      <c r="CO74" s="80">
        <f>CM$13*'Mkt share'!$C$93</f>
        <v>0</v>
      </c>
      <c r="CP74" s="80">
        <f>CM$16*'Mkt share'!$C$93</f>
        <v>0</v>
      </c>
      <c r="CQ74" s="88">
        <f>CM$19*'Mkt share'!$C$93</f>
        <v>0</v>
      </c>
      <c r="CT74" s="87" t="s">
        <v>175</v>
      </c>
      <c r="CU74" s="105">
        <v>0</v>
      </c>
      <c r="CV74" s="80">
        <f>CU$10*'Mkt share'!$C$94</f>
        <v>0</v>
      </c>
      <c r="CW74" s="80">
        <f>CU$13*'Mkt share'!$C$94</f>
        <v>0</v>
      </c>
      <c r="CX74" s="80">
        <f>CU$16*'Mkt share'!$C$94</f>
        <v>0</v>
      </c>
      <c r="CY74" s="88">
        <f>CU$19*'Mkt share'!$C$94</f>
        <v>0</v>
      </c>
      <c r="DB74" s="87" t="s">
        <v>175</v>
      </c>
      <c r="DC74" s="105">
        <v>0</v>
      </c>
      <c r="DD74" s="80">
        <f>DC$10*'Mkt share'!$C$95</f>
        <v>0</v>
      </c>
      <c r="DE74" s="80">
        <f>DC$13*'Mkt share'!$C$95</f>
        <v>0</v>
      </c>
      <c r="DF74" s="80">
        <f>DC$16*'Mkt share'!$C$95</f>
        <v>0</v>
      </c>
      <c r="DG74" s="88">
        <f>DC$19*'Mkt share'!$C$95</f>
        <v>0</v>
      </c>
    </row>
    <row r="75" spans="2:111">
      <c r="B75" s="87" t="s">
        <v>171</v>
      </c>
      <c r="C75" s="103"/>
      <c r="D75" s="80">
        <f>D$7*'Mkt share'!$D$82</f>
        <v>0</v>
      </c>
      <c r="E75" s="80">
        <f>D$8*'Mkt share'!$D$82</f>
        <v>0</v>
      </c>
      <c r="F75" s="80">
        <f>D$11*'Mkt share'!$D$82</f>
        <v>0</v>
      </c>
      <c r="G75" s="88">
        <f>D$14*'Mkt share'!$D$82</f>
        <v>0</v>
      </c>
      <c r="J75" s="87" t="s">
        <v>171</v>
      </c>
      <c r="K75" s="103"/>
      <c r="L75" s="80">
        <f>L$7*'Mkt share'!$D$83</f>
        <v>0</v>
      </c>
      <c r="M75" s="80">
        <f>L$8*'Mkt share'!$D$83</f>
        <v>0</v>
      </c>
      <c r="N75" s="80">
        <f>L$11*'Mkt share'!$D$83</f>
        <v>0</v>
      </c>
      <c r="O75" s="88">
        <f>L$14*'Mkt share'!$D$83</f>
        <v>0</v>
      </c>
      <c r="R75" s="87" t="s">
        <v>171</v>
      </c>
      <c r="S75" s="103"/>
      <c r="T75" s="80">
        <f>T$7*'Mkt share'!$D$84</f>
        <v>0</v>
      </c>
      <c r="U75" s="80">
        <f>T$8*'Mkt share'!$D$84</f>
        <v>0</v>
      </c>
      <c r="V75" s="80">
        <f>T$11*'Mkt share'!$D$84</f>
        <v>0</v>
      </c>
      <c r="W75" s="88">
        <f>T$14*'Mkt share'!$D$84</f>
        <v>0</v>
      </c>
      <c r="Z75" s="87" t="s">
        <v>171</v>
      </c>
      <c r="AA75" s="103"/>
      <c r="AB75" s="80">
        <f>AB$7*'Mkt share'!$D$85</f>
        <v>0</v>
      </c>
      <c r="AC75" s="80">
        <f>AB$8*'Mkt share'!$D$85</f>
        <v>0</v>
      </c>
      <c r="AD75" s="80">
        <f>AB$11*'Mkt share'!$D$85</f>
        <v>0</v>
      </c>
      <c r="AE75" s="88">
        <f>AB$14*'Mkt share'!$D$85</f>
        <v>0</v>
      </c>
      <c r="AH75" s="87" t="s">
        <v>171</v>
      </c>
      <c r="AI75" s="103"/>
      <c r="AJ75" s="80">
        <f>AJ$7*'Mkt share'!$D$86</f>
        <v>0</v>
      </c>
      <c r="AK75" s="80">
        <f>AJ$8*'Mkt share'!$D$86</f>
        <v>0</v>
      </c>
      <c r="AL75" s="80">
        <f>AJ$11*'Mkt share'!$D$86</f>
        <v>0</v>
      </c>
      <c r="AM75" s="88">
        <f>AJ$14*'Mkt share'!$D$86</f>
        <v>0</v>
      </c>
      <c r="AP75" s="87" t="s">
        <v>171</v>
      </c>
      <c r="AQ75" s="103"/>
      <c r="AR75" s="80">
        <f>AR$7*'Mkt share'!$D$87</f>
        <v>0</v>
      </c>
      <c r="AS75" s="80">
        <f>AR$8*'Mkt share'!$D$87</f>
        <v>0</v>
      </c>
      <c r="AT75" s="80">
        <f>AR$11*'Mkt share'!$D$87</f>
        <v>0</v>
      </c>
      <c r="AU75" s="88">
        <f>AR$14*'Mkt share'!$D$87</f>
        <v>0</v>
      </c>
      <c r="AX75" s="87" t="s">
        <v>171</v>
      </c>
      <c r="AY75" s="103"/>
      <c r="AZ75" s="80">
        <f>AZ$7*'Mkt share'!$D$88</f>
        <v>0</v>
      </c>
      <c r="BA75" s="80">
        <f>AZ$8*'Mkt share'!$D$88</f>
        <v>0</v>
      </c>
      <c r="BB75" s="80">
        <f>AZ$11*'Mkt share'!$D$88</f>
        <v>0</v>
      </c>
      <c r="BC75" s="88">
        <f>AZ$14*'Mkt share'!$D$88</f>
        <v>0</v>
      </c>
      <c r="BF75" s="87" t="s">
        <v>171</v>
      </c>
      <c r="BG75" s="103"/>
      <c r="BH75" s="80">
        <f>BH$7*'Mkt share'!$D$89</f>
        <v>0</v>
      </c>
      <c r="BI75" s="80">
        <f>BH$8*'Mkt share'!$D$89</f>
        <v>0</v>
      </c>
      <c r="BJ75" s="80">
        <f>BH$11*'Mkt share'!$D$89</f>
        <v>0</v>
      </c>
      <c r="BK75" s="88">
        <f>BH$14*'Mkt share'!$D$89</f>
        <v>0</v>
      </c>
      <c r="BN75" s="87" t="s">
        <v>171</v>
      </c>
      <c r="BO75" s="103"/>
      <c r="BP75" s="80">
        <f>BP$7*'Mkt share'!$D$90</f>
        <v>0</v>
      </c>
      <c r="BQ75" s="80">
        <f>BP$8*'Mkt share'!$D$90</f>
        <v>0</v>
      </c>
      <c r="BR75" s="80">
        <f>BP$11*'Mkt share'!$D$90</f>
        <v>0</v>
      </c>
      <c r="BS75" s="88">
        <f>BP$14*'Mkt share'!$D$90</f>
        <v>0</v>
      </c>
      <c r="BV75" s="87" t="s">
        <v>171</v>
      </c>
      <c r="BW75" s="103"/>
      <c r="BX75" s="80">
        <f>BX$7*'Mkt share'!$D$91</f>
        <v>0</v>
      </c>
      <c r="BY75" s="80">
        <f>BX$8*'Mkt share'!$D$91</f>
        <v>0</v>
      </c>
      <c r="BZ75" s="80">
        <f>BX$11*'Mkt share'!$D$91</f>
        <v>0</v>
      </c>
      <c r="CA75" s="88">
        <f>BX$14*'Mkt share'!$D$91</f>
        <v>0</v>
      </c>
      <c r="CD75" s="87" t="s">
        <v>171</v>
      </c>
      <c r="CE75" s="103"/>
      <c r="CF75" s="80">
        <f>CF$7*'Mkt share'!$D$92</f>
        <v>0</v>
      </c>
      <c r="CG75" s="80">
        <f>CF$8*'Mkt share'!$D$92</f>
        <v>0</v>
      </c>
      <c r="CH75" s="80">
        <f>CF$11*'Mkt share'!$D$92</f>
        <v>0</v>
      </c>
      <c r="CI75" s="88">
        <f>CF$14*'Mkt share'!$D$92</f>
        <v>0</v>
      </c>
      <c r="CL75" s="87" t="s">
        <v>171</v>
      </c>
      <c r="CM75" s="103"/>
      <c r="CN75" s="80">
        <f>CN$7*'Mkt share'!$D$93</f>
        <v>0</v>
      </c>
      <c r="CO75" s="80">
        <f>CN$8*'Mkt share'!$D$93</f>
        <v>0</v>
      </c>
      <c r="CP75" s="80">
        <f>CN$11*'Mkt share'!$D$93</f>
        <v>0</v>
      </c>
      <c r="CQ75" s="88">
        <f>CN$14*'Mkt share'!$D$93</f>
        <v>0</v>
      </c>
      <c r="CT75" s="87" t="s">
        <v>171</v>
      </c>
      <c r="CU75" s="103"/>
      <c r="CV75" s="80">
        <f>CV$7*'Mkt share'!$D$94</f>
        <v>0</v>
      </c>
      <c r="CW75" s="80">
        <f>CV$8*'Mkt share'!$D$94</f>
        <v>0</v>
      </c>
      <c r="CX75" s="80">
        <f>CV$11*'Mkt share'!$D$94</f>
        <v>0</v>
      </c>
      <c r="CY75" s="88">
        <f>CV$14*'Mkt share'!$D$94</f>
        <v>0</v>
      </c>
      <c r="DB75" s="87" t="s">
        <v>171</v>
      </c>
      <c r="DC75" s="103"/>
      <c r="DD75" s="80">
        <f>DD$7*'Mkt share'!$D$95</f>
        <v>0</v>
      </c>
      <c r="DE75" s="80">
        <f>DD$8*'Mkt share'!$D$95</f>
        <v>0</v>
      </c>
      <c r="DF75" s="80">
        <f>DD$11*'Mkt share'!$D$95</f>
        <v>0</v>
      </c>
      <c r="DG75" s="88">
        <f>DD$14*'Mkt share'!$D$95</f>
        <v>0</v>
      </c>
    </row>
    <row r="76" spans="2:111">
      <c r="B76" s="87" t="s">
        <v>176</v>
      </c>
      <c r="C76" s="103"/>
      <c r="D76" s="105">
        <v>0</v>
      </c>
      <c r="E76" s="80">
        <f>D$10*'Mkt share'!$D$82</f>
        <v>0</v>
      </c>
      <c r="F76" s="80">
        <f>D$13*'Mkt share'!$D$82</f>
        <v>0</v>
      </c>
      <c r="G76" s="88">
        <f>D$16*'Mkt share'!$D$82</f>
        <v>0</v>
      </c>
      <c r="J76" s="87" t="s">
        <v>176</v>
      </c>
      <c r="K76" s="103"/>
      <c r="L76" s="105">
        <v>0</v>
      </c>
      <c r="M76" s="80">
        <f>L$10*'Mkt share'!$D$83</f>
        <v>0</v>
      </c>
      <c r="N76" s="80">
        <f>L$13*'Mkt share'!$D$83</f>
        <v>0</v>
      </c>
      <c r="O76" s="88">
        <f>L$16*'Mkt share'!$D$83</f>
        <v>0</v>
      </c>
      <c r="R76" s="87" t="s">
        <v>176</v>
      </c>
      <c r="S76" s="103"/>
      <c r="T76" s="105">
        <v>0</v>
      </c>
      <c r="U76" s="80">
        <f>T$10*'Mkt share'!$D$84</f>
        <v>0</v>
      </c>
      <c r="V76" s="80">
        <f>T$13*'Mkt share'!$D$84</f>
        <v>0</v>
      </c>
      <c r="W76" s="88">
        <f>T$16*'Mkt share'!$D$84</f>
        <v>0</v>
      </c>
      <c r="Z76" s="87" t="s">
        <v>176</v>
      </c>
      <c r="AA76" s="103"/>
      <c r="AB76" s="105">
        <v>0</v>
      </c>
      <c r="AC76" s="80">
        <f>AB$10*'Mkt share'!$D$85</f>
        <v>0</v>
      </c>
      <c r="AD76" s="80">
        <f>AB$13*'Mkt share'!$D$85</f>
        <v>0</v>
      </c>
      <c r="AE76" s="88">
        <f>AB$16*'Mkt share'!$D$85</f>
        <v>0</v>
      </c>
      <c r="AH76" s="87" t="s">
        <v>176</v>
      </c>
      <c r="AI76" s="103"/>
      <c r="AJ76" s="105">
        <v>0</v>
      </c>
      <c r="AK76" s="80">
        <f>AJ$10*'Mkt share'!$D$86</f>
        <v>0</v>
      </c>
      <c r="AL76" s="80">
        <f>AJ$13*'Mkt share'!$D$86</f>
        <v>0</v>
      </c>
      <c r="AM76" s="88">
        <f>AJ$16*'Mkt share'!$D$86</f>
        <v>0</v>
      </c>
      <c r="AP76" s="87" t="s">
        <v>176</v>
      </c>
      <c r="AQ76" s="103"/>
      <c r="AR76" s="105">
        <v>0</v>
      </c>
      <c r="AS76" s="80">
        <f>AR$10*'Mkt share'!$D$87</f>
        <v>0</v>
      </c>
      <c r="AT76" s="80">
        <f>AR$13*'Mkt share'!$D$87</f>
        <v>0</v>
      </c>
      <c r="AU76" s="88">
        <f>AR$16*'Mkt share'!$D$87</f>
        <v>0</v>
      </c>
      <c r="AX76" s="87" t="s">
        <v>176</v>
      </c>
      <c r="AY76" s="103"/>
      <c r="AZ76" s="105">
        <v>0</v>
      </c>
      <c r="BA76" s="80">
        <f>AZ$10*'Mkt share'!$D$88</f>
        <v>0</v>
      </c>
      <c r="BB76" s="80">
        <f>AZ$13*'Mkt share'!$D$88</f>
        <v>0</v>
      </c>
      <c r="BC76" s="88">
        <f>AZ$16*'Mkt share'!$D$88</f>
        <v>0</v>
      </c>
      <c r="BF76" s="87" t="s">
        <v>176</v>
      </c>
      <c r="BG76" s="103"/>
      <c r="BH76" s="105">
        <v>0</v>
      </c>
      <c r="BI76" s="80">
        <f>BH$10*'Mkt share'!$D$89</f>
        <v>0</v>
      </c>
      <c r="BJ76" s="80">
        <f>BH$13*'Mkt share'!$D$89</f>
        <v>0</v>
      </c>
      <c r="BK76" s="88">
        <f>BH$16*'Mkt share'!$D$89</f>
        <v>0</v>
      </c>
      <c r="BN76" s="87" t="s">
        <v>176</v>
      </c>
      <c r="BO76" s="103"/>
      <c r="BP76" s="105">
        <v>0</v>
      </c>
      <c r="BQ76" s="80">
        <f>BP$10*'Mkt share'!$D$90</f>
        <v>0</v>
      </c>
      <c r="BR76" s="80">
        <f>BP$13*'Mkt share'!$D$90</f>
        <v>0</v>
      </c>
      <c r="BS76" s="88">
        <f>BP$16*'Mkt share'!$D$90</f>
        <v>0</v>
      </c>
      <c r="BV76" s="87" t="s">
        <v>176</v>
      </c>
      <c r="BW76" s="103"/>
      <c r="BX76" s="105">
        <v>0</v>
      </c>
      <c r="BY76" s="80">
        <f>BX$10*'Mkt share'!$D$91</f>
        <v>0</v>
      </c>
      <c r="BZ76" s="80">
        <f>BX$13*'Mkt share'!$D$91</f>
        <v>0</v>
      </c>
      <c r="CA76" s="88">
        <f>BX$16*'Mkt share'!$D$91</f>
        <v>0</v>
      </c>
      <c r="CD76" s="87" t="s">
        <v>176</v>
      </c>
      <c r="CE76" s="103"/>
      <c r="CF76" s="105">
        <v>0</v>
      </c>
      <c r="CG76" s="80">
        <f>CF$10*'Mkt share'!$D$92</f>
        <v>0</v>
      </c>
      <c r="CH76" s="80">
        <f>CF$13*'Mkt share'!$D$92</f>
        <v>0</v>
      </c>
      <c r="CI76" s="88">
        <f>CF$16*'Mkt share'!$D$92</f>
        <v>0</v>
      </c>
      <c r="CL76" s="87" t="s">
        <v>176</v>
      </c>
      <c r="CM76" s="103"/>
      <c r="CN76" s="105">
        <v>0</v>
      </c>
      <c r="CO76" s="80">
        <f>CN$10*'Mkt share'!$D$93</f>
        <v>0</v>
      </c>
      <c r="CP76" s="80">
        <f>CN$13*'Mkt share'!$D$93</f>
        <v>0</v>
      </c>
      <c r="CQ76" s="88">
        <f>CN$16*'Mkt share'!$D$93</f>
        <v>0</v>
      </c>
      <c r="CT76" s="87" t="s">
        <v>176</v>
      </c>
      <c r="CU76" s="103"/>
      <c r="CV76" s="105">
        <v>0</v>
      </c>
      <c r="CW76" s="80">
        <f>CV$10*'Mkt share'!$D$94</f>
        <v>0</v>
      </c>
      <c r="CX76" s="80">
        <f>CV$13*'Mkt share'!$D$94</f>
        <v>0</v>
      </c>
      <c r="CY76" s="88">
        <f>CV$16*'Mkt share'!$D$94</f>
        <v>0</v>
      </c>
      <c r="DB76" s="87" t="s">
        <v>176</v>
      </c>
      <c r="DC76" s="103"/>
      <c r="DD76" s="105">
        <v>0</v>
      </c>
      <c r="DE76" s="80">
        <f>DD$10*'Mkt share'!$D$95</f>
        <v>0</v>
      </c>
      <c r="DF76" s="80">
        <f>DD$13*'Mkt share'!$D$95</f>
        <v>0</v>
      </c>
      <c r="DG76" s="88">
        <f>DD$16*'Mkt share'!$D$95</f>
        <v>0</v>
      </c>
    </row>
    <row r="77" spans="2:111">
      <c r="B77" s="87" t="s">
        <v>172</v>
      </c>
      <c r="C77" s="103"/>
      <c r="D77" s="103"/>
      <c r="E77" s="80">
        <f>E$7*'Mkt share'!$E$82</f>
        <v>0</v>
      </c>
      <c r="F77" s="80">
        <f>E$8*'Mkt share'!$E$82</f>
        <v>0</v>
      </c>
      <c r="G77" s="88">
        <f>E$11*'Mkt share'!$E$82</f>
        <v>0</v>
      </c>
      <c r="J77" s="87" t="s">
        <v>172</v>
      </c>
      <c r="K77" s="103"/>
      <c r="L77" s="103"/>
      <c r="M77" s="80">
        <f>M$7*'Mkt share'!$E$83</f>
        <v>0</v>
      </c>
      <c r="N77" s="80">
        <f>M$8*'Mkt share'!$E$83</f>
        <v>0</v>
      </c>
      <c r="O77" s="88">
        <f>M$11*'Mkt share'!$E$83</f>
        <v>0</v>
      </c>
      <c r="R77" s="87" t="s">
        <v>172</v>
      </c>
      <c r="S77" s="103"/>
      <c r="T77" s="103"/>
      <c r="U77" s="80">
        <f>U$7*'Mkt share'!$E$84</f>
        <v>0</v>
      </c>
      <c r="V77" s="80">
        <f>U$8*'Mkt share'!$E$84</f>
        <v>0</v>
      </c>
      <c r="W77" s="88">
        <f>U$11*'Mkt share'!$E$84</f>
        <v>0</v>
      </c>
      <c r="Z77" s="87" t="s">
        <v>172</v>
      </c>
      <c r="AA77" s="103"/>
      <c r="AB77" s="103"/>
      <c r="AC77" s="80">
        <f>AC$7*'Mkt share'!$E$85</f>
        <v>0</v>
      </c>
      <c r="AD77" s="80">
        <f>AC$8*'Mkt share'!$E$85</f>
        <v>0</v>
      </c>
      <c r="AE77" s="88">
        <f>AC$11*'Mkt share'!$E$85</f>
        <v>0</v>
      </c>
      <c r="AH77" s="87" t="s">
        <v>172</v>
      </c>
      <c r="AI77" s="103"/>
      <c r="AJ77" s="103"/>
      <c r="AK77" s="80">
        <f>AK$7*'Mkt share'!$E$86</f>
        <v>0</v>
      </c>
      <c r="AL77" s="80">
        <f>AK$8*'Mkt share'!$E$86</f>
        <v>0</v>
      </c>
      <c r="AM77" s="88">
        <f>AK$11*'Mkt share'!$E$86</f>
        <v>0</v>
      </c>
      <c r="AP77" s="87" t="s">
        <v>172</v>
      </c>
      <c r="AQ77" s="103"/>
      <c r="AR77" s="103"/>
      <c r="AS77" s="80">
        <f>AS$7*'Mkt share'!$E$87</f>
        <v>0</v>
      </c>
      <c r="AT77" s="80">
        <f>AS$8*'Mkt share'!$E$87</f>
        <v>0</v>
      </c>
      <c r="AU77" s="88">
        <f>AS$11*'Mkt share'!$E$87</f>
        <v>0</v>
      </c>
      <c r="AX77" s="87" t="s">
        <v>172</v>
      </c>
      <c r="AY77" s="103"/>
      <c r="AZ77" s="103"/>
      <c r="BA77" s="80">
        <f>BA$7*'Mkt share'!$E$88</f>
        <v>0</v>
      </c>
      <c r="BB77" s="80">
        <f>BA$8*'Mkt share'!$E$88</f>
        <v>0</v>
      </c>
      <c r="BC77" s="88">
        <f>BA$11*'Mkt share'!$E$88</f>
        <v>0</v>
      </c>
      <c r="BF77" s="87" t="s">
        <v>172</v>
      </c>
      <c r="BG77" s="103"/>
      <c r="BH77" s="103"/>
      <c r="BI77" s="80">
        <f>BI$7*'Mkt share'!$E$89</f>
        <v>0</v>
      </c>
      <c r="BJ77" s="80">
        <f>BI$8*'Mkt share'!$E$89</f>
        <v>0</v>
      </c>
      <c r="BK77" s="88">
        <f>BI$11*'Mkt share'!$E$89</f>
        <v>0</v>
      </c>
      <c r="BN77" s="87" t="s">
        <v>172</v>
      </c>
      <c r="BO77" s="103"/>
      <c r="BP77" s="103"/>
      <c r="BQ77" s="80">
        <f>BQ$7*'Mkt share'!$E$90</f>
        <v>0</v>
      </c>
      <c r="BR77" s="80">
        <f>BQ$8*'Mkt share'!$E$90</f>
        <v>0</v>
      </c>
      <c r="BS77" s="88">
        <f>BQ$11*'Mkt share'!$E$90</f>
        <v>0</v>
      </c>
      <c r="BV77" s="87" t="s">
        <v>172</v>
      </c>
      <c r="BW77" s="103"/>
      <c r="BX77" s="103"/>
      <c r="BY77" s="80">
        <f>BY$7*'Mkt share'!$E$91</f>
        <v>0</v>
      </c>
      <c r="BZ77" s="80">
        <f>BY$8*'Mkt share'!$E$91</f>
        <v>0</v>
      </c>
      <c r="CA77" s="88">
        <f>BY$11*'Mkt share'!$E$91</f>
        <v>0</v>
      </c>
      <c r="CD77" s="87" t="s">
        <v>172</v>
      </c>
      <c r="CE77" s="103"/>
      <c r="CF77" s="103"/>
      <c r="CG77" s="80">
        <f>CG$7*'Mkt share'!$E$92</f>
        <v>0</v>
      </c>
      <c r="CH77" s="80">
        <f>CG$8*'Mkt share'!$E$92</f>
        <v>0</v>
      </c>
      <c r="CI77" s="88">
        <f>CG$11*'Mkt share'!$E$92</f>
        <v>0</v>
      </c>
      <c r="CL77" s="87" t="s">
        <v>172</v>
      </c>
      <c r="CM77" s="103"/>
      <c r="CN77" s="103"/>
      <c r="CO77" s="80">
        <f>CO$7*'Mkt share'!$E$93</f>
        <v>0</v>
      </c>
      <c r="CP77" s="80">
        <f>CO$8*'Mkt share'!$E$93</f>
        <v>0</v>
      </c>
      <c r="CQ77" s="88">
        <f>CO$11*'Mkt share'!$E$93</f>
        <v>0</v>
      </c>
      <c r="CT77" s="87" t="s">
        <v>172</v>
      </c>
      <c r="CU77" s="103"/>
      <c r="CV77" s="103"/>
      <c r="CW77" s="80">
        <f>CW$7*'Mkt share'!$E$94</f>
        <v>0</v>
      </c>
      <c r="CX77" s="80">
        <f>CW$8*'Mkt share'!$E$94</f>
        <v>0</v>
      </c>
      <c r="CY77" s="88">
        <f>CW$11*'Mkt share'!$E$94</f>
        <v>0</v>
      </c>
      <c r="DB77" s="87" t="s">
        <v>172</v>
      </c>
      <c r="DC77" s="103"/>
      <c r="DD77" s="103"/>
      <c r="DE77" s="80">
        <f>DE$7*'Mkt share'!$E$95</f>
        <v>0</v>
      </c>
      <c r="DF77" s="80">
        <f>DE$8*'Mkt share'!$E$95</f>
        <v>0</v>
      </c>
      <c r="DG77" s="88">
        <f>DE$11*'Mkt share'!$E$95</f>
        <v>0</v>
      </c>
    </row>
    <row r="78" spans="2:111">
      <c r="B78" s="87" t="s">
        <v>177</v>
      </c>
      <c r="C78" s="103"/>
      <c r="D78" s="103"/>
      <c r="E78" s="105">
        <v>0</v>
      </c>
      <c r="F78" s="80">
        <f>E$10*'Mkt share'!$E$82</f>
        <v>0</v>
      </c>
      <c r="G78" s="88">
        <f>E$13*'Mkt share'!$E$82</f>
        <v>0</v>
      </c>
      <c r="J78" s="87" t="s">
        <v>177</v>
      </c>
      <c r="K78" s="103"/>
      <c r="L78" s="103"/>
      <c r="M78" s="105">
        <v>0</v>
      </c>
      <c r="N78" s="80">
        <f>M$10*'Mkt share'!$E$83</f>
        <v>0</v>
      </c>
      <c r="O78" s="88">
        <f>M$13*'Mkt share'!$E$83</f>
        <v>0</v>
      </c>
      <c r="R78" s="87" t="s">
        <v>177</v>
      </c>
      <c r="S78" s="103"/>
      <c r="T78" s="103"/>
      <c r="U78" s="105">
        <v>0</v>
      </c>
      <c r="V78" s="80">
        <f>U$10*'Mkt share'!$E$84</f>
        <v>0</v>
      </c>
      <c r="W78" s="88">
        <f>U$13*'Mkt share'!$E$84</f>
        <v>0</v>
      </c>
      <c r="Z78" s="87" t="s">
        <v>177</v>
      </c>
      <c r="AA78" s="103"/>
      <c r="AB78" s="103"/>
      <c r="AC78" s="105">
        <v>0</v>
      </c>
      <c r="AD78" s="80">
        <f>AC$10*'Mkt share'!$E$85</f>
        <v>0</v>
      </c>
      <c r="AE78" s="88">
        <f>AC$13*'Mkt share'!$E$85</f>
        <v>0</v>
      </c>
      <c r="AH78" s="87" t="s">
        <v>177</v>
      </c>
      <c r="AI78" s="103"/>
      <c r="AJ78" s="103"/>
      <c r="AK78" s="105">
        <v>0</v>
      </c>
      <c r="AL78" s="80">
        <f>AK$10*'Mkt share'!$E$86</f>
        <v>0</v>
      </c>
      <c r="AM78" s="88">
        <f>AK$13*'Mkt share'!$E$86</f>
        <v>0</v>
      </c>
      <c r="AP78" s="87" t="s">
        <v>177</v>
      </c>
      <c r="AQ78" s="103"/>
      <c r="AR78" s="103"/>
      <c r="AS78" s="105">
        <v>0</v>
      </c>
      <c r="AT78" s="80">
        <f>AS$10*'Mkt share'!$E$87</f>
        <v>0</v>
      </c>
      <c r="AU78" s="88">
        <f>AS$13*'Mkt share'!$E$87</f>
        <v>0</v>
      </c>
      <c r="AX78" s="87" t="s">
        <v>177</v>
      </c>
      <c r="AY78" s="103"/>
      <c r="AZ78" s="103"/>
      <c r="BA78" s="105">
        <v>0</v>
      </c>
      <c r="BB78" s="80">
        <f>BA$10*'Mkt share'!$E$88</f>
        <v>0</v>
      </c>
      <c r="BC78" s="88">
        <f>BA$13*'Mkt share'!$E$88</f>
        <v>0</v>
      </c>
      <c r="BF78" s="87" t="s">
        <v>177</v>
      </c>
      <c r="BG78" s="103"/>
      <c r="BH78" s="103"/>
      <c r="BI78" s="105">
        <v>0</v>
      </c>
      <c r="BJ78" s="80">
        <f>BI$10*'Mkt share'!$E$89</f>
        <v>0</v>
      </c>
      <c r="BK78" s="88">
        <f>BI$13*'Mkt share'!$E$89</f>
        <v>0</v>
      </c>
      <c r="BN78" s="87" t="s">
        <v>177</v>
      </c>
      <c r="BO78" s="103"/>
      <c r="BP78" s="103"/>
      <c r="BQ78" s="105">
        <v>0</v>
      </c>
      <c r="BR78" s="80">
        <f>BQ$10*'Mkt share'!$E$90</f>
        <v>0</v>
      </c>
      <c r="BS78" s="88">
        <f>BQ$13*'Mkt share'!$E$90</f>
        <v>0</v>
      </c>
      <c r="BV78" s="87" t="s">
        <v>177</v>
      </c>
      <c r="BW78" s="103"/>
      <c r="BX78" s="103"/>
      <c r="BY78" s="105">
        <v>0</v>
      </c>
      <c r="BZ78" s="80">
        <f>BY$10*'Mkt share'!$E$91</f>
        <v>0</v>
      </c>
      <c r="CA78" s="88">
        <f>BY$13*'Mkt share'!$E$91</f>
        <v>0</v>
      </c>
      <c r="CD78" s="87" t="s">
        <v>177</v>
      </c>
      <c r="CE78" s="103"/>
      <c r="CF78" s="103"/>
      <c r="CG78" s="105">
        <v>0</v>
      </c>
      <c r="CH78" s="80">
        <f>CG$10*'Mkt share'!$E$92</f>
        <v>0</v>
      </c>
      <c r="CI78" s="88">
        <f>CG$13*'Mkt share'!$E$92</f>
        <v>0</v>
      </c>
      <c r="CL78" s="87" t="s">
        <v>177</v>
      </c>
      <c r="CM78" s="103"/>
      <c r="CN78" s="103"/>
      <c r="CO78" s="105">
        <v>0</v>
      </c>
      <c r="CP78" s="80">
        <f>CO$10*'Mkt share'!$E$93</f>
        <v>0</v>
      </c>
      <c r="CQ78" s="88">
        <f>CO$13*'Mkt share'!$E$93</f>
        <v>0</v>
      </c>
      <c r="CT78" s="87" t="s">
        <v>177</v>
      </c>
      <c r="CU78" s="103"/>
      <c r="CV78" s="103"/>
      <c r="CW78" s="105">
        <v>0</v>
      </c>
      <c r="CX78" s="80">
        <f>CW$10*'Mkt share'!$E$94</f>
        <v>0</v>
      </c>
      <c r="CY78" s="88">
        <f>CW$13*'Mkt share'!$E$94</f>
        <v>0</v>
      </c>
      <c r="DB78" s="87" t="s">
        <v>177</v>
      </c>
      <c r="DC78" s="103"/>
      <c r="DD78" s="103"/>
      <c r="DE78" s="105">
        <v>0</v>
      </c>
      <c r="DF78" s="80">
        <f>DE$10*'Mkt share'!$E$95</f>
        <v>0</v>
      </c>
      <c r="DG78" s="88">
        <f>DE$13*'Mkt share'!$E$95</f>
        <v>0</v>
      </c>
    </row>
    <row r="79" spans="2:111">
      <c r="B79" s="87" t="s">
        <v>173</v>
      </c>
      <c r="C79" s="103"/>
      <c r="D79" s="103"/>
      <c r="E79" s="103"/>
      <c r="F79" s="80">
        <f>F$7*'Mkt share'!$F$82</f>
        <v>0</v>
      </c>
      <c r="G79" s="88">
        <f>F$8*'Mkt share'!$F$82</f>
        <v>0</v>
      </c>
      <c r="J79" s="87" t="s">
        <v>173</v>
      </c>
      <c r="K79" s="103"/>
      <c r="L79" s="103"/>
      <c r="M79" s="103"/>
      <c r="N79" s="80">
        <f>N$7*'Mkt share'!$F$83</f>
        <v>0</v>
      </c>
      <c r="O79" s="88">
        <f>N$8*'Mkt share'!$F$83</f>
        <v>0</v>
      </c>
      <c r="R79" s="87" t="s">
        <v>173</v>
      </c>
      <c r="S79" s="103"/>
      <c r="T79" s="103"/>
      <c r="U79" s="103"/>
      <c r="V79" s="80">
        <f>V$7*'Mkt share'!$F$84</f>
        <v>0</v>
      </c>
      <c r="W79" s="88">
        <f>V$8*'Mkt share'!$F$84</f>
        <v>0</v>
      </c>
      <c r="Z79" s="87" t="s">
        <v>173</v>
      </c>
      <c r="AA79" s="103"/>
      <c r="AB79" s="103"/>
      <c r="AC79" s="103"/>
      <c r="AD79" s="80">
        <f>AD$7*'Mkt share'!$F$85</f>
        <v>0</v>
      </c>
      <c r="AE79" s="88">
        <f>AD$8*'Mkt share'!$F$85</f>
        <v>0</v>
      </c>
      <c r="AH79" s="87" t="s">
        <v>173</v>
      </c>
      <c r="AI79" s="103"/>
      <c r="AJ79" s="103"/>
      <c r="AK79" s="103"/>
      <c r="AL79" s="80">
        <f>AL$7*'Mkt share'!$F$86</f>
        <v>0</v>
      </c>
      <c r="AM79" s="88">
        <f>AL$8*'Mkt share'!$F$86</f>
        <v>0</v>
      </c>
      <c r="AP79" s="87" t="s">
        <v>173</v>
      </c>
      <c r="AQ79" s="103"/>
      <c r="AR79" s="103"/>
      <c r="AS79" s="103"/>
      <c r="AT79" s="80">
        <f>AT$7*'Mkt share'!$F$87</f>
        <v>0</v>
      </c>
      <c r="AU79" s="88">
        <f>AT$8*'Mkt share'!$F$87</f>
        <v>0</v>
      </c>
      <c r="AX79" s="87" t="s">
        <v>173</v>
      </c>
      <c r="AY79" s="103"/>
      <c r="AZ79" s="103"/>
      <c r="BA79" s="103"/>
      <c r="BB79" s="80">
        <f>BB$7*'Mkt share'!$F$88</f>
        <v>0</v>
      </c>
      <c r="BC79" s="88">
        <f>BB$8*'Mkt share'!$F$88</f>
        <v>0</v>
      </c>
      <c r="BF79" s="87" t="s">
        <v>173</v>
      </c>
      <c r="BG79" s="103"/>
      <c r="BH79" s="103"/>
      <c r="BI79" s="103"/>
      <c r="BJ79" s="80">
        <f>BJ$7*'Mkt share'!$F$89</f>
        <v>0</v>
      </c>
      <c r="BK79" s="88">
        <f>BJ$8*'Mkt share'!$F$89</f>
        <v>0</v>
      </c>
      <c r="BN79" s="87" t="s">
        <v>173</v>
      </c>
      <c r="BO79" s="103"/>
      <c r="BP79" s="103"/>
      <c r="BQ79" s="103"/>
      <c r="BR79" s="80">
        <f>BR$7*'Mkt share'!$F$90</f>
        <v>0</v>
      </c>
      <c r="BS79" s="88">
        <f>BR$8*'Mkt share'!$F$90</f>
        <v>0</v>
      </c>
      <c r="BV79" s="87" t="s">
        <v>173</v>
      </c>
      <c r="BW79" s="103"/>
      <c r="BX79" s="103"/>
      <c r="BY79" s="103"/>
      <c r="BZ79" s="80">
        <f>BZ$7*'Mkt share'!$F$91</f>
        <v>0</v>
      </c>
      <c r="CA79" s="88">
        <f>BZ$8*'Mkt share'!$F$91</f>
        <v>0</v>
      </c>
      <c r="CD79" s="87" t="s">
        <v>173</v>
      </c>
      <c r="CE79" s="103"/>
      <c r="CF79" s="103"/>
      <c r="CG79" s="103"/>
      <c r="CH79" s="80">
        <f>CH$7*'Mkt share'!$F$92</f>
        <v>0</v>
      </c>
      <c r="CI79" s="88">
        <f>CH$8*'Mkt share'!$F$92</f>
        <v>0</v>
      </c>
      <c r="CL79" s="87" t="s">
        <v>173</v>
      </c>
      <c r="CM79" s="103"/>
      <c r="CN79" s="103"/>
      <c r="CO79" s="103"/>
      <c r="CP79" s="80">
        <f>CP$7*'Mkt share'!$F$93</f>
        <v>0</v>
      </c>
      <c r="CQ79" s="88">
        <f>CP$8*'Mkt share'!$F$93</f>
        <v>0</v>
      </c>
      <c r="CT79" s="87" t="s">
        <v>173</v>
      </c>
      <c r="CU79" s="103"/>
      <c r="CV79" s="103"/>
      <c r="CW79" s="103"/>
      <c r="CX79" s="80">
        <f>CX$7*'Mkt share'!$F$94</f>
        <v>0</v>
      </c>
      <c r="CY79" s="88">
        <f>CX$8*'Mkt share'!$F$94</f>
        <v>0</v>
      </c>
      <c r="DB79" s="87" t="s">
        <v>173</v>
      </c>
      <c r="DC79" s="103"/>
      <c r="DD79" s="103"/>
      <c r="DE79" s="103"/>
      <c r="DF79" s="80">
        <f>DF$7*'Mkt share'!$F$95</f>
        <v>0</v>
      </c>
      <c r="DG79" s="88">
        <f>DF$8*'Mkt share'!$F$95</f>
        <v>0</v>
      </c>
    </row>
    <row r="80" spans="2:111">
      <c r="B80" s="87" t="s">
        <v>178</v>
      </c>
      <c r="C80" s="103"/>
      <c r="D80" s="103"/>
      <c r="E80" s="103"/>
      <c r="F80" s="105">
        <v>0</v>
      </c>
      <c r="G80" s="88">
        <f>F$10*'Mkt share'!$F$82</f>
        <v>0</v>
      </c>
      <c r="J80" s="87" t="s">
        <v>178</v>
      </c>
      <c r="K80" s="103"/>
      <c r="L80" s="103"/>
      <c r="M80" s="103"/>
      <c r="N80" s="105">
        <v>0</v>
      </c>
      <c r="O80" s="88">
        <f>N$10*'Mkt share'!$F$83</f>
        <v>0</v>
      </c>
      <c r="R80" s="87" t="s">
        <v>178</v>
      </c>
      <c r="S80" s="103"/>
      <c r="T80" s="103"/>
      <c r="U80" s="103"/>
      <c r="V80" s="105">
        <v>0</v>
      </c>
      <c r="W80" s="88">
        <f>V$10*'Mkt share'!$F$84</f>
        <v>0</v>
      </c>
      <c r="Z80" s="87" t="s">
        <v>178</v>
      </c>
      <c r="AA80" s="103"/>
      <c r="AB80" s="103"/>
      <c r="AC80" s="103"/>
      <c r="AD80" s="105">
        <v>0</v>
      </c>
      <c r="AE80" s="88">
        <f>AD$10*'Mkt share'!$F$85</f>
        <v>0</v>
      </c>
      <c r="AH80" s="87" t="s">
        <v>178</v>
      </c>
      <c r="AI80" s="103"/>
      <c r="AJ80" s="103"/>
      <c r="AK80" s="103"/>
      <c r="AL80" s="105">
        <v>0</v>
      </c>
      <c r="AM80" s="88">
        <f>AL$10*'Mkt share'!$F$86</f>
        <v>0</v>
      </c>
      <c r="AP80" s="87" t="s">
        <v>178</v>
      </c>
      <c r="AQ80" s="103"/>
      <c r="AR80" s="103"/>
      <c r="AS80" s="103"/>
      <c r="AT80" s="105">
        <v>0</v>
      </c>
      <c r="AU80" s="88">
        <f>AT$10*'Mkt share'!$F$87</f>
        <v>0</v>
      </c>
      <c r="AX80" s="87" t="s">
        <v>178</v>
      </c>
      <c r="AY80" s="103"/>
      <c r="AZ80" s="103"/>
      <c r="BA80" s="103"/>
      <c r="BB80" s="105">
        <v>0</v>
      </c>
      <c r="BC80" s="88">
        <f>BB$10*'Mkt share'!$F$88</f>
        <v>0</v>
      </c>
      <c r="BF80" s="87" t="s">
        <v>178</v>
      </c>
      <c r="BG80" s="103"/>
      <c r="BH80" s="103"/>
      <c r="BI80" s="103"/>
      <c r="BJ80" s="105">
        <v>0</v>
      </c>
      <c r="BK80" s="88">
        <f>BJ$10*'Mkt share'!$F$89</f>
        <v>0</v>
      </c>
      <c r="BN80" s="87" t="s">
        <v>178</v>
      </c>
      <c r="BO80" s="103"/>
      <c r="BP80" s="103"/>
      <c r="BQ80" s="103"/>
      <c r="BR80" s="105">
        <v>0</v>
      </c>
      <c r="BS80" s="88">
        <f>BR$10*'Mkt share'!$F$90</f>
        <v>0</v>
      </c>
      <c r="BV80" s="87" t="s">
        <v>178</v>
      </c>
      <c r="BW80" s="103"/>
      <c r="BX80" s="103"/>
      <c r="BY80" s="103"/>
      <c r="BZ80" s="105">
        <v>0</v>
      </c>
      <c r="CA80" s="88">
        <f>BZ$10*'Mkt share'!$F$91</f>
        <v>0</v>
      </c>
      <c r="CD80" s="87" t="s">
        <v>178</v>
      </c>
      <c r="CE80" s="103"/>
      <c r="CF80" s="103"/>
      <c r="CG80" s="103"/>
      <c r="CH80" s="105">
        <v>0</v>
      </c>
      <c r="CI80" s="88">
        <f>CH$10*'Mkt share'!$F$92</f>
        <v>0</v>
      </c>
      <c r="CL80" s="87" t="s">
        <v>178</v>
      </c>
      <c r="CM80" s="103"/>
      <c r="CN80" s="103"/>
      <c r="CO80" s="103"/>
      <c r="CP80" s="105">
        <v>0</v>
      </c>
      <c r="CQ80" s="88">
        <f>CP$10*'Mkt share'!$F$93</f>
        <v>0</v>
      </c>
      <c r="CT80" s="87" t="s">
        <v>178</v>
      </c>
      <c r="CU80" s="103"/>
      <c r="CV80" s="103"/>
      <c r="CW80" s="103"/>
      <c r="CX80" s="105">
        <v>0</v>
      </c>
      <c r="CY80" s="88">
        <f>CX$10*'Mkt share'!$F$94</f>
        <v>0</v>
      </c>
      <c r="DB80" s="87" t="s">
        <v>178</v>
      </c>
      <c r="DC80" s="103"/>
      <c r="DD80" s="103"/>
      <c r="DE80" s="103"/>
      <c r="DF80" s="105">
        <v>0</v>
      </c>
      <c r="DG80" s="88">
        <f>DF$10*'Mkt share'!$F$95</f>
        <v>0</v>
      </c>
    </row>
    <row r="81" spans="2:113">
      <c r="B81" s="87" t="s">
        <v>174</v>
      </c>
      <c r="C81" s="103"/>
      <c r="D81" s="103"/>
      <c r="E81" s="103"/>
      <c r="F81" s="103"/>
      <c r="G81" s="88">
        <f>G$7*'Mkt share'!$G$82</f>
        <v>0</v>
      </c>
      <c r="J81" s="87" t="s">
        <v>174</v>
      </c>
      <c r="K81" s="103"/>
      <c r="L81" s="103"/>
      <c r="M81" s="103"/>
      <c r="N81" s="103"/>
      <c r="O81" s="88">
        <f>O$7*'Mkt share'!$G$83</f>
        <v>0</v>
      </c>
      <c r="R81" s="87" t="s">
        <v>174</v>
      </c>
      <c r="S81" s="103"/>
      <c r="T81" s="103"/>
      <c r="U81" s="103"/>
      <c r="V81" s="103"/>
      <c r="W81" s="88">
        <f>W$7*'Mkt share'!$G$84</f>
        <v>0</v>
      </c>
      <c r="Z81" s="87" t="s">
        <v>174</v>
      </c>
      <c r="AA81" s="103"/>
      <c r="AB81" s="103"/>
      <c r="AC81" s="103"/>
      <c r="AD81" s="103"/>
      <c r="AE81" s="88">
        <f>AE$7*'Mkt share'!$G$85</f>
        <v>0</v>
      </c>
      <c r="AH81" s="87" t="s">
        <v>174</v>
      </c>
      <c r="AI81" s="103"/>
      <c r="AJ81" s="103"/>
      <c r="AK81" s="103"/>
      <c r="AL81" s="103"/>
      <c r="AM81" s="88">
        <f>AM$7*'Mkt share'!$G$86</f>
        <v>0</v>
      </c>
      <c r="AP81" s="87" t="s">
        <v>174</v>
      </c>
      <c r="AQ81" s="103"/>
      <c r="AR81" s="103"/>
      <c r="AS81" s="103"/>
      <c r="AT81" s="103"/>
      <c r="AU81" s="88">
        <f>AU$7*'Mkt share'!$G$87</f>
        <v>0</v>
      </c>
      <c r="AX81" s="87" t="s">
        <v>174</v>
      </c>
      <c r="AY81" s="103"/>
      <c r="AZ81" s="103"/>
      <c r="BA81" s="103"/>
      <c r="BB81" s="103"/>
      <c r="BC81" s="88">
        <f>BC$7*'Mkt share'!$G$88</f>
        <v>0</v>
      </c>
      <c r="BF81" s="87" t="s">
        <v>174</v>
      </c>
      <c r="BG81" s="103"/>
      <c r="BH81" s="103"/>
      <c r="BI81" s="103"/>
      <c r="BJ81" s="103"/>
      <c r="BK81" s="88">
        <f>BK$7*'Mkt share'!$G$89</f>
        <v>0</v>
      </c>
      <c r="BN81" s="87" t="s">
        <v>174</v>
      </c>
      <c r="BO81" s="103"/>
      <c r="BP81" s="103"/>
      <c r="BQ81" s="103"/>
      <c r="BR81" s="103"/>
      <c r="BS81" s="88">
        <f>BS$7*'Mkt share'!$G$90</f>
        <v>0</v>
      </c>
      <c r="BV81" s="87" t="s">
        <v>174</v>
      </c>
      <c r="BW81" s="103"/>
      <c r="BX81" s="103"/>
      <c r="BY81" s="103"/>
      <c r="BZ81" s="103"/>
      <c r="CA81" s="88">
        <f>CA$7*'Mkt share'!$G$91</f>
        <v>0</v>
      </c>
      <c r="CD81" s="87" t="s">
        <v>174</v>
      </c>
      <c r="CE81" s="103"/>
      <c r="CF81" s="103"/>
      <c r="CG81" s="103"/>
      <c r="CH81" s="103"/>
      <c r="CI81" s="88">
        <f>CI$7*'Mkt share'!$G$92</f>
        <v>0</v>
      </c>
      <c r="CL81" s="87" t="s">
        <v>174</v>
      </c>
      <c r="CM81" s="103"/>
      <c r="CN81" s="103"/>
      <c r="CO81" s="103"/>
      <c r="CP81" s="103"/>
      <c r="CQ81" s="88">
        <f>CQ$7*'Mkt share'!$G$93</f>
        <v>0</v>
      </c>
      <c r="CT81" s="87" t="s">
        <v>174</v>
      </c>
      <c r="CU81" s="103"/>
      <c r="CV81" s="103"/>
      <c r="CW81" s="103"/>
      <c r="CX81" s="103"/>
      <c r="CY81" s="88">
        <f>CY$7*'Mkt share'!$G$94</f>
        <v>0</v>
      </c>
      <c r="DB81" s="87" t="s">
        <v>174</v>
      </c>
      <c r="DC81" s="103"/>
      <c r="DD81" s="103"/>
      <c r="DE81" s="103"/>
      <c r="DF81" s="103"/>
      <c r="DG81" s="88">
        <f>DG$7*'Mkt share'!$G$95</f>
        <v>0</v>
      </c>
    </row>
    <row r="82" spans="2:113" ht="15" thickBot="1">
      <c r="B82" s="87" t="s">
        <v>179</v>
      </c>
      <c r="C82" s="103"/>
      <c r="D82" s="103"/>
      <c r="E82" s="103"/>
      <c r="F82" s="103"/>
      <c r="G82" s="106">
        <v>0</v>
      </c>
      <c r="J82" s="87" t="s">
        <v>179</v>
      </c>
      <c r="K82" s="103"/>
      <c r="L82" s="103"/>
      <c r="M82" s="103"/>
      <c r="N82" s="103"/>
      <c r="O82" s="106">
        <v>0</v>
      </c>
      <c r="R82" s="87" t="s">
        <v>179</v>
      </c>
      <c r="S82" s="103"/>
      <c r="T82" s="103"/>
      <c r="U82" s="103"/>
      <c r="V82" s="103"/>
      <c r="W82" s="106">
        <v>0</v>
      </c>
      <c r="Z82" s="87" t="s">
        <v>179</v>
      </c>
      <c r="AA82" s="103"/>
      <c r="AB82" s="103"/>
      <c r="AC82" s="103"/>
      <c r="AD82" s="103"/>
      <c r="AE82" s="106">
        <v>0</v>
      </c>
      <c r="AH82" s="87" t="s">
        <v>179</v>
      </c>
      <c r="AI82" s="103"/>
      <c r="AJ82" s="103"/>
      <c r="AK82" s="103"/>
      <c r="AL82" s="103"/>
      <c r="AM82" s="106">
        <v>0</v>
      </c>
      <c r="AP82" s="87" t="s">
        <v>179</v>
      </c>
      <c r="AQ82" s="103"/>
      <c r="AR82" s="103"/>
      <c r="AS82" s="103"/>
      <c r="AT82" s="103"/>
      <c r="AU82" s="106">
        <v>0</v>
      </c>
      <c r="AX82" s="87" t="s">
        <v>179</v>
      </c>
      <c r="AY82" s="103"/>
      <c r="AZ82" s="103"/>
      <c r="BA82" s="103"/>
      <c r="BB82" s="103"/>
      <c r="BC82" s="106">
        <v>0</v>
      </c>
      <c r="BF82" s="87" t="s">
        <v>179</v>
      </c>
      <c r="BG82" s="103"/>
      <c r="BH82" s="103"/>
      <c r="BI82" s="103"/>
      <c r="BJ82" s="103"/>
      <c r="BK82" s="106">
        <v>0</v>
      </c>
      <c r="BN82" s="87" t="s">
        <v>179</v>
      </c>
      <c r="BO82" s="103"/>
      <c r="BP82" s="103"/>
      <c r="BQ82" s="103"/>
      <c r="BR82" s="103"/>
      <c r="BS82" s="106">
        <v>0</v>
      </c>
      <c r="BV82" s="87" t="s">
        <v>179</v>
      </c>
      <c r="BW82" s="103"/>
      <c r="BX82" s="103"/>
      <c r="BY82" s="103"/>
      <c r="BZ82" s="103"/>
      <c r="CA82" s="106">
        <v>0</v>
      </c>
      <c r="CD82" s="87" t="s">
        <v>179</v>
      </c>
      <c r="CE82" s="103"/>
      <c r="CF82" s="103"/>
      <c r="CG82" s="103"/>
      <c r="CH82" s="103"/>
      <c r="CI82" s="106">
        <v>0</v>
      </c>
      <c r="CL82" s="87" t="s">
        <v>179</v>
      </c>
      <c r="CM82" s="103"/>
      <c r="CN82" s="103"/>
      <c r="CO82" s="103"/>
      <c r="CP82" s="103"/>
      <c r="CQ82" s="106">
        <v>0</v>
      </c>
      <c r="CT82" s="87" t="s">
        <v>179</v>
      </c>
      <c r="CU82" s="103"/>
      <c r="CV82" s="103"/>
      <c r="CW82" s="103"/>
      <c r="CX82" s="103"/>
      <c r="CY82" s="106">
        <v>0</v>
      </c>
      <c r="DB82" s="87" t="s">
        <v>179</v>
      </c>
      <c r="DC82" s="103"/>
      <c r="DD82" s="103"/>
      <c r="DE82" s="103"/>
      <c r="DF82" s="103"/>
      <c r="DG82" s="106">
        <v>0</v>
      </c>
    </row>
    <row r="83" spans="2:113" ht="15" thickBot="1">
      <c r="B83" s="89" t="s">
        <v>114</v>
      </c>
      <c r="C83" s="90">
        <f>SUM(C73:C82)</f>
        <v>0</v>
      </c>
      <c r="D83" s="90">
        <f>SUM(D73:D81)</f>
        <v>0</v>
      </c>
      <c r="E83" s="90">
        <f>SUM(E73:E81)</f>
        <v>0</v>
      </c>
      <c r="F83" s="90">
        <f>SUM(F73:F81)</f>
        <v>0</v>
      </c>
      <c r="G83" s="91">
        <f>SUM(G73:G82)</f>
        <v>0</v>
      </c>
      <c r="J83" s="89" t="s">
        <v>114</v>
      </c>
      <c r="K83" s="90">
        <f>SUM(K73:K82)</f>
        <v>0</v>
      </c>
      <c r="L83" s="90">
        <f>SUM(L73:L81)</f>
        <v>0</v>
      </c>
      <c r="M83" s="90">
        <f>SUM(M73:M81)</f>
        <v>0</v>
      </c>
      <c r="N83" s="90">
        <f>SUM(N73:N81)</f>
        <v>0</v>
      </c>
      <c r="O83" s="91">
        <f>SUM(O73:O82)</f>
        <v>0</v>
      </c>
      <c r="R83" s="89" t="s">
        <v>114</v>
      </c>
      <c r="S83" s="90">
        <f>SUM(S73:S82)</f>
        <v>0</v>
      </c>
      <c r="T83" s="90">
        <f>SUM(T73:T81)</f>
        <v>0</v>
      </c>
      <c r="U83" s="90">
        <f>SUM(U73:U81)</f>
        <v>0</v>
      </c>
      <c r="V83" s="90">
        <f>SUM(V73:V81)</f>
        <v>0</v>
      </c>
      <c r="W83" s="91">
        <f>SUM(W73:W82)</f>
        <v>0</v>
      </c>
      <c r="Z83" s="89" t="s">
        <v>114</v>
      </c>
      <c r="AA83" s="90">
        <f>SUM(AA73:AA82)</f>
        <v>0</v>
      </c>
      <c r="AB83" s="90">
        <f>SUM(AB73:AB81)</f>
        <v>0</v>
      </c>
      <c r="AC83" s="90">
        <f>SUM(AC73:AC81)</f>
        <v>0</v>
      </c>
      <c r="AD83" s="90">
        <f>SUM(AD73:AD81)</f>
        <v>0</v>
      </c>
      <c r="AE83" s="91">
        <f>SUM(AE73:AE82)</f>
        <v>0</v>
      </c>
      <c r="AH83" s="89" t="s">
        <v>114</v>
      </c>
      <c r="AI83" s="90">
        <f>SUM(AI73:AI82)</f>
        <v>0</v>
      </c>
      <c r="AJ83" s="90">
        <f>SUM(AJ73:AJ81)</f>
        <v>0</v>
      </c>
      <c r="AK83" s="90">
        <f>SUM(AK73:AK81)</f>
        <v>0</v>
      </c>
      <c r="AL83" s="90">
        <f>SUM(AL73:AL81)</f>
        <v>0</v>
      </c>
      <c r="AM83" s="91">
        <f>SUM(AM73:AM82)</f>
        <v>0</v>
      </c>
      <c r="AP83" s="89" t="s">
        <v>114</v>
      </c>
      <c r="AQ83" s="90">
        <f>SUM(AQ73:AQ82)</f>
        <v>0</v>
      </c>
      <c r="AR83" s="90">
        <f>SUM(AR73:AR81)</f>
        <v>0</v>
      </c>
      <c r="AS83" s="90">
        <f>SUM(AS73:AS81)</f>
        <v>0</v>
      </c>
      <c r="AT83" s="90">
        <f>SUM(AT73:AT81)</f>
        <v>0</v>
      </c>
      <c r="AU83" s="91">
        <f>SUM(AU73:AU82)</f>
        <v>0</v>
      </c>
      <c r="AX83" s="89" t="s">
        <v>114</v>
      </c>
      <c r="AY83" s="90">
        <f>SUM(AY73:AY82)</f>
        <v>0</v>
      </c>
      <c r="AZ83" s="90">
        <f>SUM(AZ73:AZ81)</f>
        <v>0</v>
      </c>
      <c r="BA83" s="90">
        <f>SUM(BA73:BA81)</f>
        <v>0</v>
      </c>
      <c r="BB83" s="90">
        <f>SUM(BB73:BB81)</f>
        <v>0</v>
      </c>
      <c r="BC83" s="91">
        <f>SUM(BC73:BC82)</f>
        <v>0</v>
      </c>
      <c r="BF83" s="89" t="s">
        <v>114</v>
      </c>
      <c r="BG83" s="90">
        <f>SUM(BG73:BG82)</f>
        <v>0</v>
      </c>
      <c r="BH83" s="90">
        <f>SUM(BH73:BH81)</f>
        <v>0</v>
      </c>
      <c r="BI83" s="90">
        <f>SUM(BI73:BI81)</f>
        <v>0</v>
      </c>
      <c r="BJ83" s="90">
        <f>SUM(BJ73:BJ81)</f>
        <v>0</v>
      </c>
      <c r="BK83" s="91">
        <f>SUM(BK73:BK82)</f>
        <v>0</v>
      </c>
      <c r="BN83" s="89" t="s">
        <v>114</v>
      </c>
      <c r="BO83" s="90">
        <f>SUM(BO73:BO82)</f>
        <v>0</v>
      </c>
      <c r="BP83" s="90">
        <f>SUM(BP73:BP81)</f>
        <v>0</v>
      </c>
      <c r="BQ83" s="90">
        <f>SUM(BQ73:BQ81)</f>
        <v>0</v>
      </c>
      <c r="BR83" s="90">
        <f>SUM(BR73:BR81)</f>
        <v>0</v>
      </c>
      <c r="BS83" s="91">
        <f>SUM(BS73:BS82)</f>
        <v>0</v>
      </c>
      <c r="BV83" s="89" t="s">
        <v>114</v>
      </c>
      <c r="BW83" s="90">
        <f>SUM(BW73:BW82)</f>
        <v>0</v>
      </c>
      <c r="BX83" s="90">
        <f>SUM(BX73:BX81)</f>
        <v>0</v>
      </c>
      <c r="BY83" s="90">
        <f>SUM(BY73:BY81)</f>
        <v>0</v>
      </c>
      <c r="BZ83" s="90">
        <f>SUM(BZ73:BZ81)</f>
        <v>0</v>
      </c>
      <c r="CA83" s="91">
        <f>SUM(CA73:CA82)</f>
        <v>0</v>
      </c>
      <c r="CD83" s="89" t="s">
        <v>114</v>
      </c>
      <c r="CE83" s="90">
        <f>SUM(CE73:CE82)</f>
        <v>0</v>
      </c>
      <c r="CF83" s="90">
        <f>SUM(CF73:CF81)</f>
        <v>0</v>
      </c>
      <c r="CG83" s="90">
        <f>SUM(CG73:CG81)</f>
        <v>0</v>
      </c>
      <c r="CH83" s="90">
        <f>SUM(CH73:CH81)</f>
        <v>0</v>
      </c>
      <c r="CI83" s="91">
        <f>SUM(CI73:CI82)</f>
        <v>0</v>
      </c>
      <c r="CL83" s="89" t="s">
        <v>114</v>
      </c>
      <c r="CM83" s="90">
        <f>SUM(CM73:CM82)</f>
        <v>0</v>
      </c>
      <c r="CN83" s="90">
        <f>SUM(CN73:CN81)</f>
        <v>0</v>
      </c>
      <c r="CO83" s="90">
        <f>SUM(CO73:CO81)</f>
        <v>0</v>
      </c>
      <c r="CP83" s="90">
        <f>SUM(CP73:CP81)</f>
        <v>0</v>
      </c>
      <c r="CQ83" s="91">
        <f>SUM(CQ73:CQ82)</f>
        <v>0</v>
      </c>
      <c r="CT83" s="89" t="s">
        <v>114</v>
      </c>
      <c r="CU83" s="90">
        <f>SUM(CU73:CU82)</f>
        <v>0</v>
      </c>
      <c r="CV83" s="90">
        <f>SUM(CV73:CV81)</f>
        <v>0</v>
      </c>
      <c r="CW83" s="90">
        <f>SUM(CW73:CW81)</f>
        <v>0</v>
      </c>
      <c r="CX83" s="90">
        <f>SUM(CX73:CX81)</f>
        <v>0</v>
      </c>
      <c r="CY83" s="91">
        <f>SUM(CY73:CY82)</f>
        <v>0</v>
      </c>
      <c r="DB83" s="89" t="s">
        <v>114</v>
      </c>
      <c r="DC83" s="90">
        <f>SUM(DC73:DC82)</f>
        <v>0</v>
      </c>
      <c r="DD83" s="90">
        <f>SUM(DD73:DD81)</f>
        <v>0</v>
      </c>
      <c r="DE83" s="90">
        <f>SUM(DE73:DE81)</f>
        <v>0</v>
      </c>
      <c r="DF83" s="90">
        <f>SUM(DF73:DF81)</f>
        <v>0</v>
      </c>
      <c r="DG83" s="91">
        <f>SUM(DG73:DG82)</f>
        <v>0</v>
      </c>
    </row>
    <row r="84" spans="2:113">
      <c r="B84" s="80" t="s">
        <v>206</v>
      </c>
      <c r="C84" s="92">
        <f>C73+C75+C77+C79+C81</f>
        <v>0</v>
      </c>
      <c r="D84" s="92">
        <f t="shared" ref="D84:G84" si="244">D73+D75+D77+D79+D81</f>
        <v>0</v>
      </c>
      <c r="E84" s="92">
        <f t="shared" si="244"/>
        <v>0</v>
      </c>
      <c r="F84" s="92">
        <f t="shared" si="244"/>
        <v>0</v>
      </c>
      <c r="G84" s="92">
        <f t="shared" si="244"/>
        <v>0</v>
      </c>
      <c r="J84" s="80" t="s">
        <v>206</v>
      </c>
      <c r="K84" s="92">
        <f>K73+K75+K77+K79+K81</f>
        <v>0</v>
      </c>
      <c r="L84" s="92">
        <f t="shared" ref="L84:O84" si="245">L73+L75+L77+L79+L81</f>
        <v>0</v>
      </c>
      <c r="M84" s="92">
        <f t="shared" si="245"/>
        <v>0</v>
      </c>
      <c r="N84" s="92">
        <f t="shared" si="245"/>
        <v>0</v>
      </c>
      <c r="O84" s="92">
        <f t="shared" si="245"/>
        <v>0</v>
      </c>
      <c r="R84" s="80" t="s">
        <v>206</v>
      </c>
      <c r="S84" s="92">
        <f>S73+S75+S77+S79+S81</f>
        <v>0</v>
      </c>
      <c r="T84" s="92">
        <f t="shared" ref="T84:W84" si="246">T73+T75+T77+T79+T81</f>
        <v>0</v>
      </c>
      <c r="U84" s="92">
        <f t="shared" si="246"/>
        <v>0</v>
      </c>
      <c r="V84" s="92">
        <f t="shared" si="246"/>
        <v>0</v>
      </c>
      <c r="W84" s="92">
        <f t="shared" si="246"/>
        <v>0</v>
      </c>
      <c r="Z84" s="80" t="s">
        <v>206</v>
      </c>
      <c r="AA84" s="92">
        <f>AA73+AA75+AA77+AA79+AA81</f>
        <v>0</v>
      </c>
      <c r="AB84" s="92">
        <f t="shared" ref="AB84:AE84" si="247">AB73+AB75+AB77+AB79+AB81</f>
        <v>0</v>
      </c>
      <c r="AC84" s="92">
        <f t="shared" si="247"/>
        <v>0</v>
      </c>
      <c r="AD84" s="92">
        <f t="shared" si="247"/>
        <v>0</v>
      </c>
      <c r="AE84" s="92">
        <f t="shared" si="247"/>
        <v>0</v>
      </c>
      <c r="AH84" s="80" t="s">
        <v>206</v>
      </c>
      <c r="AI84" s="92">
        <f>AI73+AI75+AI77+AI79+AI81</f>
        <v>0</v>
      </c>
      <c r="AJ84" s="92">
        <f t="shared" ref="AJ84:AM84" si="248">AJ73+AJ75+AJ77+AJ79+AJ81</f>
        <v>0</v>
      </c>
      <c r="AK84" s="92">
        <f t="shared" si="248"/>
        <v>0</v>
      </c>
      <c r="AL84" s="92">
        <f t="shared" si="248"/>
        <v>0</v>
      </c>
      <c r="AM84" s="92">
        <f t="shared" si="248"/>
        <v>0</v>
      </c>
      <c r="AP84" s="80" t="s">
        <v>206</v>
      </c>
      <c r="AQ84" s="92">
        <f>AQ73+AQ75+AQ77+AQ79+AQ81</f>
        <v>0</v>
      </c>
      <c r="AR84" s="92">
        <f t="shared" ref="AR84:AU84" si="249">AR73+AR75+AR77+AR79+AR81</f>
        <v>0</v>
      </c>
      <c r="AS84" s="92">
        <f t="shared" si="249"/>
        <v>0</v>
      </c>
      <c r="AT84" s="92">
        <f t="shared" si="249"/>
        <v>0</v>
      </c>
      <c r="AU84" s="92">
        <f t="shared" si="249"/>
        <v>0</v>
      </c>
      <c r="AX84" s="80" t="s">
        <v>206</v>
      </c>
      <c r="AY84" s="92">
        <f>AY73+AY75+AY77+AY79+AY81</f>
        <v>0</v>
      </c>
      <c r="AZ84" s="92">
        <f t="shared" ref="AZ84:BC84" si="250">AZ73+AZ75+AZ77+AZ79+AZ81</f>
        <v>0</v>
      </c>
      <c r="BA84" s="92">
        <f t="shared" si="250"/>
        <v>0</v>
      </c>
      <c r="BB84" s="92">
        <f t="shared" si="250"/>
        <v>0</v>
      </c>
      <c r="BC84" s="92">
        <f t="shared" si="250"/>
        <v>0</v>
      </c>
      <c r="BF84" s="80" t="s">
        <v>206</v>
      </c>
      <c r="BG84" s="92">
        <f>BG73+BG75+BG77+BG79+BG81</f>
        <v>0</v>
      </c>
      <c r="BH84" s="92">
        <f t="shared" ref="BH84:BK84" si="251">BH73+BH75+BH77+BH79+BH81</f>
        <v>0</v>
      </c>
      <c r="BI84" s="92">
        <f t="shared" si="251"/>
        <v>0</v>
      </c>
      <c r="BJ84" s="92">
        <f t="shared" si="251"/>
        <v>0</v>
      </c>
      <c r="BK84" s="92">
        <f t="shared" si="251"/>
        <v>0</v>
      </c>
      <c r="BN84" s="80" t="s">
        <v>206</v>
      </c>
      <c r="BO84" s="92">
        <f>BO73+BO75+BO77+BO79+BO81</f>
        <v>0</v>
      </c>
      <c r="BP84" s="92">
        <f t="shared" ref="BP84:BS84" si="252">BP73+BP75+BP77+BP79+BP81</f>
        <v>0</v>
      </c>
      <c r="BQ84" s="92">
        <f t="shared" si="252"/>
        <v>0</v>
      </c>
      <c r="BR84" s="92">
        <f t="shared" si="252"/>
        <v>0</v>
      </c>
      <c r="BS84" s="92">
        <f t="shared" si="252"/>
        <v>0</v>
      </c>
      <c r="BV84" s="80" t="s">
        <v>206</v>
      </c>
      <c r="BW84" s="92">
        <f>BW73+BW75+BW77+BW79+BW81</f>
        <v>0</v>
      </c>
      <c r="BX84" s="92">
        <f t="shared" ref="BX84:CA84" si="253">BX73+BX75+BX77+BX79+BX81</f>
        <v>0</v>
      </c>
      <c r="BY84" s="92">
        <f t="shared" si="253"/>
        <v>0</v>
      </c>
      <c r="BZ84" s="92">
        <f t="shared" si="253"/>
        <v>0</v>
      </c>
      <c r="CA84" s="92">
        <f t="shared" si="253"/>
        <v>0</v>
      </c>
      <c r="CD84" s="80" t="s">
        <v>206</v>
      </c>
      <c r="CE84" s="92">
        <f>CE73+CE75+CE77+CE79+CE81</f>
        <v>0</v>
      </c>
      <c r="CF84" s="92">
        <f t="shared" ref="CF84:CI84" si="254">CF73+CF75+CF77+CF79+CF81</f>
        <v>0</v>
      </c>
      <c r="CG84" s="92">
        <f t="shared" si="254"/>
        <v>0</v>
      </c>
      <c r="CH84" s="92">
        <f t="shared" si="254"/>
        <v>0</v>
      </c>
      <c r="CI84" s="92">
        <f t="shared" si="254"/>
        <v>0</v>
      </c>
      <c r="CL84" s="80" t="s">
        <v>206</v>
      </c>
      <c r="CM84" s="92">
        <f>CM73+CM75+CM77+CM79+CM81</f>
        <v>0</v>
      </c>
      <c r="CN84" s="92">
        <f t="shared" ref="CN84:CQ84" si="255">CN73+CN75+CN77+CN79+CN81</f>
        <v>0</v>
      </c>
      <c r="CO84" s="92">
        <f t="shared" si="255"/>
        <v>0</v>
      </c>
      <c r="CP84" s="92">
        <f t="shared" si="255"/>
        <v>0</v>
      </c>
      <c r="CQ84" s="92">
        <f t="shared" si="255"/>
        <v>0</v>
      </c>
      <c r="CT84" s="80" t="s">
        <v>206</v>
      </c>
      <c r="CU84" s="92">
        <f>CU73+CU75+CU77+CU79+CU81</f>
        <v>0</v>
      </c>
      <c r="CV84" s="92">
        <f t="shared" ref="CV84:CY84" si="256">CV73+CV75+CV77+CV79+CV81</f>
        <v>0</v>
      </c>
      <c r="CW84" s="92">
        <f t="shared" si="256"/>
        <v>0</v>
      </c>
      <c r="CX84" s="92">
        <f t="shared" si="256"/>
        <v>0</v>
      </c>
      <c r="CY84" s="92">
        <f t="shared" si="256"/>
        <v>0</v>
      </c>
      <c r="DB84" s="80" t="s">
        <v>206</v>
      </c>
      <c r="DC84" s="92">
        <f>DC73+DC75+DC77+DC79+DC81</f>
        <v>0</v>
      </c>
      <c r="DD84" s="92">
        <f t="shared" ref="DD84:DG84" si="257">DD73+DD75+DD77+DD79+DD81</f>
        <v>0</v>
      </c>
      <c r="DE84" s="92">
        <f t="shared" si="257"/>
        <v>0</v>
      </c>
      <c r="DF84" s="92">
        <f t="shared" si="257"/>
        <v>0</v>
      </c>
      <c r="DG84" s="92">
        <f t="shared" si="257"/>
        <v>0</v>
      </c>
    </row>
    <row r="85" spans="2:113">
      <c r="B85" s="80" t="s">
        <v>208</v>
      </c>
      <c r="C85" s="92">
        <f>C74+C76+C78+C80+C82</f>
        <v>0</v>
      </c>
      <c r="D85" s="92">
        <f t="shared" ref="D85:G85" si="258">D74+D76+D78+D80+D82</f>
        <v>0</v>
      </c>
      <c r="E85" s="92">
        <f t="shared" si="258"/>
        <v>0</v>
      </c>
      <c r="F85" s="92">
        <f t="shared" si="258"/>
        <v>0</v>
      </c>
      <c r="G85" s="92">
        <f t="shared" si="258"/>
        <v>0</v>
      </c>
      <c r="J85" s="80" t="s">
        <v>208</v>
      </c>
      <c r="K85" s="92">
        <f>K74+K76+K78+K80+K82</f>
        <v>0</v>
      </c>
      <c r="L85" s="92">
        <f t="shared" ref="L85:O85" si="259">L74+L76+L78+L80+L82</f>
        <v>0</v>
      </c>
      <c r="M85" s="92">
        <f t="shared" si="259"/>
        <v>0</v>
      </c>
      <c r="N85" s="92">
        <f t="shared" si="259"/>
        <v>0</v>
      </c>
      <c r="O85" s="92">
        <f t="shared" si="259"/>
        <v>0</v>
      </c>
      <c r="R85" s="80" t="s">
        <v>208</v>
      </c>
      <c r="S85" s="92">
        <f>S74+S76+S78+S80+S82</f>
        <v>0</v>
      </c>
      <c r="T85" s="92">
        <f t="shared" ref="T85:W85" si="260">T74+T76+T78+T80+T82</f>
        <v>0</v>
      </c>
      <c r="U85" s="92">
        <f t="shared" si="260"/>
        <v>0</v>
      </c>
      <c r="V85" s="92">
        <f t="shared" si="260"/>
        <v>0</v>
      </c>
      <c r="W85" s="92">
        <f t="shared" si="260"/>
        <v>0</v>
      </c>
      <c r="Z85" s="80" t="s">
        <v>208</v>
      </c>
      <c r="AA85" s="92">
        <f>AA74+AA76+AA78+AA80+AA82</f>
        <v>0</v>
      </c>
      <c r="AB85" s="92">
        <f t="shared" ref="AB85:AE85" si="261">AB74+AB76+AB78+AB80+AB82</f>
        <v>0</v>
      </c>
      <c r="AC85" s="92">
        <f t="shared" si="261"/>
        <v>0</v>
      </c>
      <c r="AD85" s="92">
        <f t="shared" si="261"/>
        <v>0</v>
      </c>
      <c r="AE85" s="92">
        <f t="shared" si="261"/>
        <v>0</v>
      </c>
      <c r="AH85" s="80" t="s">
        <v>208</v>
      </c>
      <c r="AI85" s="92">
        <f>AI74+AI76+AI78+AI80+AI82</f>
        <v>0</v>
      </c>
      <c r="AJ85" s="92">
        <f t="shared" ref="AJ85:AM85" si="262">AJ74+AJ76+AJ78+AJ80+AJ82</f>
        <v>0</v>
      </c>
      <c r="AK85" s="92">
        <f t="shared" si="262"/>
        <v>0</v>
      </c>
      <c r="AL85" s="92">
        <f t="shared" si="262"/>
        <v>0</v>
      </c>
      <c r="AM85" s="92">
        <f t="shared" si="262"/>
        <v>0</v>
      </c>
      <c r="AP85" s="80" t="s">
        <v>208</v>
      </c>
      <c r="AQ85" s="92">
        <f>AQ74+AQ76+AQ78+AQ80+AQ82</f>
        <v>0</v>
      </c>
      <c r="AR85" s="92">
        <f t="shared" ref="AR85:AU85" si="263">AR74+AR76+AR78+AR80+AR82</f>
        <v>0</v>
      </c>
      <c r="AS85" s="92">
        <f t="shared" si="263"/>
        <v>0</v>
      </c>
      <c r="AT85" s="92">
        <f t="shared" si="263"/>
        <v>0</v>
      </c>
      <c r="AU85" s="92">
        <f t="shared" si="263"/>
        <v>0</v>
      </c>
      <c r="AX85" s="80" t="s">
        <v>208</v>
      </c>
      <c r="AY85" s="92">
        <f>AY74+AY76+AY78+AY80+AY82</f>
        <v>0</v>
      </c>
      <c r="AZ85" s="92">
        <f t="shared" ref="AZ85:BC85" si="264">AZ74+AZ76+AZ78+AZ80+AZ82</f>
        <v>0</v>
      </c>
      <c r="BA85" s="92">
        <f t="shared" si="264"/>
        <v>0</v>
      </c>
      <c r="BB85" s="92">
        <f t="shared" si="264"/>
        <v>0</v>
      </c>
      <c r="BC85" s="92">
        <f t="shared" si="264"/>
        <v>0</v>
      </c>
      <c r="BF85" s="80" t="s">
        <v>208</v>
      </c>
      <c r="BG85" s="92">
        <f>BG74+BG76+BG78+BG80+BG82</f>
        <v>0</v>
      </c>
      <c r="BH85" s="92">
        <f t="shared" ref="BH85:BK85" si="265">BH74+BH76+BH78+BH80+BH82</f>
        <v>0</v>
      </c>
      <c r="BI85" s="92">
        <f t="shared" si="265"/>
        <v>0</v>
      </c>
      <c r="BJ85" s="92">
        <f t="shared" si="265"/>
        <v>0</v>
      </c>
      <c r="BK85" s="92">
        <f t="shared" si="265"/>
        <v>0</v>
      </c>
      <c r="BN85" s="80" t="s">
        <v>208</v>
      </c>
      <c r="BO85" s="92">
        <f>BO74+BO76+BO78+BO80+BO82</f>
        <v>0</v>
      </c>
      <c r="BP85" s="92">
        <f t="shared" ref="BP85:BS85" si="266">BP74+BP76+BP78+BP80+BP82</f>
        <v>0</v>
      </c>
      <c r="BQ85" s="92">
        <f t="shared" si="266"/>
        <v>0</v>
      </c>
      <c r="BR85" s="92">
        <f t="shared" si="266"/>
        <v>0</v>
      </c>
      <c r="BS85" s="92">
        <f t="shared" si="266"/>
        <v>0</v>
      </c>
      <c r="BV85" s="80" t="s">
        <v>208</v>
      </c>
      <c r="BW85" s="92">
        <f>BW74+BW76+BW78+BW80+BW82</f>
        <v>0</v>
      </c>
      <c r="BX85" s="92">
        <f t="shared" ref="BX85:CA85" si="267">BX74+BX76+BX78+BX80+BX82</f>
        <v>0</v>
      </c>
      <c r="BY85" s="92">
        <f t="shared" si="267"/>
        <v>0</v>
      </c>
      <c r="BZ85" s="92">
        <f t="shared" si="267"/>
        <v>0</v>
      </c>
      <c r="CA85" s="92">
        <f t="shared" si="267"/>
        <v>0</v>
      </c>
      <c r="CD85" s="80" t="s">
        <v>208</v>
      </c>
      <c r="CE85" s="92">
        <f>CE74+CE76+CE78+CE80+CE82</f>
        <v>0</v>
      </c>
      <c r="CF85" s="92">
        <f t="shared" ref="CF85:CI85" si="268">CF74+CF76+CF78+CF80+CF82</f>
        <v>0</v>
      </c>
      <c r="CG85" s="92">
        <f t="shared" si="268"/>
        <v>0</v>
      </c>
      <c r="CH85" s="92">
        <f t="shared" si="268"/>
        <v>0</v>
      </c>
      <c r="CI85" s="92">
        <f t="shared" si="268"/>
        <v>0</v>
      </c>
      <c r="CL85" s="80" t="s">
        <v>208</v>
      </c>
      <c r="CM85" s="92">
        <f>CM74+CM76+CM78+CM80+CM82</f>
        <v>0</v>
      </c>
      <c r="CN85" s="92">
        <f t="shared" ref="CN85:CQ85" si="269">CN74+CN76+CN78+CN80+CN82</f>
        <v>0</v>
      </c>
      <c r="CO85" s="92">
        <f t="shared" si="269"/>
        <v>0</v>
      </c>
      <c r="CP85" s="92">
        <f t="shared" si="269"/>
        <v>0</v>
      </c>
      <c r="CQ85" s="92">
        <f t="shared" si="269"/>
        <v>0</v>
      </c>
      <c r="CT85" s="80" t="s">
        <v>208</v>
      </c>
      <c r="CU85" s="92">
        <f>CU74+CU76+CU78+CU80+CU82</f>
        <v>0</v>
      </c>
      <c r="CV85" s="92">
        <f t="shared" ref="CV85:CY85" si="270">CV74+CV76+CV78+CV80+CV82</f>
        <v>0</v>
      </c>
      <c r="CW85" s="92">
        <f t="shared" si="270"/>
        <v>0</v>
      </c>
      <c r="CX85" s="92">
        <f t="shared" si="270"/>
        <v>0</v>
      </c>
      <c r="CY85" s="92">
        <f t="shared" si="270"/>
        <v>0</v>
      </c>
      <c r="DB85" s="80" t="s">
        <v>208</v>
      </c>
      <c r="DC85" s="92">
        <f>DC74+DC76+DC78+DC80+DC82</f>
        <v>0</v>
      </c>
      <c r="DD85" s="92">
        <f t="shared" ref="DD85:DG85" si="271">DD74+DD76+DD78+DD80+DD82</f>
        <v>0</v>
      </c>
      <c r="DE85" s="92">
        <f t="shared" si="271"/>
        <v>0</v>
      </c>
      <c r="DF85" s="92">
        <f t="shared" si="271"/>
        <v>0</v>
      </c>
      <c r="DG85" s="92">
        <f t="shared" si="271"/>
        <v>0</v>
      </c>
    </row>
    <row r="87" spans="2:113" s="81" customFormat="1">
      <c r="B87" s="120"/>
      <c r="C87" s="120"/>
      <c r="D87" s="120"/>
      <c r="E87" s="120"/>
      <c r="F87" s="120"/>
      <c r="G87" s="120"/>
      <c r="H87" s="82"/>
      <c r="I87" s="82"/>
      <c r="J87" s="120"/>
      <c r="K87" s="120"/>
      <c r="L87" s="120"/>
      <c r="M87" s="120"/>
      <c r="N87" s="120"/>
      <c r="O87" s="120"/>
      <c r="P87" s="82"/>
      <c r="Q87" s="82"/>
      <c r="R87" s="120"/>
      <c r="S87" s="120"/>
      <c r="T87" s="120"/>
      <c r="U87" s="120"/>
      <c r="V87" s="120"/>
      <c r="W87" s="120"/>
      <c r="X87" s="82"/>
      <c r="Y87" s="82"/>
      <c r="Z87" s="120"/>
      <c r="AA87" s="120"/>
      <c r="AB87" s="120"/>
      <c r="AC87" s="120"/>
      <c r="AD87" s="120"/>
      <c r="AE87" s="120"/>
      <c r="AF87" s="82"/>
      <c r="AG87" s="82"/>
      <c r="AH87" s="120"/>
      <c r="AI87" s="120"/>
      <c r="AJ87" s="120"/>
      <c r="AK87" s="120"/>
      <c r="AL87" s="120"/>
      <c r="AM87" s="120"/>
      <c r="AN87" s="82"/>
      <c r="AO87" s="82"/>
      <c r="AP87" s="120"/>
      <c r="AQ87" s="120"/>
      <c r="AR87" s="120"/>
      <c r="AS87" s="120"/>
      <c r="AT87" s="120"/>
      <c r="AU87" s="120"/>
      <c r="AV87" s="82"/>
      <c r="AW87" s="82"/>
      <c r="AX87" s="120"/>
      <c r="AY87" s="120"/>
      <c r="AZ87" s="120"/>
      <c r="BA87" s="120"/>
      <c r="BB87" s="120"/>
      <c r="BC87" s="120"/>
      <c r="BD87" s="82"/>
      <c r="BE87" s="82"/>
      <c r="BF87" s="120"/>
      <c r="BG87" s="120"/>
      <c r="BH87" s="120"/>
      <c r="BI87" s="120"/>
      <c r="BJ87" s="120"/>
      <c r="BK87" s="120"/>
      <c r="BL87" s="82"/>
      <c r="BM87" s="82"/>
      <c r="BN87" s="120"/>
      <c r="BO87" s="120"/>
      <c r="BP87" s="120"/>
      <c r="BQ87" s="120"/>
      <c r="BR87" s="120"/>
      <c r="BS87" s="120"/>
      <c r="BT87" s="82"/>
      <c r="BU87" s="82"/>
      <c r="BV87" s="120"/>
      <c r="BW87" s="120"/>
      <c r="BX87" s="120"/>
      <c r="BY87" s="120"/>
      <c r="BZ87" s="120"/>
      <c r="CA87" s="120"/>
      <c r="CB87" s="82"/>
      <c r="CC87" s="82"/>
      <c r="CD87" s="120"/>
      <c r="CE87" s="120"/>
      <c r="CF87" s="120"/>
      <c r="CG87" s="120"/>
      <c r="CH87" s="120"/>
      <c r="CI87" s="120"/>
      <c r="CJ87" s="82"/>
      <c r="CK87" s="82"/>
      <c r="CL87" s="120"/>
      <c r="CM87" s="120"/>
      <c r="CN87" s="120"/>
      <c r="CO87" s="120"/>
      <c r="CP87" s="120"/>
      <c r="CQ87" s="120"/>
      <c r="CR87" s="82"/>
      <c r="CS87" s="82"/>
      <c r="CT87" s="120"/>
      <c r="CU87" s="120"/>
      <c r="CV87" s="120"/>
      <c r="CW87" s="120"/>
      <c r="CX87" s="120"/>
      <c r="CY87" s="120"/>
      <c r="CZ87" s="82"/>
      <c r="DA87" s="82"/>
      <c r="DB87" s="120"/>
      <c r="DC87" s="120"/>
      <c r="DD87" s="120"/>
      <c r="DE87" s="120"/>
      <c r="DF87" s="120"/>
      <c r="DG87" s="120"/>
      <c r="DH87" s="82"/>
      <c r="DI87" s="82"/>
    </row>
    <row r="88" spans="2:113" s="76" customFormat="1" ht="21">
      <c r="B88" s="502" t="str">
        <f>intervencao1</f>
        <v>PET-CT</v>
      </c>
      <c r="C88" s="502"/>
      <c r="D88" s="502"/>
      <c r="E88" s="502"/>
      <c r="F88" s="502"/>
      <c r="G88" s="502"/>
      <c r="H88" s="502"/>
      <c r="I88" s="77"/>
      <c r="J88" s="502">
        <f>intervencao2</f>
        <v>0</v>
      </c>
      <c r="K88" s="502"/>
      <c r="L88" s="502"/>
      <c r="M88" s="502"/>
      <c r="N88" s="502"/>
      <c r="O88" s="502"/>
      <c r="P88" s="502"/>
      <c r="Q88" s="77"/>
      <c r="R88" s="502">
        <f>intervencao3</f>
        <v>0</v>
      </c>
      <c r="S88" s="502"/>
      <c r="T88" s="502"/>
      <c r="U88" s="502"/>
      <c r="V88" s="502"/>
      <c r="W88" s="502"/>
      <c r="X88" s="502"/>
      <c r="Y88" s="77"/>
      <c r="Z88" s="502">
        <f>intervencao4</f>
        <v>0</v>
      </c>
      <c r="AA88" s="502"/>
      <c r="AB88" s="502"/>
      <c r="AC88" s="502"/>
      <c r="AD88" s="502"/>
      <c r="AE88" s="502"/>
      <c r="AF88" s="502"/>
      <c r="AG88" s="77"/>
      <c r="AH88" s="502" t="str">
        <f>comparador1</f>
        <v>CT scan + scintigraphy</v>
      </c>
      <c r="AI88" s="502"/>
      <c r="AJ88" s="502"/>
      <c r="AK88" s="502"/>
      <c r="AL88" s="502"/>
      <c r="AM88" s="502"/>
      <c r="AN88" s="502"/>
      <c r="AO88" s="77"/>
      <c r="AP88" s="502">
        <f>comparador2</f>
        <v>0</v>
      </c>
      <c r="AQ88" s="502"/>
      <c r="AR88" s="502"/>
      <c r="AS88" s="502"/>
      <c r="AT88" s="502"/>
      <c r="AU88" s="502"/>
      <c r="AV88" s="502"/>
      <c r="AW88" s="77"/>
      <c r="AX88" s="502">
        <f>comparador3</f>
        <v>0</v>
      </c>
      <c r="AY88" s="502"/>
      <c r="AZ88" s="502"/>
      <c r="BA88" s="502"/>
      <c r="BB88" s="502"/>
      <c r="BC88" s="502"/>
      <c r="BD88" s="502"/>
      <c r="BE88" s="77"/>
      <c r="BF88" s="502">
        <f>comparador4</f>
        <v>0</v>
      </c>
      <c r="BG88" s="502"/>
      <c r="BH88" s="502"/>
      <c r="BI88" s="502"/>
      <c r="BJ88" s="502"/>
      <c r="BK88" s="502"/>
      <c r="BL88" s="502"/>
      <c r="BM88" s="77"/>
      <c r="BN88" s="502">
        <f>comparador5</f>
        <v>0</v>
      </c>
      <c r="BO88" s="502"/>
      <c r="BP88" s="502"/>
      <c r="BQ88" s="502"/>
      <c r="BR88" s="502"/>
      <c r="BS88" s="502"/>
      <c r="BT88" s="502"/>
      <c r="BU88" s="77"/>
      <c r="BV88" s="502">
        <f>comparador6</f>
        <v>0</v>
      </c>
      <c r="BW88" s="502"/>
      <c r="BX88" s="502"/>
      <c r="BY88" s="502"/>
      <c r="BZ88" s="502"/>
      <c r="CA88" s="502"/>
      <c r="CB88" s="502"/>
      <c r="CC88" s="77"/>
      <c r="CD88" s="502">
        <f>comparador7</f>
        <v>0</v>
      </c>
      <c r="CE88" s="502"/>
      <c r="CF88" s="502"/>
      <c r="CG88" s="502"/>
      <c r="CH88" s="502"/>
      <c r="CI88" s="502"/>
      <c r="CJ88" s="502"/>
      <c r="CK88" s="77"/>
      <c r="CL88" s="502">
        <f>comparador8</f>
        <v>0</v>
      </c>
      <c r="CM88" s="502"/>
      <c r="CN88" s="502"/>
      <c r="CO88" s="502"/>
      <c r="CP88" s="502"/>
      <c r="CQ88" s="502"/>
      <c r="CR88" s="502"/>
      <c r="CS88" s="77"/>
      <c r="CT88" s="502">
        <f>comparador9</f>
        <v>0</v>
      </c>
      <c r="CU88" s="502"/>
      <c r="CV88" s="502"/>
      <c r="CW88" s="502"/>
      <c r="CX88" s="502"/>
      <c r="CY88" s="502"/>
      <c r="CZ88" s="502"/>
      <c r="DA88" s="77"/>
      <c r="DB88" s="502">
        <f>comparador10</f>
        <v>0</v>
      </c>
      <c r="DC88" s="502"/>
      <c r="DD88" s="502"/>
      <c r="DE88" s="502"/>
      <c r="DF88" s="502"/>
      <c r="DG88" s="502"/>
      <c r="DH88" s="502"/>
      <c r="DI88" s="77"/>
    </row>
    <row r="89" spans="2:113" ht="18">
      <c r="B89" s="503" t="s">
        <v>181</v>
      </c>
      <c r="C89" s="503"/>
      <c r="D89" s="503"/>
      <c r="E89" s="503"/>
      <c r="F89" s="503"/>
      <c r="G89" s="503"/>
      <c r="H89" s="71"/>
      <c r="I89" s="71"/>
      <c r="J89" s="503" t="s">
        <v>181</v>
      </c>
      <c r="K89" s="503"/>
      <c r="L89" s="503"/>
      <c r="M89" s="503"/>
      <c r="N89" s="503"/>
      <c r="O89" s="503"/>
      <c r="P89" s="71"/>
      <c r="Q89" s="71"/>
      <c r="R89" s="503" t="s">
        <v>181</v>
      </c>
      <c r="S89" s="503"/>
      <c r="T89" s="503"/>
      <c r="U89" s="503"/>
      <c r="V89" s="503"/>
      <c r="W89" s="503"/>
      <c r="X89" s="71"/>
      <c r="Y89" s="71"/>
      <c r="Z89" s="503" t="s">
        <v>181</v>
      </c>
      <c r="AA89" s="503"/>
      <c r="AB89" s="503"/>
      <c r="AC89" s="503"/>
      <c r="AD89" s="503"/>
      <c r="AE89" s="503"/>
      <c r="AF89" s="71"/>
      <c r="AG89" s="71"/>
      <c r="AH89" s="503" t="s">
        <v>181</v>
      </c>
      <c r="AI89" s="503"/>
      <c r="AJ89" s="503"/>
      <c r="AK89" s="503"/>
      <c r="AL89" s="503"/>
      <c r="AM89" s="503"/>
      <c r="AN89" s="71"/>
      <c r="AO89" s="71"/>
      <c r="AP89" s="503" t="s">
        <v>181</v>
      </c>
      <c r="AQ89" s="503"/>
      <c r="AR89" s="503"/>
      <c r="AS89" s="503"/>
      <c r="AT89" s="503"/>
      <c r="AU89" s="503"/>
      <c r="AV89" s="71"/>
      <c r="AW89" s="71"/>
      <c r="AX89" s="503" t="s">
        <v>181</v>
      </c>
      <c r="AY89" s="503"/>
      <c r="AZ89" s="503"/>
      <c r="BA89" s="503"/>
      <c r="BB89" s="503"/>
      <c r="BC89" s="503"/>
      <c r="BD89" s="71"/>
      <c r="BE89" s="71"/>
      <c r="BF89" s="503" t="s">
        <v>181</v>
      </c>
      <c r="BG89" s="503"/>
      <c r="BH89" s="503"/>
      <c r="BI89" s="503"/>
      <c r="BJ89" s="503"/>
      <c r="BK89" s="503"/>
      <c r="BL89" s="71"/>
      <c r="BM89" s="71"/>
      <c r="BN89" s="503" t="s">
        <v>181</v>
      </c>
      <c r="BO89" s="503"/>
      <c r="BP89" s="503"/>
      <c r="BQ89" s="503"/>
      <c r="BR89" s="503"/>
      <c r="BS89" s="503"/>
      <c r="BT89" s="71"/>
      <c r="BU89" s="71"/>
      <c r="BV89" s="503" t="s">
        <v>181</v>
      </c>
      <c r="BW89" s="503"/>
      <c r="BX89" s="503"/>
      <c r="BY89" s="503"/>
      <c r="BZ89" s="503"/>
      <c r="CA89" s="503"/>
      <c r="CB89" s="71"/>
      <c r="CC89" s="71"/>
      <c r="CD89" s="503" t="s">
        <v>181</v>
      </c>
      <c r="CE89" s="503"/>
      <c r="CF89" s="503"/>
      <c r="CG89" s="503"/>
      <c r="CH89" s="503"/>
      <c r="CI89" s="503"/>
      <c r="CJ89" s="71"/>
      <c r="CK89" s="71"/>
      <c r="CL89" s="503" t="s">
        <v>181</v>
      </c>
      <c r="CM89" s="503"/>
      <c r="CN89" s="503"/>
      <c r="CO89" s="503"/>
      <c r="CP89" s="503"/>
      <c r="CQ89" s="503"/>
      <c r="CR89" s="71"/>
      <c r="CS89" s="71"/>
      <c r="CT89" s="503" t="s">
        <v>181</v>
      </c>
      <c r="CU89" s="503"/>
      <c r="CV89" s="503"/>
      <c r="CW89" s="503"/>
      <c r="CX89" s="503"/>
      <c r="CY89" s="503"/>
      <c r="CZ89" s="71"/>
      <c r="DA89" s="71"/>
      <c r="DB89" s="503" t="s">
        <v>181</v>
      </c>
      <c r="DC89" s="503"/>
      <c r="DD89" s="503"/>
      <c r="DE89" s="503"/>
      <c r="DF89" s="503"/>
      <c r="DG89" s="503"/>
      <c r="DH89" s="71"/>
      <c r="DI89" s="71"/>
    </row>
    <row r="90" spans="2:113" ht="15" thickBot="1">
      <c r="B90" s="83"/>
      <c r="C90" s="83"/>
      <c r="D90" s="83"/>
      <c r="E90" s="83"/>
      <c r="F90" s="83"/>
      <c r="G90" s="83"/>
      <c r="J90" s="83"/>
      <c r="K90" s="83"/>
      <c r="L90" s="83"/>
      <c r="M90" s="83"/>
      <c r="N90" s="83"/>
      <c r="O90" s="83"/>
      <c r="R90" s="83"/>
      <c r="S90" s="83"/>
      <c r="T90" s="83"/>
      <c r="U90" s="83"/>
      <c r="V90" s="83"/>
      <c r="W90" s="83"/>
      <c r="Z90" s="83"/>
      <c r="AA90" s="83"/>
      <c r="AB90" s="83"/>
      <c r="AC90" s="83"/>
      <c r="AD90" s="83"/>
      <c r="AE90" s="83"/>
      <c r="AH90" s="83"/>
      <c r="AI90" s="83"/>
      <c r="AJ90" s="83"/>
      <c r="AK90" s="83"/>
      <c r="AL90" s="83"/>
      <c r="AM90" s="83"/>
      <c r="AP90" s="83"/>
      <c r="AQ90" s="83"/>
      <c r="AR90" s="83"/>
      <c r="AS90" s="83"/>
      <c r="AT90" s="83"/>
      <c r="AU90" s="83"/>
      <c r="AX90" s="83"/>
      <c r="AY90" s="83"/>
      <c r="AZ90" s="83"/>
      <c r="BA90" s="83"/>
      <c r="BB90" s="83"/>
      <c r="BC90" s="83"/>
      <c r="BF90" s="83"/>
      <c r="BG90" s="83"/>
      <c r="BH90" s="83"/>
      <c r="BI90" s="83"/>
      <c r="BJ90" s="83"/>
      <c r="BK90" s="83"/>
      <c r="BN90" s="83"/>
      <c r="BO90" s="83"/>
      <c r="BP90" s="83"/>
      <c r="BQ90" s="83"/>
      <c r="BR90" s="83"/>
      <c r="BS90" s="83"/>
      <c r="BV90" s="83"/>
      <c r="BW90" s="83"/>
      <c r="BX90" s="83"/>
      <c r="BY90" s="83"/>
      <c r="BZ90" s="83"/>
      <c r="CA90" s="83"/>
      <c r="CD90" s="83"/>
      <c r="CE90" s="83"/>
      <c r="CF90" s="83"/>
      <c r="CG90" s="83"/>
      <c r="CH90" s="83"/>
      <c r="CI90" s="83"/>
      <c r="CL90" s="83"/>
      <c r="CM90" s="83"/>
      <c r="CN90" s="83"/>
      <c r="CO90" s="83"/>
      <c r="CP90" s="83"/>
      <c r="CQ90" s="83"/>
      <c r="CT90" s="83"/>
      <c r="CU90" s="83"/>
      <c r="CV90" s="83"/>
      <c r="CW90" s="83"/>
      <c r="CX90" s="83"/>
      <c r="CY90" s="83"/>
      <c r="DB90" s="83"/>
      <c r="DC90" s="83"/>
      <c r="DD90" s="83"/>
      <c r="DE90" s="83"/>
      <c r="DF90" s="83"/>
      <c r="DG90" s="83"/>
    </row>
    <row r="91" spans="2:113" ht="15" thickBot="1">
      <c r="B91" s="504" t="str">
        <f>B26</f>
        <v>Without PET-CT</v>
      </c>
      <c r="C91" s="505"/>
      <c r="D91" s="505"/>
      <c r="E91" s="505"/>
      <c r="F91" s="505"/>
      <c r="G91" s="506"/>
      <c r="J91" s="504" t="str">
        <f>J26</f>
        <v>Without PET-CT</v>
      </c>
      <c r="K91" s="505"/>
      <c r="L91" s="505"/>
      <c r="M91" s="505"/>
      <c r="N91" s="505"/>
      <c r="O91" s="506"/>
      <c r="R91" s="504" t="str">
        <f>R26</f>
        <v>Without PET-CT</v>
      </c>
      <c r="S91" s="505"/>
      <c r="T91" s="505"/>
      <c r="U91" s="505"/>
      <c r="V91" s="505"/>
      <c r="W91" s="506"/>
      <c r="Z91" s="504" t="str">
        <f>Z26</f>
        <v>Without PET-CT</v>
      </c>
      <c r="AA91" s="505"/>
      <c r="AB91" s="505"/>
      <c r="AC91" s="505"/>
      <c r="AD91" s="505"/>
      <c r="AE91" s="506"/>
      <c r="AH91" s="504" t="str">
        <f>AH26</f>
        <v>Without PET-CT</v>
      </c>
      <c r="AI91" s="505"/>
      <c r="AJ91" s="505"/>
      <c r="AK91" s="505"/>
      <c r="AL91" s="505"/>
      <c r="AM91" s="506"/>
      <c r="AP91" s="504" t="str">
        <f>AP26</f>
        <v>Without PET-CT</v>
      </c>
      <c r="AQ91" s="505"/>
      <c r="AR91" s="505"/>
      <c r="AS91" s="505"/>
      <c r="AT91" s="505"/>
      <c r="AU91" s="506"/>
      <c r="AX91" s="504" t="str">
        <f>AX26</f>
        <v>Without PET-CT</v>
      </c>
      <c r="AY91" s="505"/>
      <c r="AZ91" s="505"/>
      <c r="BA91" s="505"/>
      <c r="BB91" s="505"/>
      <c r="BC91" s="506"/>
      <c r="BF91" s="504" t="str">
        <f>BF26</f>
        <v>Without PET-CT</v>
      </c>
      <c r="BG91" s="505"/>
      <c r="BH91" s="505"/>
      <c r="BI91" s="505"/>
      <c r="BJ91" s="505"/>
      <c r="BK91" s="506"/>
      <c r="BN91" s="504" t="str">
        <f>BN26</f>
        <v>Without PET-CT</v>
      </c>
      <c r="BO91" s="505"/>
      <c r="BP91" s="505"/>
      <c r="BQ91" s="505"/>
      <c r="BR91" s="505"/>
      <c r="BS91" s="506"/>
      <c r="BV91" s="504" t="str">
        <f>BV26</f>
        <v>Without PET-CT</v>
      </c>
      <c r="BW91" s="505"/>
      <c r="BX91" s="505"/>
      <c r="BY91" s="505"/>
      <c r="BZ91" s="505"/>
      <c r="CA91" s="506"/>
      <c r="CD91" s="504" t="str">
        <f>CD26</f>
        <v>Without PET-CT</v>
      </c>
      <c r="CE91" s="505"/>
      <c r="CF91" s="505"/>
      <c r="CG91" s="505"/>
      <c r="CH91" s="505"/>
      <c r="CI91" s="506"/>
      <c r="CL91" s="504" t="str">
        <f>CL26</f>
        <v>Without PET-CT</v>
      </c>
      <c r="CM91" s="505"/>
      <c r="CN91" s="505"/>
      <c r="CO91" s="505"/>
      <c r="CP91" s="505"/>
      <c r="CQ91" s="506"/>
      <c r="CT91" s="504" t="str">
        <f>CT26</f>
        <v>Without PET-CT</v>
      </c>
      <c r="CU91" s="505"/>
      <c r="CV91" s="505"/>
      <c r="CW91" s="505"/>
      <c r="CX91" s="505"/>
      <c r="CY91" s="506"/>
      <c r="DB91" s="504" t="str">
        <f>DB26</f>
        <v>Without PET-CT</v>
      </c>
      <c r="DC91" s="505"/>
      <c r="DD91" s="505"/>
      <c r="DE91" s="505"/>
      <c r="DF91" s="505"/>
      <c r="DG91" s="506"/>
    </row>
    <row r="92" spans="2:113">
      <c r="B92" s="84"/>
      <c r="C92" s="101">
        <f>C27</f>
        <v>2024</v>
      </c>
      <c r="D92" s="101">
        <f t="shared" ref="D92:F92" si="272">D27</f>
        <v>2025</v>
      </c>
      <c r="E92" s="101">
        <f t="shared" si="272"/>
        <v>2026</v>
      </c>
      <c r="F92" s="101">
        <f t="shared" si="272"/>
        <v>2027</v>
      </c>
      <c r="G92" s="102">
        <f>G27</f>
        <v>2028</v>
      </c>
      <c r="J92" s="84"/>
      <c r="K92" s="101">
        <f>K27</f>
        <v>2024</v>
      </c>
      <c r="L92" s="101">
        <f t="shared" ref="L92:N92" si="273">L27</f>
        <v>2025</v>
      </c>
      <c r="M92" s="101">
        <f t="shared" si="273"/>
        <v>2026</v>
      </c>
      <c r="N92" s="101">
        <f t="shared" si="273"/>
        <v>2027</v>
      </c>
      <c r="O92" s="102">
        <f>O27</f>
        <v>2028</v>
      </c>
      <c r="R92" s="84"/>
      <c r="S92" s="101">
        <f>S27</f>
        <v>2024</v>
      </c>
      <c r="T92" s="101">
        <f t="shared" ref="T92:V92" si="274">T27</f>
        <v>2025</v>
      </c>
      <c r="U92" s="101">
        <f t="shared" si="274"/>
        <v>2026</v>
      </c>
      <c r="V92" s="101">
        <f t="shared" si="274"/>
        <v>2027</v>
      </c>
      <c r="W92" s="102">
        <f>W27</f>
        <v>2028</v>
      </c>
      <c r="Z92" s="84"/>
      <c r="AA92" s="101">
        <f>AA27</f>
        <v>2024</v>
      </c>
      <c r="AB92" s="101">
        <f t="shared" ref="AB92:AD92" si="275">AB27</f>
        <v>2025</v>
      </c>
      <c r="AC92" s="101">
        <f t="shared" si="275"/>
        <v>2026</v>
      </c>
      <c r="AD92" s="101">
        <f t="shared" si="275"/>
        <v>2027</v>
      </c>
      <c r="AE92" s="102">
        <f>AE27</f>
        <v>2028</v>
      </c>
      <c r="AH92" s="84"/>
      <c r="AI92" s="101">
        <f>AI27</f>
        <v>2024</v>
      </c>
      <c r="AJ92" s="101">
        <f t="shared" ref="AJ92:AL92" si="276">AJ27</f>
        <v>2025</v>
      </c>
      <c r="AK92" s="101">
        <f t="shared" si="276"/>
        <v>2026</v>
      </c>
      <c r="AL92" s="101">
        <f t="shared" si="276"/>
        <v>2027</v>
      </c>
      <c r="AM92" s="102">
        <f>AM27</f>
        <v>2028</v>
      </c>
      <c r="AP92" s="84"/>
      <c r="AQ92" s="101">
        <f>AQ27</f>
        <v>2024</v>
      </c>
      <c r="AR92" s="101">
        <f t="shared" ref="AR92:AT92" si="277">AR27</f>
        <v>2025</v>
      </c>
      <c r="AS92" s="101">
        <f t="shared" si="277"/>
        <v>2026</v>
      </c>
      <c r="AT92" s="101">
        <f t="shared" si="277"/>
        <v>2027</v>
      </c>
      <c r="AU92" s="102">
        <f>AU27</f>
        <v>2028</v>
      </c>
      <c r="AX92" s="84"/>
      <c r="AY92" s="101">
        <f>AY27</f>
        <v>2024</v>
      </c>
      <c r="AZ92" s="101">
        <f t="shared" ref="AZ92:BB92" si="278">AZ27</f>
        <v>2025</v>
      </c>
      <c r="BA92" s="101">
        <f t="shared" si="278"/>
        <v>2026</v>
      </c>
      <c r="BB92" s="101">
        <f t="shared" si="278"/>
        <v>2027</v>
      </c>
      <c r="BC92" s="102">
        <f>BC27</f>
        <v>2028</v>
      </c>
      <c r="BF92" s="84"/>
      <c r="BG92" s="101">
        <f>BG27</f>
        <v>2024</v>
      </c>
      <c r="BH92" s="101">
        <f t="shared" ref="BH92:BJ92" si="279">BH27</f>
        <v>2025</v>
      </c>
      <c r="BI92" s="101">
        <f t="shared" si="279"/>
        <v>2026</v>
      </c>
      <c r="BJ92" s="101">
        <f t="shared" si="279"/>
        <v>2027</v>
      </c>
      <c r="BK92" s="102">
        <f>BK27</f>
        <v>2028</v>
      </c>
      <c r="BN92" s="84"/>
      <c r="BO92" s="101">
        <f>BO27</f>
        <v>2024</v>
      </c>
      <c r="BP92" s="101">
        <f t="shared" ref="BP92:BR92" si="280">BP27</f>
        <v>2025</v>
      </c>
      <c r="BQ92" s="101">
        <f t="shared" si="280"/>
        <v>2026</v>
      </c>
      <c r="BR92" s="101">
        <f t="shared" si="280"/>
        <v>2027</v>
      </c>
      <c r="BS92" s="102">
        <f>BS27</f>
        <v>2028</v>
      </c>
      <c r="BV92" s="84"/>
      <c r="BW92" s="101">
        <f>BW27</f>
        <v>2024</v>
      </c>
      <c r="BX92" s="101">
        <f t="shared" ref="BX92:BZ92" si="281">BX27</f>
        <v>2025</v>
      </c>
      <c r="BY92" s="101">
        <f t="shared" si="281"/>
        <v>2026</v>
      </c>
      <c r="BZ92" s="101">
        <f t="shared" si="281"/>
        <v>2027</v>
      </c>
      <c r="CA92" s="102">
        <f>CA27</f>
        <v>2028</v>
      </c>
      <c r="CD92" s="84"/>
      <c r="CE92" s="101">
        <f>CE27</f>
        <v>2024</v>
      </c>
      <c r="CF92" s="101">
        <f t="shared" ref="CF92:CH92" si="282">CF27</f>
        <v>2025</v>
      </c>
      <c r="CG92" s="101">
        <f t="shared" si="282"/>
        <v>2026</v>
      </c>
      <c r="CH92" s="101">
        <f t="shared" si="282"/>
        <v>2027</v>
      </c>
      <c r="CI92" s="102">
        <f>CI27</f>
        <v>2028</v>
      </c>
      <c r="CL92" s="84"/>
      <c r="CM92" s="101">
        <f>CM27</f>
        <v>2024</v>
      </c>
      <c r="CN92" s="101">
        <f t="shared" ref="CN92:CP92" si="283">CN27</f>
        <v>2025</v>
      </c>
      <c r="CO92" s="101">
        <f t="shared" si="283"/>
        <v>2026</v>
      </c>
      <c r="CP92" s="101">
        <f t="shared" si="283"/>
        <v>2027</v>
      </c>
      <c r="CQ92" s="102">
        <f>CQ27</f>
        <v>2028</v>
      </c>
      <c r="CT92" s="84"/>
      <c r="CU92" s="101">
        <f>CU27</f>
        <v>2024</v>
      </c>
      <c r="CV92" s="101">
        <f t="shared" ref="CV92:CX92" si="284">CV27</f>
        <v>2025</v>
      </c>
      <c r="CW92" s="101">
        <f t="shared" si="284"/>
        <v>2026</v>
      </c>
      <c r="CX92" s="101">
        <f t="shared" si="284"/>
        <v>2027</v>
      </c>
      <c r="CY92" s="102">
        <f>CY27</f>
        <v>2028</v>
      </c>
      <c r="DB92" s="84"/>
      <c r="DC92" s="101">
        <f>DC27</f>
        <v>2024</v>
      </c>
      <c r="DD92" s="101">
        <f t="shared" ref="DD92:DF92" si="285">DD27</f>
        <v>2025</v>
      </c>
      <c r="DE92" s="101">
        <f t="shared" si="285"/>
        <v>2026</v>
      </c>
      <c r="DF92" s="101">
        <f t="shared" si="285"/>
        <v>2027</v>
      </c>
      <c r="DG92" s="102">
        <f>DG27</f>
        <v>2028</v>
      </c>
    </row>
    <row r="93" spans="2:113">
      <c r="B93" s="87" t="s">
        <v>170</v>
      </c>
      <c r="C93" s="109">
        <f ca="1">(C28*c_inicial)+(C28*c_on*12)+(C28*ci_int1)+(C28*(ct_int1+ca_int1)*'Time on treatment'!$D$12)</f>
        <v>0</v>
      </c>
      <c r="D93" s="109">
        <f ca="1">(D28*c_on*12)+(D28*(ct_int1+ca_int1)*'Time on treatment'!$E$12)</f>
        <v>0</v>
      </c>
      <c r="E93" s="109">
        <f ca="1">(E28*c_on*12)+(E28*(ct_int1+ca_int1)*'Time on treatment'!$F$12)</f>
        <v>0</v>
      </c>
      <c r="F93" s="109">
        <f ca="1">(F28*c_on*12)+(F28*(ct_int1+ca_int1)*'Time on treatment'!$G$12)</f>
        <v>0</v>
      </c>
      <c r="G93" s="110">
        <f ca="1">(G28*c_on*12)+(G28*(ct_int1+ca_int1)*'Time on treatment'!$H$12)</f>
        <v>0</v>
      </c>
      <c r="J93" s="87" t="s">
        <v>170</v>
      </c>
      <c r="K93" s="109">
        <f ca="1">(K28*c_inicial)+(K28*c_on*12)+(K28*ci_int2)+(K28*(ct_int2+ca_int2)*'Time on treatment'!$D$13)</f>
        <v>0</v>
      </c>
      <c r="L93" s="109">
        <f ca="1">(L28*c_on*12)+(L28*(ct_int2+ca_int2)*'Time on treatment'!$E$13)</f>
        <v>0</v>
      </c>
      <c r="M93" s="109">
        <f ca="1">(M28*c_on*12)+(M28*(ct_int2+ca_int2)*'Time on treatment'!$F$13)</f>
        <v>0</v>
      </c>
      <c r="N93" s="109">
        <f ca="1">(N28*c_on*12)+(N28*(ct_int2+ca_int2)*'Time on treatment'!$G$13)</f>
        <v>0</v>
      </c>
      <c r="O93" s="110">
        <f ca="1">(O28*c_on*12)+(O28*(ct_int2+ca_int2)*'Time on treatment'!$H$13)</f>
        <v>0</v>
      </c>
      <c r="R93" s="87" t="s">
        <v>170</v>
      </c>
      <c r="S93" s="109">
        <f ca="1">(S28*c_inicial)+(S28*c_on*12)+(S28*ci_int3)+(S28*(ct_int3+ca_int3)*'Time on treatment'!$D$14)</f>
        <v>0</v>
      </c>
      <c r="T93" s="109">
        <f ca="1">(T28*c_on*12)+(T28*(ct_int3+ca_int3)*'Time on treatment'!$E$14)</f>
        <v>0</v>
      </c>
      <c r="U93" s="109">
        <f ca="1">(U28*c_on*12)+(U28*(ct_int3+ca_int3)*'Time on treatment'!$F$14)</f>
        <v>0</v>
      </c>
      <c r="V93" s="109">
        <f ca="1">(V28*c_on*12)+(V28*(ct_int3+ca_int3)*'Time on treatment'!$G$14)</f>
        <v>0</v>
      </c>
      <c r="W93" s="110">
        <f ca="1">(W28*c_on*12)+(W28*(ct_int3+ca_int3)*'Time on treatment'!$H$14)</f>
        <v>0</v>
      </c>
      <c r="Z93" s="87" t="s">
        <v>170</v>
      </c>
      <c r="AA93" s="109">
        <f ca="1">(AA28*c_inicial)+(AA28*c_on*12)+(AA28*ci_int4)+(AA28*(ct_int4+ca_int4)*'Time on treatment'!$D$15)</f>
        <v>0</v>
      </c>
      <c r="AB93" s="109">
        <f ca="1">(AB28*c_on*12)+(AB28*(ct_int4+ca_int4)*'Time on treatment'!$E$15)</f>
        <v>0</v>
      </c>
      <c r="AC93" s="109">
        <f ca="1">(AC28*c_on*12)+(AC28*(ct_int4+ca_int4)*'Time on treatment'!$F$15)</f>
        <v>0</v>
      </c>
      <c r="AD93" s="109">
        <f ca="1">(AD28*c_on*12)+(AD28*(ct_int4+ca_int4)*'Time on treatment'!$G$15)</f>
        <v>0</v>
      </c>
      <c r="AE93" s="110">
        <f ca="1">(AE28*c_on*12)+(AE28*(ct_int4+ca_int4)*'Time on treatment'!$H$15)</f>
        <v>0</v>
      </c>
      <c r="AH93" s="87" t="s">
        <v>170</v>
      </c>
      <c r="AI93" s="109">
        <f ca="1">(AI28*c_inicial)+(AI28*c_on*12)+(AI28*ci_comp1)+(AI28*(ct_comp1+ca_comp1)*'Time on treatment'!$D$19)</f>
        <v>5840477.6854851758</v>
      </c>
      <c r="AJ93" s="109">
        <f ca="1">(AJ28*c_on*12)+(AJ28*(ct_comp1+ca_comp1)*'Time on treatment'!$E$19)</f>
        <v>0</v>
      </c>
      <c r="AK93" s="109">
        <f ca="1">(AK28*c_on*12)+(AK28*(ct_comp1+ca_comp1)*'Time on treatment'!$F$19)</f>
        <v>0</v>
      </c>
      <c r="AL93" s="109">
        <f ca="1">(AL28*c_on*12)+(AL28*(ct_comp1+ca_comp1)*'Time on treatment'!$G$19)</f>
        <v>0</v>
      </c>
      <c r="AM93" s="110">
        <f ca="1">(AM28*c_on*12)+(AM28*(ct_comp1+ca_comp1)*'Time on treatment'!$H$19)</f>
        <v>0</v>
      </c>
      <c r="AP93" s="87" t="s">
        <v>170</v>
      </c>
      <c r="AQ93" s="109">
        <f ca="1">(AQ28*c_inicial)+(AQ28*c_on*12)+(AQ28*ci_comp2)+(AQ28*(ct_comp2+ca_comp2)*'Time on treatment'!$D$20)</f>
        <v>0</v>
      </c>
      <c r="AR93" s="109">
        <f ca="1">(AR28*c_on*12)+(AR28*(ct_comp2+ca_comp2)*'Time on treatment'!$E$20)</f>
        <v>0</v>
      </c>
      <c r="AS93" s="109">
        <f ca="1">(AS28*c_on*12)+(AS28*(ct_comp2+ca_comp2)*'Time on treatment'!$F$20)</f>
        <v>0</v>
      </c>
      <c r="AT93" s="109">
        <f ca="1">(AT28*c_on*12)+(AT28*(ct_comp2+ca_comp2)*'Time on treatment'!$G$20)</f>
        <v>0</v>
      </c>
      <c r="AU93" s="110">
        <f ca="1">(AU28*c_on*12)+(AU28*(ct_comp2+ca_comp2)*'Time on treatment'!$H$20)</f>
        <v>0</v>
      </c>
      <c r="AX93" s="87" t="s">
        <v>170</v>
      </c>
      <c r="AY93" s="109">
        <f ca="1">(AY28*c_inicial)+(AY28*c_on*12)+(AY28*ci_comp3)+(AY28*(ct_comp3+ca_comp3)*'Time on treatment'!$D$21)</f>
        <v>0</v>
      </c>
      <c r="AZ93" s="109">
        <f ca="1">(AZ28*c_on*12)+(AZ28*(ct_comp3+ca_comp3)*'Time on treatment'!$E$21)</f>
        <v>0</v>
      </c>
      <c r="BA93" s="109">
        <f ca="1">(BA28*c_on*12)+(BA28*(ct_comp3+ca_comp3)*'Time on treatment'!$F$21)</f>
        <v>0</v>
      </c>
      <c r="BB93" s="109">
        <f ca="1">(BB28*c_on*12)+(BB28*(ct_comp3+ca_comp3)*'Time on treatment'!$G$21)</f>
        <v>0</v>
      </c>
      <c r="BC93" s="110">
        <f ca="1">(BC28*c_on*12)+(BC28*(ct_comp3+ca_comp3)*'Time on treatment'!$H$21)</f>
        <v>0</v>
      </c>
      <c r="BF93" s="87" t="s">
        <v>170</v>
      </c>
      <c r="BG93" s="109">
        <f ca="1">(BG28*c_inicial)+(BG28*c_on*12)+(BG28*ci_comp4)+(BG28*(ct_comp4+ca_comp4)*'Time on treatment'!$D$22)</f>
        <v>0</v>
      </c>
      <c r="BH93" s="109">
        <f ca="1">(BH28*c_on*12)+(BH28*(ct_comp4+ca_comp4)*'Time on treatment'!$E$22)</f>
        <v>0</v>
      </c>
      <c r="BI93" s="109">
        <f ca="1">(BI28*c_on*12)+(BI28*(ct_comp4+ca_comp4)*'Time on treatment'!$F$22)</f>
        <v>0</v>
      </c>
      <c r="BJ93" s="109">
        <f ca="1">(BJ28*c_on*12)+(BJ28*(ct_comp4+ca_comp4)*'Time on treatment'!$G$22)</f>
        <v>0</v>
      </c>
      <c r="BK93" s="110">
        <f ca="1">(BK28*c_on*12)+(BK28*(ct_comp4+ca_comp4)*'Time on treatment'!$H$22)</f>
        <v>0</v>
      </c>
      <c r="BN93" s="87" t="s">
        <v>170</v>
      </c>
      <c r="BO93" s="109">
        <f ca="1">(BO28*c_inicial)+(BO28*c_on*12)+(BO28*ci_comp5)+(BO28*(ct_comp5+ca_comp5)*'Time on treatment'!$D$23)</f>
        <v>0</v>
      </c>
      <c r="BP93" s="109">
        <f ca="1">(BP28*c_on*12)+(BP28*(ct_comp5+ca_comp5)*'Time on treatment'!$E$23)</f>
        <v>0</v>
      </c>
      <c r="BQ93" s="109">
        <f ca="1">(BQ28*c_on*12)+(BQ28*(ct_comp5+ca_comp5)*'Time on treatment'!$F$23)</f>
        <v>0</v>
      </c>
      <c r="BR93" s="109">
        <f ca="1">(BR28*c_on*12)+(BR28*(ct_comp5+ca_comp5)*'Time on treatment'!$G$23)</f>
        <v>0</v>
      </c>
      <c r="BS93" s="110">
        <f ca="1">(BS28*c_on*12)+(BS28*(ct_comp5+ca_comp5)*'Time on treatment'!$H$23)</f>
        <v>0</v>
      </c>
      <c r="BV93" s="87" t="s">
        <v>170</v>
      </c>
      <c r="BW93" s="109">
        <f ca="1">(BW28*c_inicial)+(BW28*c_on*12)+(BW28*ci_comp6)+(BW28*(ct_comp6+ca_comp6)*'Time on treatment'!$D$24)</f>
        <v>0</v>
      </c>
      <c r="BX93" s="109">
        <f ca="1">(BX28*c_on*12)+(BX28*(ct_comp6+ca_comp6)*'Time on treatment'!$E$24)</f>
        <v>0</v>
      </c>
      <c r="BY93" s="109">
        <f ca="1">(BY28*c_on*12)+(BY28*(ct_comp6+ca_comp6)*'Time on treatment'!$F$24)</f>
        <v>0</v>
      </c>
      <c r="BZ93" s="109">
        <f ca="1">(BZ28*c_on*12)+(BZ28*(ct_comp6+ca_comp6)*'Time on treatment'!$G$24)</f>
        <v>0</v>
      </c>
      <c r="CA93" s="110">
        <f ca="1">(CA28*c_on*12)+(CA28*(ct_comp6+ca_comp6)*'Time on treatment'!$H$24)</f>
        <v>0</v>
      </c>
      <c r="CD93" s="87" t="s">
        <v>170</v>
      </c>
      <c r="CE93" s="109">
        <f ca="1">(CE28*c_inicial)+(CE28*c_on*12)+(CE28*ci_comp7)+(CE28*(ct_comp7+ca_comp7)*'Time on treatment'!$D$25)</f>
        <v>0</v>
      </c>
      <c r="CF93" s="109">
        <f ca="1">(CF28*c_on*12)+(CF28*(ct_comp7+ca_comp7)*'Time on treatment'!$E$25)</f>
        <v>0</v>
      </c>
      <c r="CG93" s="109">
        <f ca="1">(CG28*c_on*12)+(CG28*(ct_comp7+ca_comp7)*'Time on treatment'!$F$25)</f>
        <v>0</v>
      </c>
      <c r="CH93" s="109">
        <f ca="1">(CH28*c_on*12)+(CH28*(ct_comp7+ca_comp7)*'Time on treatment'!$G$25)</f>
        <v>0</v>
      </c>
      <c r="CI93" s="110">
        <f ca="1">(CI28*c_on*12)+(CI28*(ct_comp7+ca_comp7)*'Time on treatment'!$H$25)</f>
        <v>0</v>
      </c>
      <c r="CL93" s="87" t="s">
        <v>170</v>
      </c>
      <c r="CM93" s="109">
        <f ca="1">(CM28*c_inicial)+(CM28*c_on*12)+(CM28*ci_comp8)+(CM28*(ct_comp8+ca_comp8)*'Time on treatment'!$D$26)</f>
        <v>0</v>
      </c>
      <c r="CN93" s="109">
        <f ca="1">(CN28*c_on*12)+(CN28*(ct_comp8+ca_comp8)*'Time on treatment'!$E$26)</f>
        <v>0</v>
      </c>
      <c r="CO93" s="109">
        <f ca="1">(CO28*c_on*12)+(CO28*(ct_comp8+ca_comp8)*'Time on treatment'!$F$26)</f>
        <v>0</v>
      </c>
      <c r="CP93" s="109">
        <f ca="1">(CP28*c_on*12)+(CP28*(ct_comp8+ca_comp8)*'Time on treatment'!$G$26)</f>
        <v>0</v>
      </c>
      <c r="CQ93" s="110">
        <f ca="1">(CQ28*c_on*12)+(CQ28*(ct_comp8+ca_comp8)*'Time on treatment'!$H$26)</f>
        <v>0</v>
      </c>
      <c r="CT93" s="87" t="s">
        <v>170</v>
      </c>
      <c r="CU93" s="109">
        <f ca="1">(CU28*c_inicial)+(CU28*c_on*12)+(CU28*ci_comp9)+(CU28*(ct_comp9+ca_comp9)*'Time on treatment'!$D$27)</f>
        <v>0</v>
      </c>
      <c r="CV93" s="109">
        <f ca="1">(CV28*c_on*12)+(CV28*(ct_comp9+ca_comp9)*'Time on treatment'!$E$27)</f>
        <v>0</v>
      </c>
      <c r="CW93" s="109">
        <f ca="1">(CW28*c_on*12)+(CW28*(ct_comp9+ca_comp9)*'Time on treatment'!$F$27)</f>
        <v>0</v>
      </c>
      <c r="CX93" s="109">
        <f ca="1">(CX28*c_on*12)+(CX28*(ct_comp9+ca_comp9)*'Time on treatment'!$G$27)</f>
        <v>0</v>
      </c>
      <c r="CY93" s="110">
        <f ca="1">(CY28*c_on*12)+(CY28*(ct_comp9+ca_comp9)*'Time on treatment'!$H$27)</f>
        <v>0</v>
      </c>
      <c r="DB93" s="87" t="s">
        <v>170</v>
      </c>
      <c r="DC93" s="109">
        <f ca="1">(DC28*c_inicial)+(DC28*c_on*12)+(DC28*ci_comp10)+(DC28*(ct_comp10+ca_comp10)*'Time on treatment'!$D$28)</f>
        <v>0</v>
      </c>
      <c r="DD93" s="109">
        <f ca="1">(DD28*c_on*12)+(DD28*(ct_comp10+ca_comp10)*'Time on treatment'!$E$28)</f>
        <v>0</v>
      </c>
      <c r="DE93" s="109">
        <f ca="1">(DE28*c_on*12)+(DE28*(ct_comp10+ca_comp10)*'Time on treatment'!$F$28)</f>
        <v>0</v>
      </c>
      <c r="DF93" s="109">
        <f ca="1">(DF28*c_on*12)+(DF28*(ct_comp10+ca_comp10)*'Time on treatment'!$G$28)</f>
        <v>0</v>
      </c>
      <c r="DG93" s="110">
        <f ca="1">(DG28*c_on*12)+(DG28*(ct_comp10+ca_comp10)*'Time on treatment'!$H$28)</f>
        <v>0</v>
      </c>
    </row>
    <row r="94" spans="2:113">
      <c r="B94" s="87" t="s">
        <v>175</v>
      </c>
      <c r="C94" s="109">
        <f>C29*c_off</f>
        <v>0</v>
      </c>
      <c r="D94" s="109">
        <f>D29*c_off</f>
        <v>0</v>
      </c>
      <c r="E94" s="109">
        <f>E29*c_off</f>
        <v>0</v>
      </c>
      <c r="F94" s="109">
        <f>F29*c_off</f>
        <v>0</v>
      </c>
      <c r="G94" s="110">
        <f>G29*c_off</f>
        <v>0</v>
      </c>
      <c r="J94" s="87" t="s">
        <v>175</v>
      </c>
      <c r="K94" s="109">
        <f>K29*c_off</f>
        <v>0</v>
      </c>
      <c r="L94" s="109">
        <f>L29*c_off</f>
        <v>0</v>
      </c>
      <c r="M94" s="109">
        <f>M29*c_off</f>
        <v>0</v>
      </c>
      <c r="N94" s="109">
        <f>N29*c_off</f>
        <v>0</v>
      </c>
      <c r="O94" s="110">
        <f>O29*c_off</f>
        <v>0</v>
      </c>
      <c r="R94" s="87" t="s">
        <v>175</v>
      </c>
      <c r="S94" s="109">
        <f>S29*c_off</f>
        <v>0</v>
      </c>
      <c r="T94" s="109">
        <f>T29*c_off</f>
        <v>0</v>
      </c>
      <c r="U94" s="109">
        <f>U29*c_off</f>
        <v>0</v>
      </c>
      <c r="V94" s="109">
        <f>V29*c_off</f>
        <v>0</v>
      </c>
      <c r="W94" s="110">
        <f>W29*c_off</f>
        <v>0</v>
      </c>
      <c r="Z94" s="87" t="s">
        <v>175</v>
      </c>
      <c r="AA94" s="109">
        <f>AA29*c_off</f>
        <v>0</v>
      </c>
      <c r="AB94" s="109">
        <f>AB29*c_off</f>
        <v>0</v>
      </c>
      <c r="AC94" s="109">
        <f>AC29*c_off</f>
        <v>0</v>
      </c>
      <c r="AD94" s="109">
        <f>AD29*c_off</f>
        <v>0</v>
      </c>
      <c r="AE94" s="110">
        <f>AE29*c_off</f>
        <v>0</v>
      </c>
      <c r="AH94" s="87" t="s">
        <v>175</v>
      </c>
      <c r="AI94" s="109">
        <f>AI29*c_off</f>
        <v>0</v>
      </c>
      <c r="AJ94" s="109">
        <f>AJ29*c_off</f>
        <v>0</v>
      </c>
      <c r="AK94" s="109">
        <f>AK29*c_off</f>
        <v>0</v>
      </c>
      <c r="AL94" s="109">
        <f>AL29*c_off</f>
        <v>0</v>
      </c>
      <c r="AM94" s="110">
        <f>AM29*c_off</f>
        <v>0</v>
      </c>
      <c r="AP94" s="87" t="s">
        <v>175</v>
      </c>
      <c r="AQ94" s="109">
        <f>AQ29*c_off</f>
        <v>0</v>
      </c>
      <c r="AR94" s="109">
        <f>AR29*c_off</f>
        <v>0</v>
      </c>
      <c r="AS94" s="109">
        <f>AS29*c_off</f>
        <v>0</v>
      </c>
      <c r="AT94" s="109">
        <f>AT29*c_off</f>
        <v>0</v>
      </c>
      <c r="AU94" s="110">
        <f>AU29*c_off</f>
        <v>0</v>
      </c>
      <c r="AX94" s="87" t="s">
        <v>175</v>
      </c>
      <c r="AY94" s="109">
        <f>AY29*c_off</f>
        <v>0</v>
      </c>
      <c r="AZ94" s="109">
        <f>AZ29*c_off</f>
        <v>0</v>
      </c>
      <c r="BA94" s="109">
        <f>BA29*c_off</f>
        <v>0</v>
      </c>
      <c r="BB94" s="109">
        <f>BB29*c_off</f>
        <v>0</v>
      </c>
      <c r="BC94" s="110">
        <f>BC29*c_off</f>
        <v>0</v>
      </c>
      <c r="BF94" s="87" t="s">
        <v>175</v>
      </c>
      <c r="BG94" s="109">
        <f>BG29*c_off</f>
        <v>0</v>
      </c>
      <c r="BH94" s="109">
        <f>BH29*c_off</f>
        <v>0</v>
      </c>
      <c r="BI94" s="109">
        <f>BI29*c_off</f>
        <v>0</v>
      </c>
      <c r="BJ94" s="109">
        <f>BJ29*c_off</f>
        <v>0</v>
      </c>
      <c r="BK94" s="110">
        <f>BK29*c_off</f>
        <v>0</v>
      </c>
      <c r="BN94" s="87" t="s">
        <v>175</v>
      </c>
      <c r="BO94" s="109">
        <f>BO29*c_off</f>
        <v>0</v>
      </c>
      <c r="BP94" s="109">
        <f>BP29*c_off</f>
        <v>0</v>
      </c>
      <c r="BQ94" s="109">
        <f>BQ29*c_off</f>
        <v>0</v>
      </c>
      <c r="BR94" s="109">
        <f>BR29*c_off</f>
        <v>0</v>
      </c>
      <c r="BS94" s="110">
        <f>BS29*c_off</f>
        <v>0</v>
      </c>
      <c r="BV94" s="87" t="s">
        <v>175</v>
      </c>
      <c r="BW94" s="109">
        <f>BW29*c_off</f>
        <v>0</v>
      </c>
      <c r="BX94" s="109">
        <f>BX29*c_off</f>
        <v>0</v>
      </c>
      <c r="BY94" s="109">
        <f>BY29*c_off</f>
        <v>0</v>
      </c>
      <c r="BZ94" s="109">
        <f>BZ29*c_off</f>
        <v>0</v>
      </c>
      <c r="CA94" s="110">
        <f>CA29*c_off</f>
        <v>0</v>
      </c>
      <c r="CD94" s="87" t="s">
        <v>175</v>
      </c>
      <c r="CE94" s="109">
        <f>CE29*c_off</f>
        <v>0</v>
      </c>
      <c r="CF94" s="109">
        <f>CF29*c_off</f>
        <v>0</v>
      </c>
      <c r="CG94" s="109">
        <f>CG29*c_off</f>
        <v>0</v>
      </c>
      <c r="CH94" s="109">
        <f>CH29*c_off</f>
        <v>0</v>
      </c>
      <c r="CI94" s="110">
        <f>CI29*c_off</f>
        <v>0</v>
      </c>
      <c r="CL94" s="87" t="s">
        <v>175</v>
      </c>
      <c r="CM94" s="109">
        <f>CM29*c_off</f>
        <v>0</v>
      </c>
      <c r="CN94" s="109">
        <f>CN29*c_off</f>
        <v>0</v>
      </c>
      <c r="CO94" s="109">
        <f>CO29*c_off</f>
        <v>0</v>
      </c>
      <c r="CP94" s="109">
        <f>CP29*c_off</f>
        <v>0</v>
      </c>
      <c r="CQ94" s="110">
        <f>CQ29*c_off</f>
        <v>0</v>
      </c>
      <c r="CT94" s="87" t="s">
        <v>175</v>
      </c>
      <c r="CU94" s="109">
        <f>CU29*c_off</f>
        <v>0</v>
      </c>
      <c r="CV94" s="109">
        <f>CV29*c_off</f>
        <v>0</v>
      </c>
      <c r="CW94" s="109">
        <f>CW29*c_off</f>
        <v>0</v>
      </c>
      <c r="CX94" s="109">
        <f>CX29*c_off</f>
        <v>0</v>
      </c>
      <c r="CY94" s="110">
        <f>CY29*c_off</f>
        <v>0</v>
      </c>
      <c r="DB94" s="87" t="s">
        <v>175</v>
      </c>
      <c r="DC94" s="109">
        <f>DC29*c_off</f>
        <v>0</v>
      </c>
      <c r="DD94" s="109">
        <f>DD29*c_off</f>
        <v>0</v>
      </c>
      <c r="DE94" s="109">
        <f>DE29*c_off</f>
        <v>0</v>
      </c>
      <c r="DF94" s="109">
        <f>DF29*c_off</f>
        <v>0</v>
      </c>
      <c r="DG94" s="110">
        <f>DG29*c_off</f>
        <v>0</v>
      </c>
    </row>
    <row r="95" spans="2:113">
      <c r="B95" s="87" t="s">
        <v>171</v>
      </c>
      <c r="C95" s="111"/>
      <c r="D95" s="109">
        <f ca="1">(D30*c_inicial)+(D30*c_on*12)+(D30*ci_int1)+(D30*(ct_int1+ca_int1)*'Time on treatment'!$D$12)</f>
        <v>0</v>
      </c>
      <c r="E95" s="109">
        <f ca="1">(E30*c_on*12)+(E30*(ct_int1+ca_int1)*'Time on treatment'!$E$12)</f>
        <v>0</v>
      </c>
      <c r="F95" s="109">
        <f ca="1">(F30*c_on*12)+(F30*(ct_int1+ca_int1)*'Time on treatment'!$F$12)</f>
        <v>0</v>
      </c>
      <c r="G95" s="110">
        <f ca="1">(G30*c_on*12)+(G30*(ct_int1+ca_int1)*'Time on treatment'!$G$12)</f>
        <v>0</v>
      </c>
      <c r="J95" s="87" t="s">
        <v>171</v>
      </c>
      <c r="K95" s="111"/>
      <c r="L95" s="109">
        <f ca="1">(L30*c_inicial)+(L30*c_on*12)+(L30*ci_int2)+(L30*(ct_int2+ca_int2)*'Time on treatment'!$D$13)</f>
        <v>0</v>
      </c>
      <c r="M95" s="109">
        <f ca="1">(M30*c_on*12)+(M30*(ct_int2+ca_int2)*'Time on treatment'!$E$13)</f>
        <v>0</v>
      </c>
      <c r="N95" s="109">
        <f ca="1">(N30*c_on*12)+(N30*(ct_int2+ca_int2)*'Time on treatment'!$F$13)</f>
        <v>0</v>
      </c>
      <c r="O95" s="110">
        <f ca="1">(O30*c_on*12)+(O30*(ct_int2+ca_int2)*'Time on treatment'!$G$13)</f>
        <v>0</v>
      </c>
      <c r="R95" s="87" t="s">
        <v>171</v>
      </c>
      <c r="S95" s="111"/>
      <c r="T95" s="109">
        <f ca="1">(T30*c_inicial)+(T30*c_on*12)+(T30*ci_int3)+(T30*(ct_int3+ca_int3)*'Time on treatment'!$D$14)</f>
        <v>0</v>
      </c>
      <c r="U95" s="109">
        <f ca="1">(U30*c_on*12)+(U30*(ct_int3+ca_int3)*'Time on treatment'!$E$14)</f>
        <v>0</v>
      </c>
      <c r="V95" s="109">
        <f ca="1">(V30*c_on*12)+(V30*(ct_int3+ca_int3)*'Time on treatment'!$F$14)</f>
        <v>0</v>
      </c>
      <c r="W95" s="110">
        <f ca="1">(W30*c_on*12)+(W30*(ct_int3+ca_int3)*'Time on treatment'!$G$14)</f>
        <v>0</v>
      </c>
      <c r="Z95" s="87" t="s">
        <v>171</v>
      </c>
      <c r="AA95" s="111"/>
      <c r="AB95" s="109">
        <f ca="1">(AB30*c_inicial)+(AB30*c_on*12)+(AB30*ci_int4)+(AB30*(ct_int4+ca_int4)*'Time on treatment'!$D$15)</f>
        <v>0</v>
      </c>
      <c r="AC95" s="109">
        <f ca="1">(AC30*c_on*12)+(AC30*(ct_int4+ca_int4)*'Time on treatment'!$E$15)</f>
        <v>0</v>
      </c>
      <c r="AD95" s="109">
        <f ca="1">(AD30*c_on*12)+(AD30*(ct_int4+ca_int4)*'Time on treatment'!$F$15)</f>
        <v>0</v>
      </c>
      <c r="AE95" s="110">
        <f ca="1">(AE30*c_on*12)+(AE30*(ct_int4+ca_int4)*'Time on treatment'!$G$15)</f>
        <v>0</v>
      </c>
      <c r="AH95" s="87" t="s">
        <v>171</v>
      </c>
      <c r="AI95" s="111"/>
      <c r="AJ95" s="109">
        <f ca="1">(AJ30*c_inicial)+(AJ30*c_on*12)+(AJ30*ci_comp1)+(AJ30*(ct_comp1+ca_comp1)*'Time on treatment'!$D$19)</f>
        <v>5876554.1572671244</v>
      </c>
      <c r="AK95" s="109">
        <f ca="1">(AK30*c_on*12)+(AK30*(ct_comp1+ca_comp1)*'Time on treatment'!$E$19)</f>
        <v>0</v>
      </c>
      <c r="AL95" s="109">
        <f ca="1">(AL30*c_on*12)+(AL30*(ct_comp1+ca_comp1)*'Time on treatment'!$F$19)</f>
        <v>0</v>
      </c>
      <c r="AM95" s="110">
        <f ca="1">(AM30*c_on*12)+(AM30*(ct_comp1+ca_comp1)*'Time on treatment'!$G$19)</f>
        <v>0</v>
      </c>
      <c r="AP95" s="87" t="s">
        <v>171</v>
      </c>
      <c r="AQ95" s="111"/>
      <c r="AR95" s="109">
        <f ca="1">(AR30*c_inicial)+(AR30*c_on*12)+(AR30*ci_comp2)+(AR30*(ct_comp2+ca_comp2)*'Time on treatment'!$D$20)</f>
        <v>0</v>
      </c>
      <c r="AS95" s="109">
        <f ca="1">(AS30*c_on*12)+(AS30*(ct_comp2+ca_comp2)*'Time on treatment'!$E$20)</f>
        <v>0</v>
      </c>
      <c r="AT95" s="109">
        <f ca="1">(AT30*c_on*12)+(AT30*(ct_comp2+ca_comp2)*'Time on treatment'!$F$20)</f>
        <v>0</v>
      </c>
      <c r="AU95" s="110">
        <f ca="1">(AU30*c_on*12)+(AU30*(ct_comp2+ca_comp2)*'Time on treatment'!$G$20)</f>
        <v>0</v>
      </c>
      <c r="AX95" s="87" t="s">
        <v>171</v>
      </c>
      <c r="AY95" s="111"/>
      <c r="AZ95" s="109">
        <f ca="1">(AZ30*c_inicial)+(AZ30*c_on*12)+(AZ30*ci_comp3)+(AZ30*(ct_comp3+ca_comp3)*'Time on treatment'!$D$21)</f>
        <v>0</v>
      </c>
      <c r="BA95" s="109">
        <f ca="1">(BA30*c_on*12)+(BA30*(ct_comp3+ca_comp3)*'Time on treatment'!$E$21)</f>
        <v>0</v>
      </c>
      <c r="BB95" s="109">
        <f ca="1">(BB30*c_on*12)+(BB30*(ct_comp3+ca_comp3)*'Time on treatment'!$F$21)</f>
        <v>0</v>
      </c>
      <c r="BC95" s="110">
        <f ca="1">(BC30*c_on*12)+(BC30*(ct_comp3+ca_comp3)*'Time on treatment'!$G$21)</f>
        <v>0</v>
      </c>
      <c r="BF95" s="87" t="s">
        <v>171</v>
      </c>
      <c r="BG95" s="111"/>
      <c r="BH95" s="109">
        <f ca="1">(BH30*c_inicial)+(BH30*c_on*12)+(BH30*ci_comp4)+(BH30*(ct_comp4+ca_comp4)*'Time on treatment'!$D$22)</f>
        <v>0</v>
      </c>
      <c r="BI95" s="109">
        <f ca="1">(BI30*c_on*12)+(BI30*(ct_comp4+ca_comp4)*'Time on treatment'!$E$22)</f>
        <v>0</v>
      </c>
      <c r="BJ95" s="109">
        <f ca="1">(BJ30*c_on*12)+(BJ30*(ct_comp4+ca_comp4)*'Time on treatment'!$F$22)</f>
        <v>0</v>
      </c>
      <c r="BK95" s="110">
        <f ca="1">(BK30*c_on*12)+(BK30*(ct_comp4+ca_comp4)*'Time on treatment'!$G$22)</f>
        <v>0</v>
      </c>
      <c r="BN95" s="87" t="s">
        <v>171</v>
      </c>
      <c r="BO95" s="111"/>
      <c r="BP95" s="109">
        <f ca="1">(BP30*c_inicial)+(BP30*c_on*12)+(BP30*ci_comp5)+(BP30*(ct_comp5+ca_comp5)*'Time on treatment'!$D$23)</f>
        <v>0</v>
      </c>
      <c r="BQ95" s="109">
        <f ca="1">(BQ30*c_on*12)+(BQ30*(ct_comp5+ca_comp5)*'Time on treatment'!$E$23)</f>
        <v>0</v>
      </c>
      <c r="BR95" s="109">
        <f ca="1">(BR30*c_on*12)+(BR30*(ct_comp5+ca_comp5)*'Time on treatment'!$F$23)</f>
        <v>0</v>
      </c>
      <c r="BS95" s="110">
        <f ca="1">(BS30*c_on*12)+(BS30*(ct_comp5+ca_comp5)*'Time on treatment'!$G$23)</f>
        <v>0</v>
      </c>
      <c r="BV95" s="87" t="s">
        <v>171</v>
      </c>
      <c r="BW95" s="111"/>
      <c r="BX95" s="109">
        <f ca="1">(BX30*c_inicial)+(BX30*c_on*12)+(BX30*ci_comp6)+(BX30*(ct_comp6+ca_comp6)*'Time on treatment'!$D$24)</f>
        <v>0</v>
      </c>
      <c r="BY95" s="109">
        <f ca="1">(BY30*c_on*12)+(BY30*(ct_comp6+ca_comp6)*'Time on treatment'!$E$24)</f>
        <v>0</v>
      </c>
      <c r="BZ95" s="109">
        <f ca="1">(BZ30*c_on*12)+(BZ30*(ct_comp6+ca_comp6)*'Time on treatment'!$F$24)</f>
        <v>0</v>
      </c>
      <c r="CA95" s="110">
        <f ca="1">(CA30*c_on*12)+(CA30*(ct_comp6+ca_comp6)*'Time on treatment'!$G$24)</f>
        <v>0</v>
      </c>
      <c r="CD95" s="87" t="s">
        <v>171</v>
      </c>
      <c r="CE95" s="111"/>
      <c r="CF95" s="109">
        <f ca="1">(CF30*c_inicial)+(CF30*c_on*12)+(CF30*ci_comp7)+(CF30*(ct_comp7+ca_comp7)*'Time on treatment'!$D$25)</f>
        <v>0</v>
      </c>
      <c r="CG95" s="109">
        <f ca="1">(CG30*c_on*12)+(CG30*(ct_comp7+ca_comp7)*'Time on treatment'!$E$25)</f>
        <v>0</v>
      </c>
      <c r="CH95" s="109">
        <f ca="1">(CH30*c_on*12)+(CH30*(ct_comp7+ca_comp7)*'Time on treatment'!$F$25)</f>
        <v>0</v>
      </c>
      <c r="CI95" s="110">
        <f ca="1">(CI30*c_on*12)+(CI30*(ct_comp7+ca_comp7)*'Time on treatment'!$G$25)</f>
        <v>0</v>
      </c>
      <c r="CL95" s="87" t="s">
        <v>171</v>
      </c>
      <c r="CM95" s="111"/>
      <c r="CN95" s="109">
        <f ca="1">(CN30*c_inicial)+(CN30*c_on*12)+(CN30*ci_comp8)+(CN30*(ct_comp8+ca_comp8)*'Time on treatment'!$D$26)</f>
        <v>0</v>
      </c>
      <c r="CO95" s="109">
        <f ca="1">(CO30*c_on*12)+(CO30*(ct_comp8+ca_comp8)*'Time on treatment'!$E$26)</f>
        <v>0</v>
      </c>
      <c r="CP95" s="109">
        <f ca="1">(CP30*c_on*12)+(CP30*(ct_comp8+ca_comp8)*'Time on treatment'!$F$26)</f>
        <v>0</v>
      </c>
      <c r="CQ95" s="110">
        <f ca="1">(CQ30*c_on*12)+(CQ30*(ct_comp8+ca_comp8)*'Time on treatment'!$G$26)</f>
        <v>0</v>
      </c>
      <c r="CT95" s="87" t="s">
        <v>171</v>
      </c>
      <c r="CU95" s="111"/>
      <c r="CV95" s="109">
        <f ca="1">(CV30*c_inicial)+(CV30*c_on*12)+(CV30*ci_comp9)+(CV30*(ct_comp9+ca_comp9)*'Time on treatment'!$D$27)</f>
        <v>0</v>
      </c>
      <c r="CW95" s="109">
        <f ca="1">(CW30*c_on*12)+(CW30*(ct_comp9+ca_comp9)*'Time on treatment'!$E$27)</f>
        <v>0</v>
      </c>
      <c r="CX95" s="109">
        <f ca="1">(CX30*c_on*12)+(CX30*(ct_comp9+ca_comp9)*'Time on treatment'!$F$27)</f>
        <v>0</v>
      </c>
      <c r="CY95" s="110">
        <f ca="1">(CY30*c_on*12)+(CY30*(ct_comp9+ca_comp9)*'Time on treatment'!$G$27)</f>
        <v>0</v>
      </c>
      <c r="DB95" s="87" t="s">
        <v>171</v>
      </c>
      <c r="DC95" s="111"/>
      <c r="DD95" s="109">
        <f ca="1">(DD30*c_inicial)+(DD30*c_on*12)+(DD30*ci_comp10)+(DD30*(ct_comp10+ca_comp10)*'Time on treatment'!$D$28)</f>
        <v>0</v>
      </c>
      <c r="DE95" s="109">
        <f ca="1">(DE30*c_on*12)+(DE30*(ct_comp10+ca_comp10)*'Time on treatment'!$E$28)</f>
        <v>0</v>
      </c>
      <c r="DF95" s="109">
        <f ca="1">(DF30*c_on*12)+(DF30*(ct_comp10+ca_comp10)*'Time on treatment'!$F$28)</f>
        <v>0</v>
      </c>
      <c r="DG95" s="110">
        <f ca="1">(DG30*c_on*12)+(DG30*(ct_comp10+ca_comp10)*'Time on treatment'!$G$28)</f>
        <v>0</v>
      </c>
    </row>
    <row r="96" spans="2:113">
      <c r="B96" s="87" t="s">
        <v>176</v>
      </c>
      <c r="C96" s="111"/>
      <c r="D96" s="109">
        <f>D31*c_off</f>
        <v>0</v>
      </c>
      <c r="E96" s="109">
        <f>E31*c_off</f>
        <v>0</v>
      </c>
      <c r="F96" s="109">
        <f>F31*c_off</f>
        <v>0</v>
      </c>
      <c r="G96" s="110">
        <f>G31*c_off</f>
        <v>0</v>
      </c>
      <c r="J96" s="87" t="s">
        <v>176</v>
      </c>
      <c r="K96" s="111"/>
      <c r="L96" s="109">
        <f>L31*c_off</f>
        <v>0</v>
      </c>
      <c r="M96" s="109">
        <f>M31*c_off</f>
        <v>0</v>
      </c>
      <c r="N96" s="109">
        <f>N31*c_off</f>
        <v>0</v>
      </c>
      <c r="O96" s="110">
        <f>O31*c_off</f>
        <v>0</v>
      </c>
      <c r="R96" s="87" t="s">
        <v>176</v>
      </c>
      <c r="S96" s="111"/>
      <c r="T96" s="109">
        <f>T31*c_off</f>
        <v>0</v>
      </c>
      <c r="U96" s="109">
        <f>U31*c_off</f>
        <v>0</v>
      </c>
      <c r="V96" s="109">
        <f>V31*c_off</f>
        <v>0</v>
      </c>
      <c r="W96" s="110">
        <f>W31*c_off</f>
        <v>0</v>
      </c>
      <c r="Z96" s="87" t="s">
        <v>176</v>
      </c>
      <c r="AA96" s="111"/>
      <c r="AB96" s="109">
        <f>AB31*c_off</f>
        <v>0</v>
      </c>
      <c r="AC96" s="109">
        <f>AC31*c_off</f>
        <v>0</v>
      </c>
      <c r="AD96" s="109">
        <f>AD31*c_off</f>
        <v>0</v>
      </c>
      <c r="AE96" s="110">
        <f>AE31*c_off</f>
        <v>0</v>
      </c>
      <c r="AH96" s="87" t="s">
        <v>176</v>
      </c>
      <c r="AI96" s="111"/>
      <c r="AJ96" s="109">
        <f>AJ31*c_off</f>
        <v>0</v>
      </c>
      <c r="AK96" s="109">
        <f>AK31*c_off</f>
        <v>0</v>
      </c>
      <c r="AL96" s="109">
        <f>AL31*c_off</f>
        <v>0</v>
      </c>
      <c r="AM96" s="110">
        <f>AM31*c_off</f>
        <v>0</v>
      </c>
      <c r="AP96" s="87" t="s">
        <v>176</v>
      </c>
      <c r="AQ96" s="111"/>
      <c r="AR96" s="109">
        <f>AR31*c_off</f>
        <v>0</v>
      </c>
      <c r="AS96" s="109">
        <f>AS31*c_off</f>
        <v>0</v>
      </c>
      <c r="AT96" s="109">
        <f>AT31*c_off</f>
        <v>0</v>
      </c>
      <c r="AU96" s="110">
        <f>AU31*c_off</f>
        <v>0</v>
      </c>
      <c r="AX96" s="87" t="s">
        <v>176</v>
      </c>
      <c r="AY96" s="111"/>
      <c r="AZ96" s="109">
        <f>AZ31*c_off</f>
        <v>0</v>
      </c>
      <c r="BA96" s="109">
        <f>BA31*c_off</f>
        <v>0</v>
      </c>
      <c r="BB96" s="109">
        <f>BB31*c_off</f>
        <v>0</v>
      </c>
      <c r="BC96" s="110">
        <f>BC31*c_off</f>
        <v>0</v>
      </c>
      <c r="BF96" s="87" t="s">
        <v>176</v>
      </c>
      <c r="BG96" s="111"/>
      <c r="BH96" s="109">
        <f>BH31*c_off</f>
        <v>0</v>
      </c>
      <c r="BI96" s="109">
        <f>BI31*c_off</f>
        <v>0</v>
      </c>
      <c r="BJ96" s="109">
        <f>BJ31*c_off</f>
        <v>0</v>
      </c>
      <c r="BK96" s="110">
        <f>BK31*c_off</f>
        <v>0</v>
      </c>
      <c r="BN96" s="87" t="s">
        <v>176</v>
      </c>
      <c r="BO96" s="111"/>
      <c r="BP96" s="109">
        <f>BP31*c_off</f>
        <v>0</v>
      </c>
      <c r="BQ96" s="109">
        <f>BQ31*c_off</f>
        <v>0</v>
      </c>
      <c r="BR96" s="109">
        <f>BR31*c_off</f>
        <v>0</v>
      </c>
      <c r="BS96" s="110">
        <f>BS31*c_off</f>
        <v>0</v>
      </c>
      <c r="BV96" s="87" t="s">
        <v>176</v>
      </c>
      <c r="BW96" s="111"/>
      <c r="BX96" s="109">
        <f>BX31*c_off</f>
        <v>0</v>
      </c>
      <c r="BY96" s="109">
        <f>BY31*c_off</f>
        <v>0</v>
      </c>
      <c r="BZ96" s="109">
        <f>BZ31*c_off</f>
        <v>0</v>
      </c>
      <c r="CA96" s="110">
        <f>CA31*c_off</f>
        <v>0</v>
      </c>
      <c r="CD96" s="87" t="s">
        <v>176</v>
      </c>
      <c r="CE96" s="111"/>
      <c r="CF96" s="109">
        <f>CF31*c_off</f>
        <v>0</v>
      </c>
      <c r="CG96" s="109">
        <f>CG31*c_off</f>
        <v>0</v>
      </c>
      <c r="CH96" s="109">
        <f>CH31*c_off</f>
        <v>0</v>
      </c>
      <c r="CI96" s="110">
        <f>CI31*c_off</f>
        <v>0</v>
      </c>
      <c r="CL96" s="87" t="s">
        <v>176</v>
      </c>
      <c r="CM96" s="111"/>
      <c r="CN96" s="109">
        <f>CN31*c_off</f>
        <v>0</v>
      </c>
      <c r="CO96" s="109">
        <f>CO31*c_off</f>
        <v>0</v>
      </c>
      <c r="CP96" s="109">
        <f>CP31*c_off</f>
        <v>0</v>
      </c>
      <c r="CQ96" s="110">
        <f>CQ31*c_off</f>
        <v>0</v>
      </c>
      <c r="CT96" s="87" t="s">
        <v>176</v>
      </c>
      <c r="CU96" s="111"/>
      <c r="CV96" s="109">
        <f>CV31*c_off</f>
        <v>0</v>
      </c>
      <c r="CW96" s="109">
        <f>CW31*c_off</f>
        <v>0</v>
      </c>
      <c r="CX96" s="109">
        <f>CX31*c_off</f>
        <v>0</v>
      </c>
      <c r="CY96" s="110">
        <f>CY31*c_off</f>
        <v>0</v>
      </c>
      <c r="DB96" s="87" t="s">
        <v>176</v>
      </c>
      <c r="DC96" s="111"/>
      <c r="DD96" s="109">
        <f>DD31*c_off</f>
        <v>0</v>
      </c>
      <c r="DE96" s="109">
        <f>DE31*c_off</f>
        <v>0</v>
      </c>
      <c r="DF96" s="109">
        <f>DF31*c_off</f>
        <v>0</v>
      </c>
      <c r="DG96" s="110">
        <f>DG31*c_off</f>
        <v>0</v>
      </c>
    </row>
    <row r="97" spans="2:111">
      <c r="B97" s="87" t="s">
        <v>172</v>
      </c>
      <c r="C97" s="111"/>
      <c r="D97" s="111"/>
      <c r="E97" s="109">
        <f ca="1">(E32*c_inicial)+(E32*c_on*12)+(E32*ci_int1)+(E32*(ct_int1+ca_int1)*'Time on treatment'!$D$12)</f>
        <v>0</v>
      </c>
      <c r="F97" s="109">
        <f ca="1">(F32*c_on*12)+(F32*(ct_int1+ca_int1)*'Time on treatment'!$E$12)</f>
        <v>0</v>
      </c>
      <c r="G97" s="110">
        <f ca="1">(G32*c_on*12)+(G32*(ct_int1+ca_int1)*'Time on treatment'!$F$12)</f>
        <v>0</v>
      </c>
      <c r="J97" s="87" t="s">
        <v>172</v>
      </c>
      <c r="K97" s="111"/>
      <c r="L97" s="111"/>
      <c r="M97" s="109">
        <f ca="1">(M32*c_inicial)+(M32*c_on*12)+(M32*ci_int2)+(M32*(ct_int2+ca_int2)*'Time on treatment'!$D$13)</f>
        <v>0</v>
      </c>
      <c r="N97" s="109">
        <f ca="1">(N32*c_on*12)+(N32*(ct_int2+ca_int2)*'Time on treatment'!$E$13)</f>
        <v>0</v>
      </c>
      <c r="O97" s="110">
        <f ca="1">(O32*c_on*12)+(O32*(ct_int2+ca_int2)*'Time on treatment'!$F$13)</f>
        <v>0</v>
      </c>
      <c r="R97" s="87" t="s">
        <v>172</v>
      </c>
      <c r="S97" s="111"/>
      <c r="T97" s="111"/>
      <c r="U97" s="109">
        <f ca="1">(U32*c_inicial)+(U32*c_on*12)+(U32*ci_int3)+(U32*(ct_int3+ca_int3)*'Time on treatment'!$D$14)</f>
        <v>0</v>
      </c>
      <c r="V97" s="109">
        <f ca="1">(V32*c_on*12)+(V32*(ct_int3+ca_int3)*'Time on treatment'!$E$14)</f>
        <v>0</v>
      </c>
      <c r="W97" s="110">
        <f ca="1">(W32*c_on*12)+(W32*(ct_int3+ca_int3)*'Time on treatment'!$F$14)</f>
        <v>0</v>
      </c>
      <c r="Z97" s="87" t="s">
        <v>172</v>
      </c>
      <c r="AA97" s="111"/>
      <c r="AB97" s="111"/>
      <c r="AC97" s="109">
        <f ca="1">(AC32*c_inicial)+(AC32*c_on*12)+(AC32*ci_int4)+(AC32*(ct_int4+ca_int4)*'Time on treatment'!$D$15)</f>
        <v>0</v>
      </c>
      <c r="AD97" s="109">
        <f ca="1">(AD32*c_on*12)+(AD32*(ct_int4+ca_int4)*'Time on treatment'!$E$15)</f>
        <v>0</v>
      </c>
      <c r="AE97" s="110">
        <f ca="1">(AE32*c_on*12)+(AE32*(ct_int4+ca_int4)*'Time on treatment'!$F$15)</f>
        <v>0</v>
      </c>
      <c r="AH97" s="87" t="s">
        <v>172</v>
      </c>
      <c r="AI97" s="111"/>
      <c r="AJ97" s="111"/>
      <c r="AK97" s="109">
        <f ca="1">(AK32*c_inicial)+(AK32*c_on*12)+(AK32*ci_comp1)+(AK32*(ct_comp1+ca_comp1)*'Time on treatment'!$D$19)</f>
        <v>5911096.1130910916</v>
      </c>
      <c r="AL97" s="109">
        <f ca="1">(AL32*c_on*12)+(AL32*(ct_comp1+ca_comp1)*'Time on treatment'!$E$19)</f>
        <v>0</v>
      </c>
      <c r="AM97" s="110">
        <f ca="1">(AM32*c_on*12)+(AM32*(ct_comp1+ca_comp1)*'Time on treatment'!$F$19)</f>
        <v>0</v>
      </c>
      <c r="AP97" s="87" t="s">
        <v>172</v>
      </c>
      <c r="AQ97" s="111"/>
      <c r="AR97" s="111"/>
      <c r="AS97" s="109">
        <f ca="1">(AS32*c_inicial)+(AS32*c_on*12)+(AS32*ci_comp2)+(AS32*(ct_comp2+ca_comp2)*'Time on treatment'!$D$20)</f>
        <v>0</v>
      </c>
      <c r="AT97" s="109">
        <f ca="1">(AT32*c_on*12)+(AT32*(ct_comp2+ca_comp2)*'Time on treatment'!$E$20)</f>
        <v>0</v>
      </c>
      <c r="AU97" s="110">
        <f ca="1">(AU32*c_on*12)+(AU32*(ct_comp2+ca_comp2)*'Time on treatment'!$F$20)</f>
        <v>0</v>
      </c>
      <c r="AX97" s="87" t="s">
        <v>172</v>
      </c>
      <c r="AY97" s="111"/>
      <c r="AZ97" s="111"/>
      <c r="BA97" s="109">
        <f ca="1">(BA32*c_inicial)+(BA32*c_on*12)+(BA32*ci_comp3)+(BA32*(ct_comp3+ca_comp3)*'Time on treatment'!$D$21)</f>
        <v>0</v>
      </c>
      <c r="BB97" s="109">
        <f ca="1">(BB32*c_on*12)+(BB32*(ct_comp3+ca_comp3)*'Time on treatment'!$E$21)</f>
        <v>0</v>
      </c>
      <c r="BC97" s="110">
        <f ca="1">(BC32*c_on*12)+(BC32*(ct_comp3+ca_comp3)*'Time on treatment'!$F$21)</f>
        <v>0</v>
      </c>
      <c r="BF97" s="87" t="s">
        <v>172</v>
      </c>
      <c r="BG97" s="111"/>
      <c r="BH97" s="111"/>
      <c r="BI97" s="109">
        <f ca="1">(BI32*c_inicial)+(BI32*c_on*12)+(BI32*ci_comp4)+(BI32*(ct_comp4+ca_comp4)*'Time on treatment'!$D$22)</f>
        <v>0</v>
      </c>
      <c r="BJ97" s="109">
        <f ca="1">(BJ32*c_on*12)+(BJ32*(ct_comp4+ca_comp4)*'Time on treatment'!$E$22)</f>
        <v>0</v>
      </c>
      <c r="BK97" s="110">
        <f ca="1">(BK32*c_on*12)+(BK32*(ct_comp4+ca_comp4)*'Time on treatment'!$F$22)</f>
        <v>0</v>
      </c>
      <c r="BN97" s="87" t="s">
        <v>172</v>
      </c>
      <c r="BO97" s="111"/>
      <c r="BP97" s="111"/>
      <c r="BQ97" s="109">
        <f ca="1">(BQ32*c_inicial)+(BQ32*c_on*12)+(BQ32*ci_comp5)+(BQ32*(ct_comp5+ca_comp5)*'Time on treatment'!$D$23)</f>
        <v>0</v>
      </c>
      <c r="BR97" s="109">
        <f ca="1">(BR32*c_on*12)+(BR32*(ct_comp5+ca_comp5)*'Time on treatment'!$E$23)</f>
        <v>0</v>
      </c>
      <c r="BS97" s="110">
        <f ca="1">(BS32*c_on*12)+(BS32*(ct_comp5+ca_comp5)*'Time on treatment'!$F$23)</f>
        <v>0</v>
      </c>
      <c r="BV97" s="87" t="s">
        <v>172</v>
      </c>
      <c r="BW97" s="111"/>
      <c r="BX97" s="111"/>
      <c r="BY97" s="109">
        <f ca="1">(BY32*c_inicial)+(BY32*c_on*12)+(BY32*ci_comp6)+(BY32*(ct_comp6+ca_comp6)*'Time on treatment'!$D$24)</f>
        <v>0</v>
      </c>
      <c r="BZ97" s="109">
        <f ca="1">(BZ32*c_on*12)+(BZ32*(ct_comp6+ca_comp6)*'Time on treatment'!$E$24)</f>
        <v>0</v>
      </c>
      <c r="CA97" s="110">
        <f ca="1">(CA32*c_on*12)+(CA32*(ct_comp6+ca_comp6)*'Time on treatment'!$F$24)</f>
        <v>0</v>
      </c>
      <c r="CD97" s="87" t="s">
        <v>172</v>
      </c>
      <c r="CE97" s="111"/>
      <c r="CF97" s="111"/>
      <c r="CG97" s="109">
        <f ca="1">(CG32*c_inicial)+(CG32*c_on*12)+(CG32*ci_comp7)+(CG32*(ct_comp7+ca_comp7)*'Time on treatment'!$D$25)</f>
        <v>0</v>
      </c>
      <c r="CH97" s="109">
        <f ca="1">(CH32*c_on*12)+(CH32*(ct_comp7+ca_comp7)*'Time on treatment'!$E$25)</f>
        <v>0</v>
      </c>
      <c r="CI97" s="110">
        <f ca="1">(CI32*c_on*12)+(CI32*(ct_comp7+ca_comp7)*'Time on treatment'!$F$25)</f>
        <v>0</v>
      </c>
      <c r="CL97" s="87" t="s">
        <v>172</v>
      </c>
      <c r="CM97" s="111"/>
      <c r="CN97" s="111"/>
      <c r="CO97" s="109">
        <f ca="1">(CO32*c_inicial)+(CO32*c_on*12)+(CO32*ci_comp8)+(CO32*(ct_comp8+ca_comp8)*'Time on treatment'!$D$26)</f>
        <v>0</v>
      </c>
      <c r="CP97" s="109">
        <f ca="1">(CP32*c_on*12)+(CP32*(ct_comp8+ca_comp8)*'Time on treatment'!$E$26)</f>
        <v>0</v>
      </c>
      <c r="CQ97" s="110">
        <f ca="1">(CQ32*c_on*12)+(CQ32*(ct_comp8+ca_comp8)*'Time on treatment'!$F$26)</f>
        <v>0</v>
      </c>
      <c r="CT97" s="87" t="s">
        <v>172</v>
      </c>
      <c r="CU97" s="111"/>
      <c r="CV97" s="111"/>
      <c r="CW97" s="109">
        <f ca="1">(CW32*c_inicial)+(CW32*c_on*12)+(CW32*ci_comp9)+(CW32*(ct_comp9+ca_comp9)*'Time on treatment'!$D$27)</f>
        <v>0</v>
      </c>
      <c r="CX97" s="109">
        <f ca="1">(CX32*c_on*12)+(CX32*(ct_comp9+ca_comp9)*'Time on treatment'!$E$27)</f>
        <v>0</v>
      </c>
      <c r="CY97" s="110">
        <f ca="1">(CY32*c_on*12)+(CY32*(ct_comp9+ca_comp9)*'Time on treatment'!$F$27)</f>
        <v>0</v>
      </c>
      <c r="DB97" s="87" t="s">
        <v>172</v>
      </c>
      <c r="DC97" s="111"/>
      <c r="DD97" s="111"/>
      <c r="DE97" s="109">
        <f ca="1">(DE32*c_inicial)+(DE32*c_on*12)+(DE32*ci_comp10)+(DE32*(ct_comp10+ca_comp10)*'Time on treatment'!$D$28)</f>
        <v>0</v>
      </c>
      <c r="DF97" s="109">
        <f ca="1">(DF32*c_on*12)+(DF32*(ct_comp10+ca_comp10)*'Time on treatment'!$E$28)</f>
        <v>0</v>
      </c>
      <c r="DG97" s="110">
        <f ca="1">(DG32*c_on*12)+(DG32*(ct_comp10+ca_comp10)*'Time on treatment'!$F$28)</f>
        <v>0</v>
      </c>
    </row>
    <row r="98" spans="2:111">
      <c r="B98" s="87" t="s">
        <v>177</v>
      </c>
      <c r="C98" s="111"/>
      <c r="D98" s="111"/>
      <c r="E98" s="109">
        <f>E33*c_off</f>
        <v>0</v>
      </c>
      <c r="F98" s="109">
        <f>F33*c_off</f>
        <v>0</v>
      </c>
      <c r="G98" s="110">
        <f>G33*c_off</f>
        <v>0</v>
      </c>
      <c r="J98" s="87" t="s">
        <v>177</v>
      </c>
      <c r="K98" s="111"/>
      <c r="L98" s="111"/>
      <c r="M98" s="109">
        <f>M33*c_off</f>
        <v>0</v>
      </c>
      <c r="N98" s="109">
        <f>N33*c_off</f>
        <v>0</v>
      </c>
      <c r="O98" s="110">
        <f>O33*c_off</f>
        <v>0</v>
      </c>
      <c r="R98" s="87" t="s">
        <v>177</v>
      </c>
      <c r="S98" s="111"/>
      <c r="T98" s="111"/>
      <c r="U98" s="109">
        <f>U33*c_off</f>
        <v>0</v>
      </c>
      <c r="V98" s="109">
        <f>V33*c_off</f>
        <v>0</v>
      </c>
      <c r="W98" s="110">
        <f>W33*c_off</f>
        <v>0</v>
      </c>
      <c r="Z98" s="87" t="s">
        <v>177</v>
      </c>
      <c r="AA98" s="111"/>
      <c r="AB98" s="111"/>
      <c r="AC98" s="109">
        <f>AC33*c_off</f>
        <v>0</v>
      </c>
      <c r="AD98" s="109">
        <f>AD33*c_off</f>
        <v>0</v>
      </c>
      <c r="AE98" s="110">
        <f>AE33*c_off</f>
        <v>0</v>
      </c>
      <c r="AH98" s="87" t="s">
        <v>177</v>
      </c>
      <c r="AI98" s="111"/>
      <c r="AJ98" s="111"/>
      <c r="AK98" s="109">
        <f>AK33*c_off</f>
        <v>0</v>
      </c>
      <c r="AL98" s="109">
        <f>AL33*c_off</f>
        <v>0</v>
      </c>
      <c r="AM98" s="110">
        <f>AM33*c_off</f>
        <v>0</v>
      </c>
      <c r="AP98" s="87" t="s">
        <v>177</v>
      </c>
      <c r="AQ98" s="111"/>
      <c r="AR98" s="111"/>
      <c r="AS98" s="109">
        <f>AS33*c_off</f>
        <v>0</v>
      </c>
      <c r="AT98" s="109">
        <f>AT33*c_off</f>
        <v>0</v>
      </c>
      <c r="AU98" s="110">
        <f>AU33*c_off</f>
        <v>0</v>
      </c>
      <c r="AX98" s="87" t="s">
        <v>177</v>
      </c>
      <c r="AY98" s="111"/>
      <c r="AZ98" s="111"/>
      <c r="BA98" s="109">
        <f>BA33*c_off</f>
        <v>0</v>
      </c>
      <c r="BB98" s="109">
        <f>BB33*c_off</f>
        <v>0</v>
      </c>
      <c r="BC98" s="110">
        <f>BC33*c_off</f>
        <v>0</v>
      </c>
      <c r="BF98" s="87" t="s">
        <v>177</v>
      </c>
      <c r="BG98" s="111"/>
      <c r="BH98" s="111"/>
      <c r="BI98" s="109">
        <f>BI33*c_off</f>
        <v>0</v>
      </c>
      <c r="BJ98" s="109">
        <f>BJ33*c_off</f>
        <v>0</v>
      </c>
      <c r="BK98" s="110">
        <f>BK33*c_off</f>
        <v>0</v>
      </c>
      <c r="BN98" s="87" t="s">
        <v>177</v>
      </c>
      <c r="BO98" s="111"/>
      <c r="BP98" s="111"/>
      <c r="BQ98" s="109">
        <f>BQ33*c_off</f>
        <v>0</v>
      </c>
      <c r="BR98" s="109">
        <f>BR33*c_off</f>
        <v>0</v>
      </c>
      <c r="BS98" s="110">
        <f>BS33*c_off</f>
        <v>0</v>
      </c>
      <c r="BV98" s="87" t="s">
        <v>177</v>
      </c>
      <c r="BW98" s="111"/>
      <c r="BX98" s="111"/>
      <c r="BY98" s="109">
        <f>BY33*c_off</f>
        <v>0</v>
      </c>
      <c r="BZ98" s="109">
        <f>BZ33*c_off</f>
        <v>0</v>
      </c>
      <c r="CA98" s="110">
        <f>CA33*c_off</f>
        <v>0</v>
      </c>
      <c r="CD98" s="87" t="s">
        <v>177</v>
      </c>
      <c r="CE98" s="111"/>
      <c r="CF98" s="111"/>
      <c r="CG98" s="109">
        <f>CG33*c_off</f>
        <v>0</v>
      </c>
      <c r="CH98" s="109">
        <f>CH33*c_off</f>
        <v>0</v>
      </c>
      <c r="CI98" s="110">
        <f>CI33*c_off</f>
        <v>0</v>
      </c>
      <c r="CL98" s="87" t="s">
        <v>177</v>
      </c>
      <c r="CM98" s="111"/>
      <c r="CN98" s="111"/>
      <c r="CO98" s="109">
        <f>CO33*c_off</f>
        <v>0</v>
      </c>
      <c r="CP98" s="109">
        <f>CP33*c_off</f>
        <v>0</v>
      </c>
      <c r="CQ98" s="110">
        <f>CQ33*c_off</f>
        <v>0</v>
      </c>
      <c r="CT98" s="87" t="s">
        <v>177</v>
      </c>
      <c r="CU98" s="111"/>
      <c r="CV98" s="111"/>
      <c r="CW98" s="109">
        <f>CW33*c_off</f>
        <v>0</v>
      </c>
      <c r="CX98" s="109">
        <f>CX33*c_off</f>
        <v>0</v>
      </c>
      <c r="CY98" s="110">
        <f>CY33*c_off</f>
        <v>0</v>
      </c>
      <c r="DB98" s="87" t="s">
        <v>177</v>
      </c>
      <c r="DC98" s="111"/>
      <c r="DD98" s="111"/>
      <c r="DE98" s="109">
        <f>DE33*c_off</f>
        <v>0</v>
      </c>
      <c r="DF98" s="109">
        <f>DF33*c_off</f>
        <v>0</v>
      </c>
      <c r="DG98" s="110">
        <f>DG33*c_off</f>
        <v>0</v>
      </c>
    </row>
    <row r="99" spans="2:111">
      <c r="B99" s="87" t="s">
        <v>173</v>
      </c>
      <c r="C99" s="111"/>
      <c r="D99" s="111"/>
      <c r="E99" s="111"/>
      <c r="F99" s="109">
        <f ca="1">(F34*c_inicial)+(F34*c_on*12)+(F34*ci_int1)+(F34*(ct_int1+ca_int1)*'Time on treatment'!$D$12)</f>
        <v>0</v>
      </c>
      <c r="G99" s="110">
        <f ca="1">(G34*c_on*12)+(G34*(ct_int1+ca_int1)*'Time on treatment'!$E$12)</f>
        <v>0</v>
      </c>
      <c r="J99" s="87" t="s">
        <v>173</v>
      </c>
      <c r="K99" s="111"/>
      <c r="L99" s="111"/>
      <c r="M99" s="111"/>
      <c r="N99" s="109">
        <f ca="1">(N34*c_inicial)+(N34*c_on*12)+(N34*ci_int2)+(N34*(ct_int2+ca_int2)*'Time on treatment'!$D$13)</f>
        <v>0</v>
      </c>
      <c r="O99" s="110">
        <f ca="1">(O34*c_on*12)+(O34*(ct_int2+ca_int2)*'Time on treatment'!$E$13)</f>
        <v>0</v>
      </c>
      <c r="R99" s="87" t="s">
        <v>173</v>
      </c>
      <c r="S99" s="111"/>
      <c r="T99" s="111"/>
      <c r="U99" s="111"/>
      <c r="V99" s="109">
        <f ca="1">(V34*c_inicial)+(V34*c_on*12)+(V34*ci_int3)+(V34*(ct_int3+ca_int3)*'Time on treatment'!$D$14)</f>
        <v>0</v>
      </c>
      <c r="W99" s="110">
        <f ca="1">(W34*c_on*12)+(W34*(ct_int3+ca_int3)*'Time on treatment'!$E$14)</f>
        <v>0</v>
      </c>
      <c r="Z99" s="87" t="s">
        <v>173</v>
      </c>
      <c r="AA99" s="111"/>
      <c r="AB99" s="111"/>
      <c r="AC99" s="111"/>
      <c r="AD99" s="109">
        <f ca="1">(AD34*c_inicial)+(AD34*c_on*12)+(AD34*ci_int4)+(AD34*(ct_int4+ca_int4)*'Time on treatment'!$D$15)</f>
        <v>0</v>
      </c>
      <c r="AE99" s="110">
        <f ca="1">(AE34*c_on*12)+(AE34*(ct_int4+ca_int4)*'Time on treatment'!$E$15)</f>
        <v>0</v>
      </c>
      <c r="AH99" s="87" t="s">
        <v>173</v>
      </c>
      <c r="AI99" s="111"/>
      <c r="AJ99" s="111"/>
      <c r="AK99" s="111"/>
      <c r="AL99" s="109">
        <f ca="1">(AL34*c_inicial)+(AL34*c_on*12)+(AL34*ci_comp1)+(AL34*(ct_comp1+ca_comp1)*'Time on treatment'!$D$19)</f>
        <v>5944062.261561838</v>
      </c>
      <c r="AM99" s="110">
        <f ca="1">(AM34*c_on*12)+(AM34*(ct_comp1+ca_comp1)*'Time on treatment'!$E$19)</f>
        <v>0</v>
      </c>
      <c r="AP99" s="87" t="s">
        <v>173</v>
      </c>
      <c r="AQ99" s="111"/>
      <c r="AR99" s="111"/>
      <c r="AS99" s="111"/>
      <c r="AT99" s="109">
        <f ca="1">(AT34*c_inicial)+(AT34*c_on*12)+(AT34*ci_comp2)+(AT34*(ct_comp2+ca_comp2)*'Time on treatment'!$D$20)</f>
        <v>0</v>
      </c>
      <c r="AU99" s="110">
        <f ca="1">(AU34*c_on*12)+(AU34*(ct_comp2+ca_comp2)*'Time on treatment'!$E$20)</f>
        <v>0</v>
      </c>
      <c r="AX99" s="87" t="s">
        <v>173</v>
      </c>
      <c r="AY99" s="111"/>
      <c r="AZ99" s="111"/>
      <c r="BA99" s="111"/>
      <c r="BB99" s="109">
        <f ca="1">(BB34*c_inicial)+(BB34*c_on*12)+(BB34*ci_comp3)+(BB34*(ct_comp3+ca_comp3)*'Time on treatment'!$D$21)</f>
        <v>0</v>
      </c>
      <c r="BC99" s="110">
        <f ca="1">(BC34*c_on*12)+(BC34*(ct_comp3+ca_comp3)*'Time on treatment'!$E$21)</f>
        <v>0</v>
      </c>
      <c r="BF99" s="87" t="s">
        <v>173</v>
      </c>
      <c r="BG99" s="111"/>
      <c r="BH99" s="111"/>
      <c r="BI99" s="111"/>
      <c r="BJ99" s="109">
        <f ca="1">(BJ34*c_inicial)+(BJ34*c_on*12)+(BJ34*ci_comp4)+(BJ34*(ct_comp4+ca_comp4)*'Time on treatment'!$D$22)</f>
        <v>0</v>
      </c>
      <c r="BK99" s="110">
        <f ca="1">(BK34*c_on*12)+(BK34*(ct_comp4+ca_comp4)*'Time on treatment'!$E$22)</f>
        <v>0</v>
      </c>
      <c r="BN99" s="87" t="s">
        <v>173</v>
      </c>
      <c r="BO99" s="111"/>
      <c r="BP99" s="111"/>
      <c r="BQ99" s="111"/>
      <c r="BR99" s="109">
        <f ca="1">(BR34*c_inicial)+(BR34*c_on*12)+(BR34*ci_comp5)+(BR34*(ct_comp5+ca_comp5)*'Time on treatment'!$D$23)</f>
        <v>0</v>
      </c>
      <c r="BS99" s="110">
        <f ca="1">(BS34*c_on*12)+(BS34*(ct_comp5+ca_comp5)*'Time on treatment'!$E$23)</f>
        <v>0</v>
      </c>
      <c r="BV99" s="87" t="s">
        <v>173</v>
      </c>
      <c r="BW99" s="111"/>
      <c r="BX99" s="111"/>
      <c r="BY99" s="111"/>
      <c r="BZ99" s="109">
        <f ca="1">(BZ34*c_inicial)+(BZ34*c_on*12)+(BZ34*ci_comp6)+(BZ34*(ct_comp6+ca_comp6)*'Time on treatment'!$D$24)</f>
        <v>0</v>
      </c>
      <c r="CA99" s="110">
        <f ca="1">(CA34*c_on*12)+(CA34*(ct_comp6+ca_comp6)*'Time on treatment'!$E$24)</f>
        <v>0</v>
      </c>
      <c r="CD99" s="87" t="s">
        <v>173</v>
      </c>
      <c r="CE99" s="111"/>
      <c r="CF99" s="111"/>
      <c r="CG99" s="111"/>
      <c r="CH99" s="109">
        <f ca="1">(CH34*c_inicial)+(CH34*c_on*12)+(CH34*ci_comp7)+(CH34*(ct_comp7+ca_comp7)*'Time on treatment'!$D$25)</f>
        <v>0</v>
      </c>
      <c r="CI99" s="110">
        <f ca="1">(CI34*c_on*12)+(CI34*(ct_comp7+ca_comp7)*'Time on treatment'!$E$25)</f>
        <v>0</v>
      </c>
      <c r="CL99" s="87" t="s">
        <v>173</v>
      </c>
      <c r="CM99" s="111"/>
      <c r="CN99" s="111"/>
      <c r="CO99" s="111"/>
      <c r="CP99" s="109">
        <f ca="1">(CP34*c_inicial)+(CP34*c_on*12)+(CP34*ci_comp8)+(CP34*(ct_comp8+ca_comp8)*'Time on treatment'!$D$26)</f>
        <v>0</v>
      </c>
      <c r="CQ99" s="110">
        <f ca="1">(CQ34*c_on*12)+(CQ34*(ct_comp8+ca_comp8)*'Time on treatment'!$E$26)</f>
        <v>0</v>
      </c>
      <c r="CT99" s="87" t="s">
        <v>173</v>
      </c>
      <c r="CU99" s="111"/>
      <c r="CV99" s="111"/>
      <c r="CW99" s="111"/>
      <c r="CX99" s="109">
        <f ca="1">(CX34*c_inicial)+(CX34*c_on*12)+(CX34*ci_comp9)+(CX34*(ct_comp9+ca_comp9)*'Time on treatment'!$D$27)</f>
        <v>0</v>
      </c>
      <c r="CY99" s="110">
        <f ca="1">(CY34*c_on*12)+(CY34*(ct_comp9+ca_comp9)*'Time on treatment'!$E$27)</f>
        <v>0</v>
      </c>
      <c r="DB99" s="87" t="s">
        <v>173</v>
      </c>
      <c r="DC99" s="111"/>
      <c r="DD99" s="111"/>
      <c r="DE99" s="111"/>
      <c r="DF99" s="109">
        <f ca="1">(DF34*c_inicial)+(DF34*c_on*12)+(DF34*ci_comp10)+(DF34*(ct_comp10+ca_comp10)*'Time on treatment'!$D$28)</f>
        <v>0</v>
      </c>
      <c r="DG99" s="110">
        <f ca="1">(DG34*c_on*12)+(DG34*(ct_comp10+ca_comp10)*'Time on treatment'!$E$28)</f>
        <v>0</v>
      </c>
    </row>
    <row r="100" spans="2:111">
      <c r="B100" s="87" t="s">
        <v>178</v>
      </c>
      <c r="C100" s="111"/>
      <c r="D100" s="111"/>
      <c r="E100" s="111"/>
      <c r="F100" s="109">
        <f>F35*c_off</f>
        <v>0</v>
      </c>
      <c r="G100" s="110">
        <f>G35*c_off</f>
        <v>0</v>
      </c>
      <c r="J100" s="87" t="s">
        <v>178</v>
      </c>
      <c r="K100" s="111"/>
      <c r="L100" s="111"/>
      <c r="M100" s="111"/>
      <c r="N100" s="109">
        <f>N35*c_off</f>
        <v>0</v>
      </c>
      <c r="O100" s="110">
        <f>O35*c_off</f>
        <v>0</v>
      </c>
      <c r="R100" s="87" t="s">
        <v>178</v>
      </c>
      <c r="S100" s="111"/>
      <c r="T100" s="111"/>
      <c r="U100" s="111"/>
      <c r="V100" s="109">
        <f>V35*c_off</f>
        <v>0</v>
      </c>
      <c r="W100" s="110">
        <f>W35*c_off</f>
        <v>0</v>
      </c>
      <c r="Z100" s="87" t="s">
        <v>178</v>
      </c>
      <c r="AA100" s="111"/>
      <c r="AB100" s="111"/>
      <c r="AC100" s="111"/>
      <c r="AD100" s="109">
        <f>AD35*c_off</f>
        <v>0</v>
      </c>
      <c r="AE100" s="110">
        <f>AE35*c_off</f>
        <v>0</v>
      </c>
      <c r="AH100" s="87" t="s">
        <v>178</v>
      </c>
      <c r="AI100" s="111"/>
      <c r="AJ100" s="111"/>
      <c r="AK100" s="111"/>
      <c r="AL100" s="109">
        <f>AL35*c_off</f>
        <v>0</v>
      </c>
      <c r="AM100" s="110">
        <f>AM35*c_off</f>
        <v>0</v>
      </c>
      <c r="AP100" s="87" t="s">
        <v>178</v>
      </c>
      <c r="AQ100" s="111"/>
      <c r="AR100" s="111"/>
      <c r="AS100" s="111"/>
      <c r="AT100" s="109">
        <f>AT35*c_off</f>
        <v>0</v>
      </c>
      <c r="AU100" s="110">
        <f>AU35*c_off</f>
        <v>0</v>
      </c>
      <c r="AX100" s="87" t="s">
        <v>178</v>
      </c>
      <c r="AY100" s="111"/>
      <c r="AZ100" s="111"/>
      <c r="BA100" s="111"/>
      <c r="BB100" s="109">
        <f>BB35*c_off</f>
        <v>0</v>
      </c>
      <c r="BC100" s="110">
        <f>BC35*c_off</f>
        <v>0</v>
      </c>
      <c r="BF100" s="87" t="s">
        <v>178</v>
      </c>
      <c r="BG100" s="111"/>
      <c r="BH100" s="111"/>
      <c r="BI100" s="111"/>
      <c r="BJ100" s="109">
        <f>BJ35*c_off</f>
        <v>0</v>
      </c>
      <c r="BK100" s="110">
        <f>BK35*c_off</f>
        <v>0</v>
      </c>
      <c r="BN100" s="87" t="s">
        <v>178</v>
      </c>
      <c r="BO100" s="111"/>
      <c r="BP100" s="111"/>
      <c r="BQ100" s="111"/>
      <c r="BR100" s="109">
        <f>BR35*c_off</f>
        <v>0</v>
      </c>
      <c r="BS100" s="110">
        <f>BS35*c_off</f>
        <v>0</v>
      </c>
      <c r="BV100" s="87" t="s">
        <v>178</v>
      </c>
      <c r="BW100" s="111"/>
      <c r="BX100" s="111"/>
      <c r="BY100" s="111"/>
      <c r="BZ100" s="109">
        <f>BZ35*c_off</f>
        <v>0</v>
      </c>
      <c r="CA100" s="110">
        <f>CA35*c_off</f>
        <v>0</v>
      </c>
      <c r="CD100" s="87" t="s">
        <v>178</v>
      </c>
      <c r="CE100" s="111"/>
      <c r="CF100" s="111"/>
      <c r="CG100" s="111"/>
      <c r="CH100" s="109">
        <f>CH35*c_off</f>
        <v>0</v>
      </c>
      <c r="CI100" s="110">
        <f>CI35*c_off</f>
        <v>0</v>
      </c>
      <c r="CL100" s="87" t="s">
        <v>178</v>
      </c>
      <c r="CM100" s="111"/>
      <c r="CN100" s="111"/>
      <c r="CO100" s="111"/>
      <c r="CP100" s="109">
        <f>CP35*c_off</f>
        <v>0</v>
      </c>
      <c r="CQ100" s="110">
        <f>CQ35*c_off</f>
        <v>0</v>
      </c>
      <c r="CT100" s="87" t="s">
        <v>178</v>
      </c>
      <c r="CU100" s="111"/>
      <c r="CV100" s="111"/>
      <c r="CW100" s="111"/>
      <c r="CX100" s="109">
        <f>CX35*c_off</f>
        <v>0</v>
      </c>
      <c r="CY100" s="110">
        <f>CY35*c_off</f>
        <v>0</v>
      </c>
      <c r="DB100" s="87" t="s">
        <v>178</v>
      </c>
      <c r="DC100" s="111"/>
      <c r="DD100" s="111"/>
      <c r="DE100" s="111"/>
      <c r="DF100" s="109">
        <f>DF35*c_off</f>
        <v>0</v>
      </c>
      <c r="DG100" s="110">
        <f>DG35*c_off</f>
        <v>0</v>
      </c>
    </row>
    <row r="101" spans="2:111">
      <c r="B101" s="87" t="s">
        <v>174</v>
      </c>
      <c r="C101" s="111"/>
      <c r="D101" s="111"/>
      <c r="E101" s="111"/>
      <c r="F101" s="111"/>
      <c r="G101" s="110">
        <f ca="1">(G36*c_inicial)+(G36*c_on*12)+(G36*ci_int1)+(G36*(ct_int1+ca_int1)*'Time on treatment'!$D$12)</f>
        <v>0</v>
      </c>
      <c r="J101" s="87" t="s">
        <v>174</v>
      </c>
      <c r="K101" s="111"/>
      <c r="L101" s="111"/>
      <c r="M101" s="111"/>
      <c r="N101" s="111"/>
      <c r="O101" s="110">
        <f ca="1">(O36*c_inicial)+(O36*c_on*12)+(O36*ci_int2)+(O36*(ct_int2+ca_int2)*'Time on treatment'!$D$13)</f>
        <v>0</v>
      </c>
      <c r="R101" s="87" t="s">
        <v>174</v>
      </c>
      <c r="S101" s="111"/>
      <c r="T101" s="111"/>
      <c r="U101" s="111"/>
      <c r="V101" s="111"/>
      <c r="W101" s="110">
        <f ca="1">(W36*c_inicial)+(W36*c_on*12)+(W36*ci_int3)+(W36*(ct_int3+ca_int3)*'Time on treatment'!$D$14)</f>
        <v>0</v>
      </c>
      <c r="Z101" s="87" t="s">
        <v>174</v>
      </c>
      <c r="AA101" s="111"/>
      <c r="AB101" s="111"/>
      <c r="AC101" s="111"/>
      <c r="AD101" s="111"/>
      <c r="AE101" s="110">
        <f ca="1">(AE36*c_inicial)+(AE36*c_on*12)+(AE36*ci_int4)+(AE36*(ct_int4+ca_int4)*'Time on treatment'!$D$15)</f>
        <v>0</v>
      </c>
      <c r="AH101" s="87" t="s">
        <v>174</v>
      </c>
      <c r="AI101" s="111"/>
      <c r="AJ101" s="111"/>
      <c r="AK101" s="111"/>
      <c r="AL101" s="111"/>
      <c r="AM101" s="110">
        <f ca="1">(AM36*c_inicial)+(AM36*c_on*12)+(AM36*ci_comp1)+(AM36*(ct_comp1+ca_comp1)*'Time on treatment'!$D$19)</f>
        <v>5975411.3917741701</v>
      </c>
      <c r="AP101" s="87" t="s">
        <v>174</v>
      </c>
      <c r="AQ101" s="111"/>
      <c r="AR101" s="111"/>
      <c r="AS101" s="111"/>
      <c r="AT101" s="111"/>
      <c r="AU101" s="110">
        <f ca="1">(AU36*c_inicial)+(AU36*c_on*12)+(AU36*ci_comp2)+(AU36*(ct_comp2+ca_comp2)*'Time on treatment'!$D$20)</f>
        <v>0</v>
      </c>
      <c r="AX101" s="87" t="s">
        <v>174</v>
      </c>
      <c r="AY101" s="111"/>
      <c r="AZ101" s="111"/>
      <c r="BA101" s="111"/>
      <c r="BB101" s="111"/>
      <c r="BC101" s="110">
        <f ca="1">(BC36*c_inicial)+(BC36*c_on*12)+(BC36*ci_comp3)+(BC36*(ct_comp3+ca_comp3)*'Time on treatment'!$D$21)</f>
        <v>0</v>
      </c>
      <c r="BF101" s="87" t="s">
        <v>174</v>
      </c>
      <c r="BG101" s="111"/>
      <c r="BH101" s="111"/>
      <c r="BI101" s="111"/>
      <c r="BJ101" s="111"/>
      <c r="BK101" s="110">
        <f ca="1">(BK36*c_inicial)+(BK36*c_on*12)+(BK36*ci_comp4)+(BK36*(ct_comp4+ca_comp4)*'Time on treatment'!$D$22)</f>
        <v>0</v>
      </c>
      <c r="BN101" s="87" t="s">
        <v>174</v>
      </c>
      <c r="BO101" s="111"/>
      <c r="BP101" s="111"/>
      <c r="BQ101" s="111"/>
      <c r="BR101" s="111"/>
      <c r="BS101" s="110">
        <f ca="1">(BS36*c_inicial)+(BS36*c_on*12)+(BS36*ci_comp5)+(BS36*(ct_comp5+ca_comp5)*'Time on treatment'!$D$23)</f>
        <v>0</v>
      </c>
      <c r="BV101" s="87" t="s">
        <v>174</v>
      </c>
      <c r="BW101" s="111"/>
      <c r="BX101" s="111"/>
      <c r="BY101" s="111"/>
      <c r="BZ101" s="111"/>
      <c r="CA101" s="110">
        <f ca="1">(CA36*c_inicial)+(CA36*c_on*12)+(CA36*ci_comp6)+(CA36*(ct_comp6+ca_comp6)*'Time on treatment'!$D$24)</f>
        <v>0</v>
      </c>
      <c r="CD101" s="87" t="s">
        <v>174</v>
      </c>
      <c r="CE101" s="111"/>
      <c r="CF101" s="111"/>
      <c r="CG101" s="111"/>
      <c r="CH101" s="111"/>
      <c r="CI101" s="110">
        <f ca="1">(CI36*c_inicial)+(CI36*c_on*12)+(CI36*ci_comp7)+(CI36*(ct_comp7+ca_comp7)*'Time on treatment'!$D$25)</f>
        <v>0</v>
      </c>
      <c r="CL101" s="87" t="s">
        <v>174</v>
      </c>
      <c r="CM101" s="111"/>
      <c r="CN101" s="111"/>
      <c r="CO101" s="111"/>
      <c r="CP101" s="111"/>
      <c r="CQ101" s="110">
        <f ca="1">(CQ36*c_inicial)+(CQ36*c_on*12)+(CQ36*ci_comp8)+(CQ36*(ct_comp8+ca_comp8)*'Time on treatment'!$D$26)</f>
        <v>0</v>
      </c>
      <c r="CT101" s="87" t="s">
        <v>174</v>
      </c>
      <c r="CU101" s="111"/>
      <c r="CV101" s="111"/>
      <c r="CW101" s="111"/>
      <c r="CX101" s="111"/>
      <c r="CY101" s="110">
        <f ca="1">(CY36*c_inicial)+(CY36*c_on*12)+(CY36*ci_comp9)+(CY36*(ct_comp9+ca_comp9)*'Time on treatment'!$D$27)</f>
        <v>0</v>
      </c>
      <c r="DB101" s="87" t="s">
        <v>174</v>
      </c>
      <c r="DC101" s="111"/>
      <c r="DD101" s="111"/>
      <c r="DE101" s="111"/>
      <c r="DF101" s="111"/>
      <c r="DG101" s="110">
        <f ca="1">(DG36*c_inicial)+(DG36*c_on*12)+(DG36*ci_comp10)+(DG36*(ct_comp10+ca_comp10)*'Time on treatment'!$D$28)</f>
        <v>0</v>
      </c>
    </row>
    <row r="102" spans="2:111" ht="15" thickBot="1">
      <c r="B102" s="87" t="s">
        <v>179</v>
      </c>
      <c r="C102" s="111"/>
      <c r="D102" s="111"/>
      <c r="E102" s="111"/>
      <c r="F102" s="111"/>
      <c r="G102" s="112">
        <v>0</v>
      </c>
      <c r="J102" s="87" t="s">
        <v>179</v>
      </c>
      <c r="K102" s="111"/>
      <c r="L102" s="111"/>
      <c r="M102" s="111"/>
      <c r="N102" s="111"/>
      <c r="O102" s="112">
        <v>0</v>
      </c>
      <c r="R102" s="87" t="s">
        <v>179</v>
      </c>
      <c r="S102" s="111"/>
      <c r="T102" s="111"/>
      <c r="U102" s="111"/>
      <c r="V102" s="111"/>
      <c r="W102" s="112">
        <v>0</v>
      </c>
      <c r="Z102" s="87" t="s">
        <v>179</v>
      </c>
      <c r="AA102" s="111"/>
      <c r="AB102" s="111"/>
      <c r="AC102" s="111"/>
      <c r="AD102" s="111"/>
      <c r="AE102" s="112">
        <v>0</v>
      </c>
      <c r="AH102" s="87" t="s">
        <v>179</v>
      </c>
      <c r="AI102" s="111"/>
      <c r="AJ102" s="111"/>
      <c r="AK102" s="111"/>
      <c r="AL102" s="111"/>
      <c r="AM102" s="112">
        <v>0</v>
      </c>
      <c r="AP102" s="87" t="s">
        <v>179</v>
      </c>
      <c r="AQ102" s="111"/>
      <c r="AR102" s="111"/>
      <c r="AS102" s="111"/>
      <c r="AT102" s="111"/>
      <c r="AU102" s="112">
        <v>0</v>
      </c>
      <c r="AX102" s="87" t="s">
        <v>179</v>
      </c>
      <c r="AY102" s="111"/>
      <c r="AZ102" s="111"/>
      <c r="BA102" s="111"/>
      <c r="BB102" s="111"/>
      <c r="BC102" s="112">
        <v>0</v>
      </c>
      <c r="BF102" s="87" t="s">
        <v>179</v>
      </c>
      <c r="BG102" s="111"/>
      <c r="BH102" s="111"/>
      <c r="BI102" s="111"/>
      <c r="BJ102" s="111"/>
      <c r="BK102" s="112">
        <v>0</v>
      </c>
      <c r="BN102" s="87" t="s">
        <v>179</v>
      </c>
      <c r="BO102" s="111"/>
      <c r="BP102" s="111"/>
      <c r="BQ102" s="111"/>
      <c r="BR102" s="111"/>
      <c r="BS102" s="112">
        <v>0</v>
      </c>
      <c r="BV102" s="87" t="s">
        <v>179</v>
      </c>
      <c r="BW102" s="111"/>
      <c r="BX102" s="111"/>
      <c r="BY102" s="111"/>
      <c r="BZ102" s="111"/>
      <c r="CA102" s="112">
        <v>0</v>
      </c>
      <c r="CD102" s="87" t="s">
        <v>179</v>
      </c>
      <c r="CE102" s="111"/>
      <c r="CF102" s="111"/>
      <c r="CG102" s="111"/>
      <c r="CH102" s="111"/>
      <c r="CI102" s="112">
        <v>0</v>
      </c>
      <c r="CL102" s="87" t="s">
        <v>179</v>
      </c>
      <c r="CM102" s="111"/>
      <c r="CN102" s="111"/>
      <c r="CO102" s="111"/>
      <c r="CP102" s="111"/>
      <c r="CQ102" s="112">
        <v>0</v>
      </c>
      <c r="CT102" s="87" t="s">
        <v>179</v>
      </c>
      <c r="CU102" s="111"/>
      <c r="CV102" s="111"/>
      <c r="CW102" s="111"/>
      <c r="CX102" s="111"/>
      <c r="CY102" s="112">
        <v>0</v>
      </c>
      <c r="DB102" s="87" t="s">
        <v>179</v>
      </c>
      <c r="DC102" s="111"/>
      <c r="DD102" s="111"/>
      <c r="DE102" s="111"/>
      <c r="DF102" s="111"/>
      <c r="DG102" s="112">
        <v>0</v>
      </c>
    </row>
    <row r="103" spans="2:111" ht="15" thickBot="1">
      <c r="B103" s="85" t="str">
        <f>B5</f>
        <v>PET-CT</v>
      </c>
      <c r="C103" s="113">
        <f ca="1">SUM(C93:C101)</f>
        <v>0</v>
      </c>
      <c r="D103" s="113">
        <f ca="1">SUM(D93:D101)</f>
        <v>0</v>
      </c>
      <c r="E103" s="113">
        <f ca="1">SUM(E93:E101)</f>
        <v>0</v>
      </c>
      <c r="F103" s="113">
        <f ca="1">SUM(F93:F101)</f>
        <v>0</v>
      </c>
      <c r="G103" s="114">
        <f ca="1">SUM(G93:G101)</f>
        <v>0</v>
      </c>
      <c r="J103" s="85">
        <f>J5</f>
        <v>0</v>
      </c>
      <c r="K103" s="113">
        <f ca="1">SUM(K93:K101)</f>
        <v>0</v>
      </c>
      <c r="L103" s="113">
        <f ca="1">SUM(L93:L101)</f>
        <v>0</v>
      </c>
      <c r="M103" s="113">
        <f ca="1">SUM(M93:M101)</f>
        <v>0</v>
      </c>
      <c r="N103" s="113">
        <f ca="1">SUM(N93:N101)</f>
        <v>0</v>
      </c>
      <c r="O103" s="114">
        <f ca="1">SUM(O93:O101)</f>
        <v>0</v>
      </c>
      <c r="R103" s="85">
        <f>R5</f>
        <v>0</v>
      </c>
      <c r="S103" s="113">
        <f ca="1">SUM(S93:S101)</f>
        <v>0</v>
      </c>
      <c r="T103" s="113">
        <f ca="1">SUM(T93:T101)</f>
        <v>0</v>
      </c>
      <c r="U103" s="113">
        <f ca="1">SUM(U93:U101)</f>
        <v>0</v>
      </c>
      <c r="V103" s="113">
        <f ca="1">SUM(V93:V101)</f>
        <v>0</v>
      </c>
      <c r="W103" s="114">
        <f ca="1">SUM(W93:W101)</f>
        <v>0</v>
      </c>
      <c r="Z103" s="85">
        <f>Z5</f>
        <v>0</v>
      </c>
      <c r="AA103" s="113">
        <f ca="1">SUM(AA93:AA101)</f>
        <v>0</v>
      </c>
      <c r="AB103" s="113">
        <f ca="1">SUM(AB93:AB101)</f>
        <v>0</v>
      </c>
      <c r="AC103" s="113">
        <f ca="1">SUM(AC93:AC101)</f>
        <v>0</v>
      </c>
      <c r="AD103" s="113">
        <f ca="1">SUM(AD93:AD101)</f>
        <v>0</v>
      </c>
      <c r="AE103" s="114">
        <f ca="1">SUM(AE93:AE101)</f>
        <v>0</v>
      </c>
      <c r="AH103" s="85" t="str">
        <f>AH5</f>
        <v>CT scan + scintigraphy</v>
      </c>
      <c r="AI103" s="113">
        <f ca="1">SUM(AI93:AI101)</f>
        <v>5840477.6854851758</v>
      </c>
      <c r="AJ103" s="113">
        <f ca="1">SUM(AJ93:AJ101)</f>
        <v>5876554.1572671244</v>
      </c>
      <c r="AK103" s="113">
        <f ca="1">SUM(AK93:AK101)</f>
        <v>5911096.1130910916</v>
      </c>
      <c r="AL103" s="113">
        <f ca="1">SUM(AL93:AL101)</f>
        <v>5944062.261561838</v>
      </c>
      <c r="AM103" s="114">
        <f ca="1">SUM(AM93:AM101)</f>
        <v>5975411.3917741701</v>
      </c>
      <c r="AP103" s="85">
        <f>AP5</f>
        <v>0</v>
      </c>
      <c r="AQ103" s="113">
        <f ca="1">SUM(AQ93:AQ101)</f>
        <v>0</v>
      </c>
      <c r="AR103" s="113">
        <f ca="1">SUM(AR93:AR101)</f>
        <v>0</v>
      </c>
      <c r="AS103" s="113">
        <f ca="1">SUM(AS93:AS101)</f>
        <v>0</v>
      </c>
      <c r="AT103" s="113">
        <f ca="1">SUM(AT93:AT101)</f>
        <v>0</v>
      </c>
      <c r="AU103" s="114">
        <f ca="1">SUM(AU93:AU101)</f>
        <v>0</v>
      </c>
      <c r="AX103" s="85">
        <f>AX5</f>
        <v>0</v>
      </c>
      <c r="AY103" s="113">
        <f ca="1">SUM(AY93:AY101)</f>
        <v>0</v>
      </c>
      <c r="AZ103" s="113">
        <f ca="1">SUM(AZ93:AZ101)</f>
        <v>0</v>
      </c>
      <c r="BA103" s="113">
        <f ca="1">SUM(BA93:BA101)</f>
        <v>0</v>
      </c>
      <c r="BB103" s="113">
        <f ca="1">SUM(BB93:BB101)</f>
        <v>0</v>
      </c>
      <c r="BC103" s="114">
        <f ca="1">SUM(BC93:BC101)</f>
        <v>0</v>
      </c>
      <c r="BF103" s="85">
        <f>BF5</f>
        <v>0</v>
      </c>
      <c r="BG103" s="113">
        <f ca="1">SUM(BG93:BG101)</f>
        <v>0</v>
      </c>
      <c r="BH103" s="113">
        <f ca="1">SUM(BH93:BH101)</f>
        <v>0</v>
      </c>
      <c r="BI103" s="113">
        <f ca="1">SUM(BI93:BI101)</f>
        <v>0</v>
      </c>
      <c r="BJ103" s="113">
        <f ca="1">SUM(BJ93:BJ101)</f>
        <v>0</v>
      </c>
      <c r="BK103" s="114">
        <f ca="1">SUM(BK93:BK101)</f>
        <v>0</v>
      </c>
      <c r="BN103" s="85">
        <f>BN5</f>
        <v>0</v>
      </c>
      <c r="BO103" s="113">
        <f ca="1">SUM(BO93:BO101)</f>
        <v>0</v>
      </c>
      <c r="BP103" s="113">
        <f ca="1">SUM(BP93:BP101)</f>
        <v>0</v>
      </c>
      <c r="BQ103" s="113">
        <f ca="1">SUM(BQ93:BQ101)</f>
        <v>0</v>
      </c>
      <c r="BR103" s="113">
        <f ca="1">SUM(BR93:BR101)</f>
        <v>0</v>
      </c>
      <c r="BS103" s="114">
        <f ca="1">SUM(BS93:BS101)</f>
        <v>0</v>
      </c>
      <c r="BV103" s="85">
        <f>BV5</f>
        <v>0</v>
      </c>
      <c r="BW103" s="113">
        <f ca="1">SUM(BW93:BW101)</f>
        <v>0</v>
      </c>
      <c r="BX103" s="113">
        <f ca="1">SUM(BX93:BX101)</f>
        <v>0</v>
      </c>
      <c r="BY103" s="113">
        <f ca="1">SUM(BY93:BY101)</f>
        <v>0</v>
      </c>
      <c r="BZ103" s="113">
        <f ca="1">SUM(BZ93:BZ101)</f>
        <v>0</v>
      </c>
      <c r="CA103" s="114">
        <f ca="1">SUM(CA93:CA101)</f>
        <v>0</v>
      </c>
      <c r="CD103" s="85">
        <f>CD5</f>
        <v>0</v>
      </c>
      <c r="CE103" s="113">
        <f ca="1">SUM(CE93:CE101)</f>
        <v>0</v>
      </c>
      <c r="CF103" s="113">
        <f ca="1">SUM(CF93:CF101)</f>
        <v>0</v>
      </c>
      <c r="CG103" s="113">
        <f ca="1">SUM(CG93:CG101)</f>
        <v>0</v>
      </c>
      <c r="CH103" s="113">
        <f ca="1">SUM(CH93:CH101)</f>
        <v>0</v>
      </c>
      <c r="CI103" s="114">
        <f ca="1">SUM(CI93:CI101)</f>
        <v>0</v>
      </c>
      <c r="CL103" s="85">
        <f>CL5</f>
        <v>0</v>
      </c>
      <c r="CM103" s="113">
        <f ca="1">SUM(CM93:CM101)</f>
        <v>0</v>
      </c>
      <c r="CN103" s="113">
        <f ca="1">SUM(CN93:CN101)</f>
        <v>0</v>
      </c>
      <c r="CO103" s="113">
        <f ca="1">SUM(CO93:CO101)</f>
        <v>0</v>
      </c>
      <c r="CP103" s="113">
        <f ca="1">SUM(CP93:CP101)</f>
        <v>0</v>
      </c>
      <c r="CQ103" s="114">
        <f ca="1">SUM(CQ93:CQ101)</f>
        <v>0</v>
      </c>
      <c r="CT103" s="85">
        <f>CT5</f>
        <v>0</v>
      </c>
      <c r="CU103" s="113">
        <f ca="1">SUM(CU93:CU101)</f>
        <v>0</v>
      </c>
      <c r="CV103" s="113">
        <f ca="1">SUM(CV93:CV101)</f>
        <v>0</v>
      </c>
      <c r="CW103" s="113">
        <f ca="1">SUM(CW93:CW101)</f>
        <v>0</v>
      </c>
      <c r="CX103" s="113">
        <f ca="1">SUM(CX93:CX101)</f>
        <v>0</v>
      </c>
      <c r="CY103" s="114">
        <f ca="1">SUM(CY93:CY101)</f>
        <v>0</v>
      </c>
      <c r="DB103" s="85">
        <f>DB5</f>
        <v>0</v>
      </c>
      <c r="DC103" s="113">
        <f ca="1">SUM(DC93:DC101)</f>
        <v>0</v>
      </c>
      <c r="DD103" s="113">
        <f ca="1">SUM(DD93:DD101)</f>
        <v>0</v>
      </c>
      <c r="DE103" s="113">
        <f ca="1">SUM(DE93:DE101)</f>
        <v>0</v>
      </c>
      <c r="DF103" s="113">
        <f ca="1">SUM(DF93:DF101)</f>
        <v>0</v>
      </c>
      <c r="DG103" s="114">
        <f ca="1">SUM(DG93:DG101)</f>
        <v>0</v>
      </c>
    </row>
    <row r="104" spans="2:111" ht="15" thickBot="1">
      <c r="B104" s="83"/>
      <c r="C104" s="86"/>
      <c r="D104" s="86"/>
      <c r="E104" s="86"/>
      <c r="F104" s="86"/>
      <c r="G104" s="86"/>
      <c r="J104" s="83"/>
      <c r="K104" s="86"/>
      <c r="L104" s="86"/>
      <c r="M104" s="86"/>
      <c r="N104" s="86"/>
      <c r="O104" s="86"/>
      <c r="R104" s="83"/>
      <c r="S104" s="86"/>
      <c r="T104" s="86"/>
      <c r="U104" s="86"/>
      <c r="V104" s="86"/>
      <c r="W104" s="86"/>
      <c r="Z104" s="83"/>
      <c r="AA104" s="86"/>
      <c r="AB104" s="86"/>
      <c r="AC104" s="86"/>
      <c r="AD104" s="86"/>
      <c r="AE104" s="86"/>
      <c r="AH104" s="83"/>
      <c r="AI104" s="86"/>
      <c r="AJ104" s="86"/>
      <c r="AK104" s="86"/>
      <c r="AL104" s="86"/>
      <c r="AM104" s="86"/>
      <c r="AP104" s="83"/>
      <c r="AQ104" s="86"/>
      <c r="AR104" s="86"/>
      <c r="AS104" s="86"/>
      <c r="AT104" s="86"/>
      <c r="AU104" s="86"/>
      <c r="AX104" s="83"/>
      <c r="AY104" s="86"/>
      <c r="AZ104" s="86"/>
      <c r="BA104" s="86"/>
      <c r="BB104" s="86"/>
      <c r="BC104" s="86"/>
      <c r="BF104" s="83"/>
      <c r="BG104" s="86"/>
      <c r="BH104" s="86"/>
      <c r="BI104" s="86"/>
      <c r="BJ104" s="86"/>
      <c r="BK104" s="86"/>
      <c r="BN104" s="83"/>
      <c r="BO104" s="86"/>
      <c r="BP104" s="86"/>
      <c r="BQ104" s="86"/>
      <c r="BR104" s="86"/>
      <c r="BS104" s="86"/>
      <c r="BV104" s="83"/>
      <c r="BW104" s="86"/>
      <c r="BX104" s="86"/>
      <c r="BY104" s="86"/>
      <c r="BZ104" s="86"/>
      <c r="CA104" s="86"/>
      <c r="CD104" s="83"/>
      <c r="CE104" s="86"/>
      <c r="CF104" s="86"/>
      <c r="CG104" s="86"/>
      <c r="CH104" s="86"/>
      <c r="CI104" s="86"/>
      <c r="CL104" s="83"/>
      <c r="CM104" s="86"/>
      <c r="CN104" s="86"/>
      <c r="CO104" s="86"/>
      <c r="CP104" s="86"/>
      <c r="CQ104" s="86"/>
      <c r="CT104" s="83"/>
      <c r="CU104" s="86"/>
      <c r="CV104" s="86"/>
      <c r="CW104" s="86"/>
      <c r="CX104" s="86"/>
      <c r="CY104" s="86"/>
      <c r="DB104" s="83"/>
      <c r="DC104" s="86"/>
      <c r="DD104" s="86"/>
      <c r="DE104" s="86"/>
      <c r="DF104" s="86"/>
      <c r="DG104" s="86"/>
    </row>
    <row r="105" spans="2:111" ht="15" thickBot="1">
      <c r="B105" s="507" t="str">
        <f>B41</f>
        <v>With PET-CT 20-100%</v>
      </c>
      <c r="C105" s="505"/>
      <c r="D105" s="505"/>
      <c r="E105" s="505"/>
      <c r="F105" s="505"/>
      <c r="G105" s="506"/>
      <c r="J105" s="507" t="str">
        <f>J41</f>
        <v>With PET-CT 20-100%</v>
      </c>
      <c r="K105" s="505"/>
      <c r="L105" s="505"/>
      <c r="M105" s="505"/>
      <c r="N105" s="505"/>
      <c r="O105" s="506"/>
      <c r="R105" s="507" t="str">
        <f>R41</f>
        <v>With PET-CT 20-100%</v>
      </c>
      <c r="S105" s="505"/>
      <c r="T105" s="505"/>
      <c r="U105" s="505"/>
      <c r="V105" s="505"/>
      <c r="W105" s="506"/>
      <c r="Z105" s="507" t="str">
        <f>Z41</f>
        <v>With PET-CT 20-100%</v>
      </c>
      <c r="AA105" s="505"/>
      <c r="AB105" s="505"/>
      <c r="AC105" s="505"/>
      <c r="AD105" s="505"/>
      <c r="AE105" s="506"/>
      <c r="AH105" s="507" t="str">
        <f>AH41</f>
        <v>With PET-CT 20-100%</v>
      </c>
      <c r="AI105" s="505"/>
      <c r="AJ105" s="505"/>
      <c r="AK105" s="505"/>
      <c r="AL105" s="505"/>
      <c r="AM105" s="506"/>
      <c r="AP105" s="507" t="str">
        <f>AP41</f>
        <v>With PET-CT 20-100%</v>
      </c>
      <c r="AQ105" s="505"/>
      <c r="AR105" s="505"/>
      <c r="AS105" s="505"/>
      <c r="AT105" s="505"/>
      <c r="AU105" s="506"/>
      <c r="AX105" s="507" t="str">
        <f>AX41</f>
        <v>With PET-CT 20-100%</v>
      </c>
      <c r="AY105" s="505"/>
      <c r="AZ105" s="505"/>
      <c r="BA105" s="505"/>
      <c r="BB105" s="505"/>
      <c r="BC105" s="506"/>
      <c r="BF105" s="507" t="str">
        <f>BF41</f>
        <v>With PET-CT 20-100%</v>
      </c>
      <c r="BG105" s="505"/>
      <c r="BH105" s="505"/>
      <c r="BI105" s="505"/>
      <c r="BJ105" s="505"/>
      <c r="BK105" s="506"/>
      <c r="BN105" s="507" t="str">
        <f>BN41</f>
        <v>With PET-CT 20-100%</v>
      </c>
      <c r="BO105" s="505"/>
      <c r="BP105" s="505"/>
      <c r="BQ105" s="505"/>
      <c r="BR105" s="505"/>
      <c r="BS105" s="506"/>
      <c r="BV105" s="507" t="str">
        <f>BV41</f>
        <v>With PET-CT 20-100%</v>
      </c>
      <c r="BW105" s="505"/>
      <c r="BX105" s="505"/>
      <c r="BY105" s="505"/>
      <c r="BZ105" s="505"/>
      <c r="CA105" s="506"/>
      <c r="CD105" s="507" t="str">
        <f>CD41</f>
        <v>With PET-CT 20-100%</v>
      </c>
      <c r="CE105" s="505"/>
      <c r="CF105" s="505"/>
      <c r="CG105" s="505"/>
      <c r="CH105" s="505"/>
      <c r="CI105" s="506"/>
      <c r="CL105" s="507" t="str">
        <f>CL41</f>
        <v>With PET-CT 20-100%</v>
      </c>
      <c r="CM105" s="505"/>
      <c r="CN105" s="505"/>
      <c r="CO105" s="505"/>
      <c r="CP105" s="505"/>
      <c r="CQ105" s="506"/>
      <c r="CT105" s="507" t="str">
        <f>CT41</f>
        <v>With PET-CT 20-100%</v>
      </c>
      <c r="CU105" s="505"/>
      <c r="CV105" s="505"/>
      <c r="CW105" s="505"/>
      <c r="CX105" s="505"/>
      <c r="CY105" s="506"/>
      <c r="DB105" s="507" t="str">
        <f>DB41</f>
        <v>With PET-CT 20-100%</v>
      </c>
      <c r="DC105" s="505"/>
      <c r="DD105" s="505"/>
      <c r="DE105" s="505"/>
      <c r="DF105" s="505"/>
      <c r="DG105" s="506"/>
    </row>
    <row r="106" spans="2:111">
      <c r="B106" s="84"/>
      <c r="C106" s="101">
        <f>C42</f>
        <v>2024</v>
      </c>
      <c r="D106" s="101">
        <f t="shared" ref="D106:F106" si="286">D42</f>
        <v>2025</v>
      </c>
      <c r="E106" s="101">
        <f t="shared" si="286"/>
        <v>2026</v>
      </c>
      <c r="F106" s="101">
        <f t="shared" si="286"/>
        <v>2027</v>
      </c>
      <c r="G106" s="102">
        <f>G42</f>
        <v>2028</v>
      </c>
      <c r="J106" s="84"/>
      <c r="K106" s="101">
        <f>K42</f>
        <v>2024</v>
      </c>
      <c r="L106" s="101">
        <f t="shared" ref="L106:N106" si="287">L42</f>
        <v>2025</v>
      </c>
      <c r="M106" s="101">
        <f t="shared" si="287"/>
        <v>2026</v>
      </c>
      <c r="N106" s="101">
        <f t="shared" si="287"/>
        <v>2027</v>
      </c>
      <c r="O106" s="102">
        <f>O42</f>
        <v>2028</v>
      </c>
      <c r="R106" s="84"/>
      <c r="S106" s="101">
        <f>S42</f>
        <v>2024</v>
      </c>
      <c r="T106" s="101">
        <f t="shared" ref="T106:V106" si="288">T42</f>
        <v>2025</v>
      </c>
      <c r="U106" s="101">
        <f t="shared" si="288"/>
        <v>2026</v>
      </c>
      <c r="V106" s="101">
        <f t="shared" si="288"/>
        <v>2027</v>
      </c>
      <c r="W106" s="102">
        <f>W42</f>
        <v>2028</v>
      </c>
      <c r="Z106" s="84"/>
      <c r="AA106" s="101">
        <f>AA42</f>
        <v>2024</v>
      </c>
      <c r="AB106" s="101">
        <f t="shared" ref="AB106:AD106" si="289">AB42</f>
        <v>2025</v>
      </c>
      <c r="AC106" s="101">
        <f t="shared" si="289"/>
        <v>2026</v>
      </c>
      <c r="AD106" s="101">
        <f t="shared" si="289"/>
        <v>2027</v>
      </c>
      <c r="AE106" s="102">
        <f>AE42</f>
        <v>2028</v>
      </c>
      <c r="AH106" s="84"/>
      <c r="AI106" s="101">
        <f>AI42</f>
        <v>2024</v>
      </c>
      <c r="AJ106" s="101">
        <f t="shared" ref="AJ106:AL106" si="290">AJ42</f>
        <v>2025</v>
      </c>
      <c r="AK106" s="101">
        <f t="shared" si="290"/>
        <v>2026</v>
      </c>
      <c r="AL106" s="101">
        <f t="shared" si="290"/>
        <v>2027</v>
      </c>
      <c r="AM106" s="102">
        <f>AM42</f>
        <v>2028</v>
      </c>
      <c r="AP106" s="84"/>
      <c r="AQ106" s="101">
        <f>AQ42</f>
        <v>2024</v>
      </c>
      <c r="AR106" s="101">
        <f t="shared" ref="AR106:AT106" si="291">AR42</f>
        <v>2025</v>
      </c>
      <c r="AS106" s="101">
        <f t="shared" si="291"/>
        <v>2026</v>
      </c>
      <c r="AT106" s="101">
        <f t="shared" si="291"/>
        <v>2027</v>
      </c>
      <c r="AU106" s="102">
        <f>AU42</f>
        <v>2028</v>
      </c>
      <c r="AX106" s="84"/>
      <c r="AY106" s="101">
        <f>AY42</f>
        <v>2024</v>
      </c>
      <c r="AZ106" s="101">
        <f t="shared" ref="AZ106:BB106" si="292">AZ42</f>
        <v>2025</v>
      </c>
      <c r="BA106" s="101">
        <f t="shared" si="292"/>
        <v>2026</v>
      </c>
      <c r="BB106" s="101">
        <f t="shared" si="292"/>
        <v>2027</v>
      </c>
      <c r="BC106" s="102">
        <f>BC42</f>
        <v>2028</v>
      </c>
      <c r="BF106" s="84"/>
      <c r="BG106" s="101">
        <f>BG42</f>
        <v>2024</v>
      </c>
      <c r="BH106" s="101">
        <f t="shared" ref="BH106:BJ106" si="293">BH42</f>
        <v>2025</v>
      </c>
      <c r="BI106" s="101">
        <f t="shared" si="293"/>
        <v>2026</v>
      </c>
      <c r="BJ106" s="101">
        <f t="shared" si="293"/>
        <v>2027</v>
      </c>
      <c r="BK106" s="102">
        <f>BK42</f>
        <v>2028</v>
      </c>
      <c r="BN106" s="84"/>
      <c r="BO106" s="101">
        <f>BO42</f>
        <v>2024</v>
      </c>
      <c r="BP106" s="101">
        <f t="shared" ref="BP106:BR106" si="294">BP42</f>
        <v>2025</v>
      </c>
      <c r="BQ106" s="101">
        <f t="shared" si="294"/>
        <v>2026</v>
      </c>
      <c r="BR106" s="101">
        <f t="shared" si="294"/>
        <v>2027</v>
      </c>
      <c r="BS106" s="102">
        <f>BS42</f>
        <v>2028</v>
      </c>
      <c r="BV106" s="84"/>
      <c r="BW106" s="101">
        <f>BW42</f>
        <v>2024</v>
      </c>
      <c r="BX106" s="101">
        <f t="shared" ref="BX106:BZ106" si="295">BX42</f>
        <v>2025</v>
      </c>
      <c r="BY106" s="101">
        <f t="shared" si="295"/>
        <v>2026</v>
      </c>
      <c r="BZ106" s="101">
        <f t="shared" si="295"/>
        <v>2027</v>
      </c>
      <c r="CA106" s="102">
        <f>CA42</f>
        <v>2028</v>
      </c>
      <c r="CD106" s="84"/>
      <c r="CE106" s="101">
        <f>CE42</f>
        <v>2024</v>
      </c>
      <c r="CF106" s="101">
        <f t="shared" ref="CF106:CH106" si="296">CF42</f>
        <v>2025</v>
      </c>
      <c r="CG106" s="101">
        <f t="shared" si="296"/>
        <v>2026</v>
      </c>
      <c r="CH106" s="101">
        <f t="shared" si="296"/>
        <v>2027</v>
      </c>
      <c r="CI106" s="102">
        <f>CI42</f>
        <v>2028</v>
      </c>
      <c r="CL106" s="84"/>
      <c r="CM106" s="101">
        <f>CM42</f>
        <v>2024</v>
      </c>
      <c r="CN106" s="101">
        <f t="shared" ref="CN106:CP106" si="297">CN42</f>
        <v>2025</v>
      </c>
      <c r="CO106" s="101">
        <f t="shared" si="297"/>
        <v>2026</v>
      </c>
      <c r="CP106" s="101">
        <f t="shared" si="297"/>
        <v>2027</v>
      </c>
      <c r="CQ106" s="102">
        <f>CQ42</f>
        <v>2028</v>
      </c>
      <c r="CT106" s="84"/>
      <c r="CU106" s="101">
        <f>CU42</f>
        <v>2024</v>
      </c>
      <c r="CV106" s="101">
        <f t="shared" ref="CV106:CX106" si="298">CV42</f>
        <v>2025</v>
      </c>
      <c r="CW106" s="101">
        <f t="shared" si="298"/>
        <v>2026</v>
      </c>
      <c r="CX106" s="101">
        <f t="shared" si="298"/>
        <v>2027</v>
      </c>
      <c r="CY106" s="102">
        <f>CY42</f>
        <v>2028</v>
      </c>
      <c r="DB106" s="84"/>
      <c r="DC106" s="101">
        <f>DC42</f>
        <v>2024</v>
      </c>
      <c r="DD106" s="101">
        <f t="shared" ref="DD106:DF106" si="299">DD42</f>
        <v>2025</v>
      </c>
      <c r="DE106" s="101">
        <f t="shared" si="299"/>
        <v>2026</v>
      </c>
      <c r="DF106" s="101">
        <f t="shared" si="299"/>
        <v>2027</v>
      </c>
      <c r="DG106" s="102">
        <f>DG42</f>
        <v>2028</v>
      </c>
    </row>
    <row r="107" spans="2:111">
      <c r="B107" s="87" t="s">
        <v>170</v>
      </c>
      <c r="C107" s="109">
        <f ca="1">(C43*c_inicial)+(C43*c_on*12)+(C43*ci_int1)+(C43*(ct_int1+ca_int1)*'Time on treatment'!$D$12)</f>
        <v>3181339.1732890946</v>
      </c>
      <c r="D107" s="109">
        <f ca="1">(D43*c_on*12)+(D43*(ct_int1+ca_int1)*'Time on treatment'!$E$12)</f>
        <v>0</v>
      </c>
      <c r="E107" s="109">
        <f ca="1">(E43*c_on*12)+(E43*(ct_int1+ca_int1)*'Time on treatment'!$F$12)</f>
        <v>0</v>
      </c>
      <c r="F107" s="109">
        <f ca="1">(F43*c_on*12)+(F43*(ct_int1+ca_int1)*'Time on treatment'!$G$12)</f>
        <v>0</v>
      </c>
      <c r="G107" s="110">
        <f ca="1">(G43*c_on*12)+(G43*(ct_int1+ca_int1)*'Time on treatment'!$H$12)</f>
        <v>0</v>
      </c>
      <c r="J107" s="87" t="s">
        <v>170</v>
      </c>
      <c r="K107" s="109">
        <f ca="1">(K43*c_inicial)+(K43*c_on*12)+(K43*ci_int2)+(K43*(ct_int2+ca_int2)*'Time on treatment'!$D$13)</f>
        <v>0</v>
      </c>
      <c r="L107" s="109">
        <f ca="1">(L43*c_on*12)+(L43*(ct_int2+ca_int2)*'Time on treatment'!$E$13)</f>
        <v>0</v>
      </c>
      <c r="M107" s="109">
        <f ca="1">(M43*c_on*12)+(M43*(ct_int2+ca_int2)*'Time on treatment'!$F$13)</f>
        <v>0</v>
      </c>
      <c r="N107" s="109">
        <f ca="1">(N43*c_on*12)+(N43*(ct_int2+ca_int2)*'Time on treatment'!$G$13)</f>
        <v>0</v>
      </c>
      <c r="O107" s="110">
        <f ca="1">(O43*c_on*12)+(O43*(ct_int2+ca_int2)*'Time on treatment'!$H$13)</f>
        <v>0</v>
      </c>
      <c r="R107" s="87" t="s">
        <v>170</v>
      </c>
      <c r="S107" s="109">
        <f ca="1">(S43*c_inicial)+(S43*c_on*12)+(S43*ci_int3)+(S43*(ct_int3+ca_int3)*'Time on treatment'!$D$14)</f>
        <v>0</v>
      </c>
      <c r="T107" s="109">
        <f ca="1">(T43*c_on*12)+(T43*(ct_int3+ca_int3)*'Time on treatment'!$E$14)</f>
        <v>0</v>
      </c>
      <c r="U107" s="109">
        <f ca="1">(U43*c_on*12)+(U43*(ct_int3+ca_int3)*'Time on treatment'!$F$14)</f>
        <v>0</v>
      </c>
      <c r="V107" s="109">
        <f ca="1">(V43*c_on*12)+(V43*(ct_int3+ca_int3)*'Time on treatment'!$G$14)</f>
        <v>0</v>
      </c>
      <c r="W107" s="110">
        <f ca="1">(W43*c_on*12)+(W43*(ct_int3+ca_int3)*'Time on treatment'!$H$14)</f>
        <v>0</v>
      </c>
      <c r="Z107" s="87" t="s">
        <v>170</v>
      </c>
      <c r="AA107" s="109">
        <f ca="1">(AA43*c_inicial)+(AA43*c_on*12)+(AA43*ci_int4)+(AA43*(ct_int4+ca_int4)*'Time on treatment'!$D$15)</f>
        <v>0</v>
      </c>
      <c r="AB107" s="109">
        <f ca="1">(AB43*c_on*12)+(AB43*(ct_int4+ca_int4)*'Time on treatment'!$E$15)</f>
        <v>0</v>
      </c>
      <c r="AC107" s="109">
        <f ca="1">(AC43*c_on*12)+(AC43*(ct_int4+ca_int4)*'Time on treatment'!$F$15)</f>
        <v>0</v>
      </c>
      <c r="AD107" s="109">
        <f ca="1">(AD43*c_on*12)+(AD43*(ct_int4+ca_int4)*'Time on treatment'!$G$15)</f>
        <v>0</v>
      </c>
      <c r="AE107" s="110">
        <f ca="1">(AE43*c_on*12)+(AE43*(ct_int4+ca_int4)*'Time on treatment'!$H$15)</f>
        <v>0</v>
      </c>
      <c r="AH107" s="87" t="s">
        <v>170</v>
      </c>
      <c r="AI107" s="109">
        <f ca="1">(AI43*c_inicial)+(AI43*c_on*12)+(AI43*ci_comp1)+(AI43*(ct_comp1+ca_comp1)*'Time on treatment'!$D$19)</f>
        <v>4672382.1483881408</v>
      </c>
      <c r="AJ107" s="109">
        <f ca="1">(AJ43*c_on*12)+(AJ43*(ct_comp1+ca_comp1)*'Time on treatment'!$E$19)</f>
        <v>0</v>
      </c>
      <c r="AK107" s="109">
        <f ca="1">(AK43*c_on*12)+(AK43*(ct_comp1+ca_comp1)*'Time on treatment'!$F$19)</f>
        <v>0</v>
      </c>
      <c r="AL107" s="109">
        <f ca="1">(AL43*c_on*12)+(AL43*(ct_comp1+ca_comp1)*'Time on treatment'!$G$19)</f>
        <v>0</v>
      </c>
      <c r="AM107" s="110">
        <f ca="1">(AM43*c_on*12)+(AM43*(ct_comp1+ca_comp1)*'Time on treatment'!$H$19)</f>
        <v>0</v>
      </c>
      <c r="AP107" s="87" t="s">
        <v>170</v>
      </c>
      <c r="AQ107" s="109">
        <f ca="1">(AQ43*c_inicial)+(AQ43*c_on*12)+(AQ43*ci_comp2)+(AQ43*(ct_comp2+ca_comp2)*'Time on treatment'!$D$20)</f>
        <v>0</v>
      </c>
      <c r="AR107" s="109">
        <f ca="1">(AR43*c_on*12)+(AR43*(ct_comp2+ca_comp2)*'Time on treatment'!$E$20)</f>
        <v>0</v>
      </c>
      <c r="AS107" s="109">
        <f ca="1">(AS43*c_on*12)+(AS43*(ct_comp2+ca_comp2)*'Time on treatment'!$F$20)</f>
        <v>0</v>
      </c>
      <c r="AT107" s="109">
        <f ca="1">(AT43*c_on*12)+(AT43*(ct_comp2+ca_comp2)*'Time on treatment'!$G$20)</f>
        <v>0</v>
      </c>
      <c r="AU107" s="110">
        <f ca="1">(AU43*c_on*12)+(AU43*(ct_comp2+ca_comp2)*'Time on treatment'!$H$20)</f>
        <v>0</v>
      </c>
      <c r="AX107" s="87" t="s">
        <v>170</v>
      </c>
      <c r="AY107" s="109">
        <f ca="1">(AY43*c_inicial)+(AY43*c_on*12)+(AY43*ci_comp3)+(AY43*(ct_comp3+ca_comp3)*'Time on treatment'!$D$21)</f>
        <v>0</v>
      </c>
      <c r="AZ107" s="109">
        <f ca="1">(AZ43*c_on*12)+(AZ43*(ct_comp3+ca_comp3)*'Time on treatment'!$E$21)</f>
        <v>0</v>
      </c>
      <c r="BA107" s="109">
        <f ca="1">(BA43*c_on*12)+(BA43*(ct_comp3+ca_comp3)*'Time on treatment'!$F$21)</f>
        <v>0</v>
      </c>
      <c r="BB107" s="109">
        <f ca="1">(BB43*c_on*12)+(BB43*(ct_comp3+ca_comp3)*'Time on treatment'!$G$21)</f>
        <v>0</v>
      </c>
      <c r="BC107" s="110">
        <f ca="1">(BC43*c_on*12)+(BC43*(ct_comp3+ca_comp3)*'Time on treatment'!$H$21)</f>
        <v>0</v>
      </c>
      <c r="BF107" s="87" t="s">
        <v>170</v>
      </c>
      <c r="BG107" s="109">
        <f ca="1">(BG43*c_inicial)+(BG43*c_on*12)+(BG43*ci_comp4)+(BG43*(ct_comp4+ca_comp4)*'Time on treatment'!$D$22)</f>
        <v>0</v>
      </c>
      <c r="BH107" s="109">
        <f ca="1">(BH43*c_on*12)+(BH43*(ct_comp4+ca_comp4)*'Time on treatment'!$E$22)</f>
        <v>0</v>
      </c>
      <c r="BI107" s="109">
        <f ca="1">(BI43*c_on*12)+(BI43*(ct_comp4+ca_comp4)*'Time on treatment'!$F$22)</f>
        <v>0</v>
      </c>
      <c r="BJ107" s="109">
        <f ca="1">(BJ43*c_on*12)+(BJ43*(ct_comp4+ca_comp4)*'Time on treatment'!$G$22)</f>
        <v>0</v>
      </c>
      <c r="BK107" s="110">
        <f ca="1">(BK43*c_on*12)+(BK43*(ct_comp4+ca_comp4)*'Time on treatment'!$H$22)</f>
        <v>0</v>
      </c>
      <c r="BN107" s="87" t="s">
        <v>170</v>
      </c>
      <c r="BO107" s="109">
        <f ca="1">(BO43*c_inicial)+(BO43*c_on*12)+(BO43*ci_comp5)+(BO43*(ct_comp5+ca_comp5)*'Time on treatment'!$D$23)</f>
        <v>0</v>
      </c>
      <c r="BP107" s="109">
        <f ca="1">(BP43*c_on*12)+(BP43*(ct_comp5+ca_comp5)*'Time on treatment'!$E$23)</f>
        <v>0</v>
      </c>
      <c r="BQ107" s="109">
        <f ca="1">(BQ43*c_on*12)+(BQ43*(ct_comp5+ca_comp5)*'Time on treatment'!$F$23)</f>
        <v>0</v>
      </c>
      <c r="BR107" s="109">
        <f ca="1">(BR43*c_on*12)+(BR43*(ct_comp5+ca_comp5)*'Time on treatment'!$G$23)</f>
        <v>0</v>
      </c>
      <c r="BS107" s="110">
        <f ca="1">(BS43*c_on*12)+(BS43*(ct_comp5+ca_comp5)*'Time on treatment'!$H$23)</f>
        <v>0</v>
      </c>
      <c r="BV107" s="87" t="s">
        <v>170</v>
      </c>
      <c r="BW107" s="109">
        <f ca="1">(BW43*c_inicial)+(BW43*c_on*12)+(BW43*ci_comp6)+(BW43*(ct_comp6+ca_comp6)*'Time on treatment'!$D$24)</f>
        <v>0</v>
      </c>
      <c r="BX107" s="109">
        <f ca="1">(BX43*c_on*12)+(BX43*(ct_comp6+ca_comp6)*'Time on treatment'!$E$24)</f>
        <v>0</v>
      </c>
      <c r="BY107" s="109">
        <f ca="1">(BY43*c_on*12)+(BY43*(ct_comp6+ca_comp6)*'Time on treatment'!$F$24)</f>
        <v>0</v>
      </c>
      <c r="BZ107" s="109">
        <f ca="1">(BZ43*c_on*12)+(BZ43*(ct_comp6+ca_comp6)*'Time on treatment'!$G$24)</f>
        <v>0</v>
      </c>
      <c r="CA107" s="110">
        <f ca="1">(CA43*c_on*12)+(CA43*(ct_comp6+ca_comp6)*'Time on treatment'!$H$24)</f>
        <v>0</v>
      </c>
      <c r="CD107" s="87" t="s">
        <v>170</v>
      </c>
      <c r="CE107" s="109">
        <f ca="1">(CE43*c_inicial)+(CE43*c_on*12)+(CE43*ci_comp7)+(CE43*(ct_comp7+ca_comp7)*'Time on treatment'!$D$25)</f>
        <v>0</v>
      </c>
      <c r="CF107" s="109">
        <f ca="1">(CF43*c_on*12)+(CF43*(ct_comp7+ca_comp7)*'Time on treatment'!$E$25)</f>
        <v>0</v>
      </c>
      <c r="CG107" s="109">
        <f ca="1">(CG43*c_on*12)+(CG43*(ct_comp7+ca_comp7)*'Time on treatment'!$F$25)</f>
        <v>0</v>
      </c>
      <c r="CH107" s="109">
        <f ca="1">(CH43*c_on*12)+(CH43*(ct_comp7+ca_comp7)*'Time on treatment'!$G$25)</f>
        <v>0</v>
      </c>
      <c r="CI107" s="110">
        <f ca="1">(CI43*c_on*12)+(CI43*(ct_comp7+ca_comp7)*'Time on treatment'!$H$25)</f>
        <v>0</v>
      </c>
      <c r="CL107" s="87" t="s">
        <v>170</v>
      </c>
      <c r="CM107" s="109">
        <f ca="1">(CM43*c_inicial)+(CM43*c_on*12)+(CM43*ci_comp8)+(CM43*(ct_comp8+ca_comp8)*'Time on treatment'!$D$26)</f>
        <v>0</v>
      </c>
      <c r="CN107" s="109">
        <f ca="1">(CN43*c_on*12)+(CN43*(ct_comp8+ca_comp8)*'Time on treatment'!$E$26)</f>
        <v>0</v>
      </c>
      <c r="CO107" s="109">
        <f ca="1">(CO43*c_on*12)+(CO43*(ct_comp8+ca_comp8)*'Time on treatment'!$F$26)</f>
        <v>0</v>
      </c>
      <c r="CP107" s="109">
        <f ca="1">(CP43*c_on*12)+(CP43*(ct_comp8+ca_comp8)*'Time on treatment'!$G$26)</f>
        <v>0</v>
      </c>
      <c r="CQ107" s="110">
        <f ca="1">(CQ43*c_on*12)+(CQ43*(ct_comp8+ca_comp8)*'Time on treatment'!$H$26)</f>
        <v>0</v>
      </c>
      <c r="CT107" s="87" t="s">
        <v>170</v>
      </c>
      <c r="CU107" s="109">
        <f ca="1">(CU43*c_inicial)+(CU43*c_on*12)+(CU43*ci_comp9)+(CU43*(ct_comp9+ca_comp9)*'Time on treatment'!$D$27)</f>
        <v>0</v>
      </c>
      <c r="CV107" s="109">
        <f ca="1">(CV43*c_on*12)+(CV43*(ct_comp9+ca_comp9)*'Time on treatment'!$E$27)</f>
        <v>0</v>
      </c>
      <c r="CW107" s="109">
        <f ca="1">(CW43*c_on*12)+(CW43*(ct_comp9+ca_comp9)*'Time on treatment'!$F$27)</f>
        <v>0</v>
      </c>
      <c r="CX107" s="109">
        <f ca="1">(CX43*c_on*12)+(CX43*(ct_comp9+ca_comp9)*'Time on treatment'!$G$27)</f>
        <v>0</v>
      </c>
      <c r="CY107" s="110">
        <f ca="1">(CY43*c_on*12)+(CY43*(ct_comp9+ca_comp9)*'Time on treatment'!$H$27)</f>
        <v>0</v>
      </c>
      <c r="DB107" s="87" t="s">
        <v>170</v>
      </c>
      <c r="DC107" s="109">
        <f ca="1">(DC43*c_inicial)+(DC43*c_on*12)+(DC43*ci_comp10)+(DC43*(ct_comp10+ca_comp10)*'Time on treatment'!$D$28)</f>
        <v>0</v>
      </c>
      <c r="DD107" s="109">
        <f ca="1">(DD43*c_on*12)+(DD43*(ct_comp10+ca_comp10)*'Time on treatment'!$E$28)</f>
        <v>0</v>
      </c>
      <c r="DE107" s="109">
        <f ca="1">(DE43*c_on*12)+(DE43*(ct_comp10+ca_comp10)*'Time on treatment'!$F$28)</f>
        <v>0</v>
      </c>
      <c r="DF107" s="109">
        <f ca="1">(DF43*c_on*12)+(DF43*(ct_comp10+ca_comp10)*'Time on treatment'!$G$28)</f>
        <v>0</v>
      </c>
      <c r="DG107" s="110">
        <f ca="1">(DG43*c_on*12)+(DG43*(ct_comp10+ca_comp10)*'Time on treatment'!$H$28)</f>
        <v>0</v>
      </c>
    </row>
    <row r="108" spans="2:111">
      <c r="B108" s="87" t="s">
        <v>175</v>
      </c>
      <c r="C108" s="109">
        <f>C44*c_off</f>
        <v>0</v>
      </c>
      <c r="D108" s="109">
        <f>D44*c_off</f>
        <v>0</v>
      </c>
      <c r="E108" s="109">
        <f>E44*c_off</f>
        <v>0</v>
      </c>
      <c r="F108" s="109">
        <f>F44*c_off</f>
        <v>0</v>
      </c>
      <c r="G108" s="110">
        <f>G44*c_off</f>
        <v>0</v>
      </c>
      <c r="J108" s="87" t="s">
        <v>175</v>
      </c>
      <c r="K108" s="109">
        <f>K44*c_off</f>
        <v>0</v>
      </c>
      <c r="L108" s="109">
        <f>L44*c_off</f>
        <v>0</v>
      </c>
      <c r="M108" s="109">
        <f>M44*c_off</f>
        <v>0</v>
      </c>
      <c r="N108" s="109">
        <f>N44*c_off</f>
        <v>0</v>
      </c>
      <c r="O108" s="110">
        <f>O44*c_off</f>
        <v>0</v>
      </c>
      <c r="R108" s="87" t="s">
        <v>175</v>
      </c>
      <c r="S108" s="109">
        <f>S44*c_off</f>
        <v>0</v>
      </c>
      <c r="T108" s="109">
        <f>T44*c_off</f>
        <v>0</v>
      </c>
      <c r="U108" s="109">
        <f>U44*c_off</f>
        <v>0</v>
      </c>
      <c r="V108" s="109">
        <f>V44*c_off</f>
        <v>0</v>
      </c>
      <c r="W108" s="110">
        <f>W44*c_off</f>
        <v>0</v>
      </c>
      <c r="Z108" s="87" t="s">
        <v>175</v>
      </c>
      <c r="AA108" s="109">
        <f>AA44*c_off</f>
        <v>0</v>
      </c>
      <c r="AB108" s="109">
        <f>AB44*c_off</f>
        <v>0</v>
      </c>
      <c r="AC108" s="109">
        <f>AC44*c_off</f>
        <v>0</v>
      </c>
      <c r="AD108" s="109">
        <f>AD44*c_off</f>
        <v>0</v>
      </c>
      <c r="AE108" s="110">
        <f>AE44*c_off</f>
        <v>0</v>
      </c>
      <c r="AH108" s="87" t="s">
        <v>175</v>
      </c>
      <c r="AI108" s="109">
        <f>AI44*c_off</f>
        <v>0</v>
      </c>
      <c r="AJ108" s="109">
        <f>AJ44*c_off</f>
        <v>0</v>
      </c>
      <c r="AK108" s="109">
        <f>AK44*c_off</f>
        <v>0</v>
      </c>
      <c r="AL108" s="109">
        <f>AL44*c_off</f>
        <v>0</v>
      </c>
      <c r="AM108" s="110">
        <f>AM44*c_off</f>
        <v>0</v>
      </c>
      <c r="AP108" s="87" t="s">
        <v>175</v>
      </c>
      <c r="AQ108" s="109">
        <f>AQ44*c_off</f>
        <v>0</v>
      </c>
      <c r="AR108" s="109">
        <f>AR44*c_off</f>
        <v>0</v>
      </c>
      <c r="AS108" s="109">
        <f>AS44*c_off</f>
        <v>0</v>
      </c>
      <c r="AT108" s="109">
        <f>AT44*c_off</f>
        <v>0</v>
      </c>
      <c r="AU108" s="110">
        <f>AU44*c_off</f>
        <v>0</v>
      </c>
      <c r="AX108" s="87" t="s">
        <v>175</v>
      </c>
      <c r="AY108" s="109">
        <f>AY44*c_off</f>
        <v>0</v>
      </c>
      <c r="AZ108" s="109">
        <f>AZ44*c_off</f>
        <v>0</v>
      </c>
      <c r="BA108" s="109">
        <f>BA44*c_off</f>
        <v>0</v>
      </c>
      <c r="BB108" s="109">
        <f>BB44*c_off</f>
        <v>0</v>
      </c>
      <c r="BC108" s="110">
        <f>BC44*c_off</f>
        <v>0</v>
      </c>
      <c r="BF108" s="87" t="s">
        <v>175</v>
      </c>
      <c r="BG108" s="109">
        <f>BG44*c_off</f>
        <v>0</v>
      </c>
      <c r="BH108" s="109">
        <f>BH44*c_off</f>
        <v>0</v>
      </c>
      <c r="BI108" s="109">
        <f>BI44*c_off</f>
        <v>0</v>
      </c>
      <c r="BJ108" s="109">
        <f>BJ44*c_off</f>
        <v>0</v>
      </c>
      <c r="BK108" s="110">
        <f>BK44*c_off</f>
        <v>0</v>
      </c>
      <c r="BN108" s="87" t="s">
        <v>175</v>
      </c>
      <c r="BO108" s="109">
        <f>BO44*c_off</f>
        <v>0</v>
      </c>
      <c r="BP108" s="109">
        <f>BP44*c_off</f>
        <v>0</v>
      </c>
      <c r="BQ108" s="109">
        <f>BQ44*c_off</f>
        <v>0</v>
      </c>
      <c r="BR108" s="109">
        <f>BR44*c_off</f>
        <v>0</v>
      </c>
      <c r="BS108" s="110">
        <f>BS44*c_off</f>
        <v>0</v>
      </c>
      <c r="BV108" s="87" t="s">
        <v>175</v>
      </c>
      <c r="BW108" s="109">
        <f>BW44*c_off</f>
        <v>0</v>
      </c>
      <c r="BX108" s="109">
        <f>BX44*c_off</f>
        <v>0</v>
      </c>
      <c r="BY108" s="109">
        <f>BY44*c_off</f>
        <v>0</v>
      </c>
      <c r="BZ108" s="109">
        <f>BZ44*c_off</f>
        <v>0</v>
      </c>
      <c r="CA108" s="110">
        <f>CA44*c_off</f>
        <v>0</v>
      </c>
      <c r="CD108" s="87" t="s">
        <v>175</v>
      </c>
      <c r="CE108" s="109">
        <f>CE44*c_off</f>
        <v>0</v>
      </c>
      <c r="CF108" s="109">
        <f>CF44*c_off</f>
        <v>0</v>
      </c>
      <c r="CG108" s="109">
        <f>CG44*c_off</f>
        <v>0</v>
      </c>
      <c r="CH108" s="109">
        <f>CH44*c_off</f>
        <v>0</v>
      </c>
      <c r="CI108" s="110">
        <f>CI44*c_off</f>
        <v>0</v>
      </c>
      <c r="CL108" s="87" t="s">
        <v>175</v>
      </c>
      <c r="CM108" s="109">
        <f>CM44*c_off</f>
        <v>0</v>
      </c>
      <c r="CN108" s="109">
        <f>CN44*c_off</f>
        <v>0</v>
      </c>
      <c r="CO108" s="109">
        <f>CO44*c_off</f>
        <v>0</v>
      </c>
      <c r="CP108" s="109">
        <f>CP44*c_off</f>
        <v>0</v>
      </c>
      <c r="CQ108" s="110">
        <f>CQ44*c_off</f>
        <v>0</v>
      </c>
      <c r="CT108" s="87" t="s">
        <v>175</v>
      </c>
      <c r="CU108" s="109">
        <f>CU44*c_off</f>
        <v>0</v>
      </c>
      <c r="CV108" s="109">
        <f>CV44*c_off</f>
        <v>0</v>
      </c>
      <c r="CW108" s="109">
        <f>CW44*c_off</f>
        <v>0</v>
      </c>
      <c r="CX108" s="109">
        <f>CX44*c_off</f>
        <v>0</v>
      </c>
      <c r="CY108" s="110">
        <f>CY44*c_off</f>
        <v>0</v>
      </c>
      <c r="DB108" s="87" t="s">
        <v>175</v>
      </c>
      <c r="DC108" s="109">
        <f>DC44*c_off</f>
        <v>0</v>
      </c>
      <c r="DD108" s="109">
        <f>DD44*c_off</f>
        <v>0</v>
      </c>
      <c r="DE108" s="109">
        <f>DE44*c_off</f>
        <v>0</v>
      </c>
      <c r="DF108" s="109">
        <f>DF44*c_off</f>
        <v>0</v>
      </c>
      <c r="DG108" s="110">
        <f>DG44*c_off</f>
        <v>0</v>
      </c>
    </row>
    <row r="109" spans="2:111">
      <c r="B109" s="87" t="s">
        <v>171</v>
      </c>
      <c r="C109" s="111"/>
      <c r="D109" s="109">
        <f ca="1">(D45*c_inicial)+(D45*c_on*12)+(D45*ci_int1)+(D45*(ct_int1+ca_int1)*'Time on treatment'!$D$12)</f>
        <v>6401980.437638036</v>
      </c>
      <c r="E109" s="109">
        <f ca="1">(E45*c_on*12)+(E45*(ct_int1+ca_int1)*'Time on treatment'!$E$12)</f>
        <v>0</v>
      </c>
      <c r="F109" s="109">
        <f ca="1">(F45*c_on*12)+(F45*(ct_int1+ca_int1)*'Time on treatment'!$F$12)</f>
        <v>0</v>
      </c>
      <c r="G109" s="110">
        <f ca="1">(G45*c_on*12)+(G45*(ct_int1+ca_int1)*'Time on treatment'!$G$12)</f>
        <v>0</v>
      </c>
      <c r="J109" s="87" t="s">
        <v>171</v>
      </c>
      <c r="K109" s="111"/>
      <c r="L109" s="109">
        <f ca="1">(L45*c_inicial)+(L45*c_on*12)+(L45*ci_int2)+(L45*(ct_int2+ca_int2)*'Time on treatment'!$D$13)</f>
        <v>0</v>
      </c>
      <c r="M109" s="109">
        <f ca="1">(M45*c_on*12)+(M45*(ct_int2+ca_int2)*'Time on treatment'!$E$13)</f>
        <v>0</v>
      </c>
      <c r="N109" s="109">
        <f ca="1">(N45*c_on*12)+(N45*(ct_int2+ca_int2)*'Time on treatment'!$F$13)</f>
        <v>0</v>
      </c>
      <c r="O109" s="110">
        <f ca="1">(O45*c_on*12)+(O45*(ct_int2+ca_int2)*'Time on treatment'!$G$13)</f>
        <v>0</v>
      </c>
      <c r="R109" s="87" t="s">
        <v>171</v>
      </c>
      <c r="S109" s="111"/>
      <c r="T109" s="109">
        <f ca="1">(T45*c_inicial)+(T45*c_on*12)+(T45*ci_int3)+(T45*(ct_int3+ca_int3)*'Time on treatment'!$D$14)</f>
        <v>0</v>
      </c>
      <c r="U109" s="109">
        <f ca="1">(U45*c_on*12)+(U45*(ct_int3+ca_int3)*'Time on treatment'!$E$14)</f>
        <v>0</v>
      </c>
      <c r="V109" s="109">
        <f ca="1">(V45*c_on*12)+(V45*(ct_int3+ca_int3)*'Time on treatment'!$F$14)</f>
        <v>0</v>
      </c>
      <c r="W109" s="110">
        <f ca="1">(W45*c_on*12)+(W45*(ct_int3+ca_int3)*'Time on treatment'!$G$14)</f>
        <v>0</v>
      </c>
      <c r="Z109" s="87" t="s">
        <v>171</v>
      </c>
      <c r="AA109" s="111"/>
      <c r="AB109" s="109">
        <f ca="1">(AB45*c_inicial)+(AB45*c_on*12)+(AB45*ci_int4)+(AB45*(ct_int4+ca_int4)*'Time on treatment'!$D$15)</f>
        <v>0</v>
      </c>
      <c r="AC109" s="109">
        <f ca="1">(AC45*c_on*12)+(AC45*(ct_int4+ca_int4)*'Time on treatment'!$E$15)</f>
        <v>0</v>
      </c>
      <c r="AD109" s="109">
        <f ca="1">(AD45*c_on*12)+(AD45*(ct_int4+ca_int4)*'Time on treatment'!$F$15)</f>
        <v>0</v>
      </c>
      <c r="AE109" s="110">
        <f ca="1">(AE45*c_on*12)+(AE45*(ct_int4+ca_int4)*'Time on treatment'!$G$15)</f>
        <v>0</v>
      </c>
      <c r="AH109" s="87" t="s">
        <v>171</v>
      </c>
      <c r="AI109" s="111"/>
      <c r="AJ109" s="109">
        <f ca="1">(AJ45*c_inicial)+(AJ45*c_on*12)+(AJ45*ci_comp1)+(AJ45*(ct_comp1+ca_comp1)*'Time on treatment'!$D$19)</f>
        <v>3525932.4943602746</v>
      </c>
      <c r="AK109" s="109">
        <f ca="1">(AK45*c_on*12)+(AK45*(ct_comp1+ca_comp1)*'Time on treatment'!$E$19)</f>
        <v>0</v>
      </c>
      <c r="AL109" s="109">
        <f ca="1">(AL45*c_on*12)+(AL45*(ct_comp1+ca_comp1)*'Time on treatment'!$F$19)</f>
        <v>0</v>
      </c>
      <c r="AM109" s="110">
        <f ca="1">(AM45*c_on*12)+(AM45*(ct_comp1+ca_comp1)*'Time on treatment'!$G$19)</f>
        <v>0</v>
      </c>
      <c r="AP109" s="87" t="s">
        <v>171</v>
      </c>
      <c r="AQ109" s="111"/>
      <c r="AR109" s="109">
        <f ca="1">(AR45*c_inicial)+(AR45*c_on*12)+(AR45*ci_comp2)+(AR45*(ct_comp2+ca_comp2)*'Time on treatment'!$D$20)</f>
        <v>0</v>
      </c>
      <c r="AS109" s="109">
        <f ca="1">(AS45*c_on*12)+(AS45*(ct_comp2+ca_comp2)*'Time on treatment'!$E$20)</f>
        <v>0</v>
      </c>
      <c r="AT109" s="109">
        <f ca="1">(AT45*c_on*12)+(AT45*(ct_comp2+ca_comp2)*'Time on treatment'!$F$20)</f>
        <v>0</v>
      </c>
      <c r="AU109" s="110">
        <f ca="1">(AU45*c_on*12)+(AU45*(ct_comp2+ca_comp2)*'Time on treatment'!$G$20)</f>
        <v>0</v>
      </c>
      <c r="AX109" s="87" t="s">
        <v>171</v>
      </c>
      <c r="AY109" s="111"/>
      <c r="AZ109" s="109">
        <f ca="1">(AZ45*c_inicial)+(AZ45*c_on*12)+(AZ45*ci_comp3)+(AZ45*(ct_comp3+ca_comp3)*'Time on treatment'!$D$21)</f>
        <v>0</v>
      </c>
      <c r="BA109" s="109">
        <f ca="1">(BA45*c_on*12)+(BA45*(ct_comp3+ca_comp3)*'Time on treatment'!$E$21)</f>
        <v>0</v>
      </c>
      <c r="BB109" s="109">
        <f ca="1">(BB45*c_on*12)+(BB45*(ct_comp3+ca_comp3)*'Time on treatment'!$F$21)</f>
        <v>0</v>
      </c>
      <c r="BC109" s="110">
        <f ca="1">(BC45*c_on*12)+(BC45*(ct_comp3+ca_comp3)*'Time on treatment'!$G$21)</f>
        <v>0</v>
      </c>
      <c r="BF109" s="87" t="s">
        <v>171</v>
      </c>
      <c r="BG109" s="111"/>
      <c r="BH109" s="109">
        <f ca="1">(BH45*c_inicial)+(BH45*c_on*12)+(BH45*ci_comp4)+(BH45*(ct_comp4+ca_comp4)*'Time on treatment'!$D$22)</f>
        <v>0</v>
      </c>
      <c r="BI109" s="109">
        <f ca="1">(BI45*c_on*12)+(BI45*(ct_comp4+ca_comp4)*'Time on treatment'!$E$22)</f>
        <v>0</v>
      </c>
      <c r="BJ109" s="109">
        <f ca="1">(BJ45*c_on*12)+(BJ45*(ct_comp4+ca_comp4)*'Time on treatment'!$F$22)</f>
        <v>0</v>
      </c>
      <c r="BK109" s="110">
        <f ca="1">(BK45*c_on*12)+(BK45*(ct_comp4+ca_comp4)*'Time on treatment'!$G$22)</f>
        <v>0</v>
      </c>
      <c r="BN109" s="87" t="s">
        <v>171</v>
      </c>
      <c r="BO109" s="111"/>
      <c r="BP109" s="109">
        <f ca="1">(BP45*c_inicial)+(BP45*c_on*12)+(BP45*ci_comp5)+(BP45*(ct_comp5+ca_comp5)*'Time on treatment'!$D$23)</f>
        <v>0</v>
      </c>
      <c r="BQ109" s="109">
        <f ca="1">(BQ45*c_on*12)+(BQ45*(ct_comp5+ca_comp5)*'Time on treatment'!$E$23)</f>
        <v>0</v>
      </c>
      <c r="BR109" s="109">
        <f ca="1">(BR45*c_on*12)+(BR45*(ct_comp5+ca_comp5)*'Time on treatment'!$F$23)</f>
        <v>0</v>
      </c>
      <c r="BS109" s="110">
        <f ca="1">(BS45*c_on*12)+(BS45*(ct_comp5+ca_comp5)*'Time on treatment'!$G$23)</f>
        <v>0</v>
      </c>
      <c r="BV109" s="87" t="s">
        <v>171</v>
      </c>
      <c r="BW109" s="111"/>
      <c r="BX109" s="109">
        <f ca="1">(BX45*c_inicial)+(BX45*c_on*12)+(BX45*ci_comp6)+(BX45*(ct_comp6+ca_comp6)*'Time on treatment'!$D$24)</f>
        <v>0</v>
      </c>
      <c r="BY109" s="109">
        <f ca="1">(BY45*c_on*12)+(BY45*(ct_comp6+ca_comp6)*'Time on treatment'!$E$24)</f>
        <v>0</v>
      </c>
      <c r="BZ109" s="109">
        <f ca="1">(BZ45*c_on*12)+(BZ45*(ct_comp6+ca_comp6)*'Time on treatment'!$F$24)</f>
        <v>0</v>
      </c>
      <c r="CA109" s="110">
        <f ca="1">(CA45*c_on*12)+(CA45*(ct_comp6+ca_comp6)*'Time on treatment'!$G$24)</f>
        <v>0</v>
      </c>
      <c r="CD109" s="87" t="s">
        <v>171</v>
      </c>
      <c r="CE109" s="111"/>
      <c r="CF109" s="109">
        <f ca="1">(CF45*c_inicial)+(CF45*c_on*12)+(CF45*ci_comp7)+(CF45*(ct_comp7+ca_comp7)*'Time on treatment'!$D$25)</f>
        <v>0</v>
      </c>
      <c r="CG109" s="109">
        <f ca="1">(CG45*c_on*12)+(CG45*(ct_comp7+ca_comp7)*'Time on treatment'!$E$25)</f>
        <v>0</v>
      </c>
      <c r="CH109" s="109">
        <f ca="1">(CH45*c_on*12)+(CH45*(ct_comp7+ca_comp7)*'Time on treatment'!$F$25)</f>
        <v>0</v>
      </c>
      <c r="CI109" s="110">
        <f ca="1">(CI45*c_on*12)+(CI45*(ct_comp7+ca_comp7)*'Time on treatment'!$G$25)</f>
        <v>0</v>
      </c>
      <c r="CL109" s="87" t="s">
        <v>171</v>
      </c>
      <c r="CM109" s="111"/>
      <c r="CN109" s="109">
        <f ca="1">(CN45*c_inicial)+(CN45*c_on*12)+(CN45*ci_comp8)+(CN45*(ct_comp8+ca_comp8)*'Time on treatment'!$D$26)</f>
        <v>0</v>
      </c>
      <c r="CO109" s="109">
        <f ca="1">(CO45*c_on*12)+(CO45*(ct_comp8+ca_comp8)*'Time on treatment'!$E$26)</f>
        <v>0</v>
      </c>
      <c r="CP109" s="109">
        <f ca="1">(CP45*c_on*12)+(CP45*(ct_comp8+ca_comp8)*'Time on treatment'!$F$26)</f>
        <v>0</v>
      </c>
      <c r="CQ109" s="110">
        <f ca="1">(CQ45*c_on*12)+(CQ45*(ct_comp8+ca_comp8)*'Time on treatment'!$G$26)</f>
        <v>0</v>
      </c>
      <c r="CT109" s="87" t="s">
        <v>171</v>
      </c>
      <c r="CU109" s="111"/>
      <c r="CV109" s="109">
        <f ca="1">(CV45*c_inicial)+(CV45*c_on*12)+(CV45*ci_comp9)+(CV45*(ct_comp9+ca_comp9)*'Time on treatment'!$D$27)</f>
        <v>0</v>
      </c>
      <c r="CW109" s="109">
        <f ca="1">(CW45*c_on*12)+(CW45*(ct_comp9+ca_comp9)*'Time on treatment'!$E$27)</f>
        <v>0</v>
      </c>
      <c r="CX109" s="109">
        <f ca="1">(CX45*c_on*12)+(CX45*(ct_comp9+ca_comp9)*'Time on treatment'!$F$27)</f>
        <v>0</v>
      </c>
      <c r="CY109" s="110">
        <f ca="1">(CY45*c_on*12)+(CY45*(ct_comp9+ca_comp9)*'Time on treatment'!$G$27)</f>
        <v>0</v>
      </c>
      <c r="DB109" s="87" t="s">
        <v>171</v>
      </c>
      <c r="DC109" s="111"/>
      <c r="DD109" s="109">
        <f ca="1">(DD45*c_inicial)+(DD45*c_on*12)+(DD45*ci_comp10)+(DD45*(ct_comp10+ca_comp10)*'Time on treatment'!$D$28)</f>
        <v>0</v>
      </c>
      <c r="DE109" s="109">
        <f ca="1">(DE45*c_on*12)+(DE45*(ct_comp10+ca_comp10)*'Time on treatment'!$E$28)</f>
        <v>0</v>
      </c>
      <c r="DF109" s="109">
        <f ca="1">(DF45*c_on*12)+(DF45*(ct_comp10+ca_comp10)*'Time on treatment'!$F$28)</f>
        <v>0</v>
      </c>
      <c r="DG109" s="110">
        <f ca="1">(DG45*c_on*12)+(DG45*(ct_comp10+ca_comp10)*'Time on treatment'!$G$28)</f>
        <v>0</v>
      </c>
    </row>
    <row r="110" spans="2:111">
      <c r="B110" s="87" t="s">
        <v>176</v>
      </c>
      <c r="C110" s="111"/>
      <c r="D110" s="109">
        <f>D46*c_off</f>
        <v>0</v>
      </c>
      <c r="E110" s="109">
        <f>E46*c_off</f>
        <v>0</v>
      </c>
      <c r="F110" s="109">
        <f>F46*c_off</f>
        <v>0</v>
      </c>
      <c r="G110" s="110">
        <f>G46*c_off</f>
        <v>0</v>
      </c>
      <c r="J110" s="87" t="s">
        <v>176</v>
      </c>
      <c r="K110" s="111"/>
      <c r="L110" s="109">
        <f>L46*c_off</f>
        <v>0</v>
      </c>
      <c r="M110" s="109">
        <f>M46*c_off</f>
        <v>0</v>
      </c>
      <c r="N110" s="109">
        <f>N46*c_off</f>
        <v>0</v>
      </c>
      <c r="O110" s="110">
        <f>O46*c_off</f>
        <v>0</v>
      </c>
      <c r="R110" s="87" t="s">
        <v>176</v>
      </c>
      <c r="S110" s="111"/>
      <c r="T110" s="109">
        <f>T46*c_off</f>
        <v>0</v>
      </c>
      <c r="U110" s="109">
        <f>U46*c_off</f>
        <v>0</v>
      </c>
      <c r="V110" s="109">
        <f>V46*c_off</f>
        <v>0</v>
      </c>
      <c r="W110" s="110">
        <f>W46*c_off</f>
        <v>0</v>
      </c>
      <c r="Z110" s="87" t="s">
        <v>176</v>
      </c>
      <c r="AA110" s="111"/>
      <c r="AB110" s="109">
        <f>AB46*c_off</f>
        <v>0</v>
      </c>
      <c r="AC110" s="109">
        <f>AC46*c_off</f>
        <v>0</v>
      </c>
      <c r="AD110" s="109">
        <f>AD46*c_off</f>
        <v>0</v>
      </c>
      <c r="AE110" s="110">
        <f>AE46*c_off</f>
        <v>0</v>
      </c>
      <c r="AH110" s="87" t="s">
        <v>176</v>
      </c>
      <c r="AI110" s="111"/>
      <c r="AJ110" s="109">
        <f>AJ46*c_off</f>
        <v>0</v>
      </c>
      <c r="AK110" s="109">
        <f>AK46*c_off</f>
        <v>0</v>
      </c>
      <c r="AL110" s="109">
        <f>AL46*c_off</f>
        <v>0</v>
      </c>
      <c r="AM110" s="110">
        <f>AM46*c_off</f>
        <v>0</v>
      </c>
      <c r="AP110" s="87" t="s">
        <v>176</v>
      </c>
      <c r="AQ110" s="111"/>
      <c r="AR110" s="109">
        <f>AR46*c_off</f>
        <v>0</v>
      </c>
      <c r="AS110" s="109">
        <f>AS46*c_off</f>
        <v>0</v>
      </c>
      <c r="AT110" s="109">
        <f>AT46*c_off</f>
        <v>0</v>
      </c>
      <c r="AU110" s="110">
        <f>AU46*c_off</f>
        <v>0</v>
      </c>
      <c r="AX110" s="87" t="s">
        <v>176</v>
      </c>
      <c r="AY110" s="111"/>
      <c r="AZ110" s="109">
        <f>AZ46*c_off</f>
        <v>0</v>
      </c>
      <c r="BA110" s="109">
        <f>BA46*c_off</f>
        <v>0</v>
      </c>
      <c r="BB110" s="109">
        <f>BB46*c_off</f>
        <v>0</v>
      </c>
      <c r="BC110" s="110">
        <f>BC46*c_off</f>
        <v>0</v>
      </c>
      <c r="BF110" s="87" t="s">
        <v>176</v>
      </c>
      <c r="BG110" s="111"/>
      <c r="BH110" s="109">
        <f>BH46*c_off</f>
        <v>0</v>
      </c>
      <c r="BI110" s="109">
        <f>BI46*c_off</f>
        <v>0</v>
      </c>
      <c r="BJ110" s="109">
        <f>BJ46*c_off</f>
        <v>0</v>
      </c>
      <c r="BK110" s="110">
        <f>BK46*c_off</f>
        <v>0</v>
      </c>
      <c r="BN110" s="87" t="s">
        <v>176</v>
      </c>
      <c r="BO110" s="111"/>
      <c r="BP110" s="109">
        <f>BP46*c_off</f>
        <v>0</v>
      </c>
      <c r="BQ110" s="109">
        <f>BQ46*c_off</f>
        <v>0</v>
      </c>
      <c r="BR110" s="109">
        <f>BR46*c_off</f>
        <v>0</v>
      </c>
      <c r="BS110" s="110">
        <f>BS46*c_off</f>
        <v>0</v>
      </c>
      <c r="BV110" s="87" t="s">
        <v>176</v>
      </c>
      <c r="BW110" s="111"/>
      <c r="BX110" s="109">
        <f>BX46*c_off</f>
        <v>0</v>
      </c>
      <c r="BY110" s="109">
        <f>BY46*c_off</f>
        <v>0</v>
      </c>
      <c r="BZ110" s="109">
        <f>BZ46*c_off</f>
        <v>0</v>
      </c>
      <c r="CA110" s="110">
        <f>CA46*c_off</f>
        <v>0</v>
      </c>
      <c r="CD110" s="87" t="s">
        <v>176</v>
      </c>
      <c r="CE110" s="111"/>
      <c r="CF110" s="109">
        <f>CF46*c_off</f>
        <v>0</v>
      </c>
      <c r="CG110" s="109">
        <f>CG46*c_off</f>
        <v>0</v>
      </c>
      <c r="CH110" s="109">
        <f>CH46*c_off</f>
        <v>0</v>
      </c>
      <c r="CI110" s="110">
        <f>CI46*c_off</f>
        <v>0</v>
      </c>
      <c r="CL110" s="87" t="s">
        <v>176</v>
      </c>
      <c r="CM110" s="111"/>
      <c r="CN110" s="109">
        <f>CN46*c_off</f>
        <v>0</v>
      </c>
      <c r="CO110" s="109">
        <f>CO46*c_off</f>
        <v>0</v>
      </c>
      <c r="CP110" s="109">
        <f>CP46*c_off</f>
        <v>0</v>
      </c>
      <c r="CQ110" s="110">
        <f>CQ46*c_off</f>
        <v>0</v>
      </c>
      <c r="CT110" s="87" t="s">
        <v>176</v>
      </c>
      <c r="CU110" s="111"/>
      <c r="CV110" s="109">
        <f>CV46*c_off</f>
        <v>0</v>
      </c>
      <c r="CW110" s="109">
        <f>CW46*c_off</f>
        <v>0</v>
      </c>
      <c r="CX110" s="109">
        <f>CX46*c_off</f>
        <v>0</v>
      </c>
      <c r="CY110" s="110">
        <f>CY46*c_off</f>
        <v>0</v>
      </c>
      <c r="DB110" s="87" t="s">
        <v>176</v>
      </c>
      <c r="DC110" s="111"/>
      <c r="DD110" s="109">
        <f>DD46*c_off</f>
        <v>0</v>
      </c>
      <c r="DE110" s="109">
        <f>DE46*c_off</f>
        <v>0</v>
      </c>
      <c r="DF110" s="109">
        <f>DF46*c_off</f>
        <v>0</v>
      </c>
      <c r="DG110" s="110">
        <f>DG46*c_off</f>
        <v>0</v>
      </c>
    </row>
    <row r="111" spans="2:111">
      <c r="B111" s="87" t="s">
        <v>172</v>
      </c>
      <c r="C111" s="111"/>
      <c r="D111" s="111"/>
      <c r="E111" s="109">
        <f ca="1">(E47*c_inicial)+(E47*c_on*12)+(E47*ci_int1)+(E47*(ct_int1+ca_int1)*'Time on treatment'!$D$12)</f>
        <v>9659416.2161025796</v>
      </c>
      <c r="F111" s="109">
        <f ca="1">(F47*c_on*12)+(F47*(ct_int1+ca_int1)*'Time on treatment'!$E$12)</f>
        <v>0</v>
      </c>
      <c r="G111" s="110">
        <f ca="1">(G47*c_on*12)+(G47*(ct_int1+ca_int1)*'Time on treatment'!$F$12)</f>
        <v>0</v>
      </c>
      <c r="J111" s="87" t="s">
        <v>172</v>
      </c>
      <c r="K111" s="111"/>
      <c r="L111" s="111"/>
      <c r="M111" s="109">
        <f ca="1">(M47*c_inicial)+(M47*c_on*12)+(M47*ci_int2)+(M47*(ct_int2+ca_int2)*'Time on treatment'!$D$13)</f>
        <v>0</v>
      </c>
      <c r="N111" s="109">
        <f ca="1">(N47*c_on*12)+(N47*(ct_int2+ca_int2)*'Time on treatment'!$E$13)</f>
        <v>0</v>
      </c>
      <c r="O111" s="110">
        <f ca="1">(O47*c_on*12)+(O47*(ct_int2+ca_int2)*'Time on treatment'!$F$13)</f>
        <v>0</v>
      </c>
      <c r="R111" s="87" t="s">
        <v>172</v>
      </c>
      <c r="S111" s="111"/>
      <c r="T111" s="111"/>
      <c r="U111" s="109">
        <f ca="1">(U47*c_inicial)+(U47*c_on*12)+(U47*ci_int3)+(U47*(ct_int3+ca_int3)*'Time on treatment'!$D$14)</f>
        <v>0</v>
      </c>
      <c r="V111" s="109">
        <f ca="1">(V47*c_on*12)+(V47*(ct_int3+ca_int3)*'Time on treatment'!$E$14)</f>
        <v>0</v>
      </c>
      <c r="W111" s="110">
        <f ca="1">(W47*c_on*12)+(W47*(ct_int3+ca_int3)*'Time on treatment'!$F$14)</f>
        <v>0</v>
      </c>
      <c r="Z111" s="87" t="s">
        <v>172</v>
      </c>
      <c r="AA111" s="111"/>
      <c r="AB111" s="111"/>
      <c r="AC111" s="109">
        <f ca="1">(AC47*c_inicial)+(AC47*c_on*12)+(AC47*ci_int4)+(AC47*(ct_int4+ca_int4)*'Time on treatment'!$D$15)</f>
        <v>0</v>
      </c>
      <c r="AD111" s="109">
        <f ca="1">(AD47*c_on*12)+(AD47*(ct_int4+ca_int4)*'Time on treatment'!$E$15)</f>
        <v>0</v>
      </c>
      <c r="AE111" s="110">
        <f ca="1">(AE47*c_on*12)+(AE47*(ct_int4+ca_int4)*'Time on treatment'!$F$15)</f>
        <v>0</v>
      </c>
      <c r="AH111" s="87" t="s">
        <v>172</v>
      </c>
      <c r="AI111" s="111"/>
      <c r="AJ111" s="111"/>
      <c r="AK111" s="109">
        <f ca="1">(AK47*c_inicial)+(AK47*c_on*12)+(AK47*ci_comp1)+(AK47*(ct_comp1+ca_comp1)*'Time on treatment'!$D$19)</f>
        <v>2364438.4452364366</v>
      </c>
      <c r="AL111" s="109">
        <f ca="1">(AL47*c_on*12)+(AL47*(ct_comp1+ca_comp1)*'Time on treatment'!$E$19)</f>
        <v>0</v>
      </c>
      <c r="AM111" s="110">
        <f ca="1">(AM47*c_on*12)+(AM47*(ct_comp1+ca_comp1)*'Time on treatment'!$F$19)</f>
        <v>0</v>
      </c>
      <c r="AP111" s="87" t="s">
        <v>172</v>
      </c>
      <c r="AQ111" s="111"/>
      <c r="AR111" s="111"/>
      <c r="AS111" s="109">
        <f ca="1">(AS47*c_inicial)+(AS47*c_on*12)+(AS47*ci_comp2)+(AS47*(ct_comp2+ca_comp2)*'Time on treatment'!$D$20)</f>
        <v>0</v>
      </c>
      <c r="AT111" s="109">
        <f ca="1">(AT47*c_on*12)+(AT47*(ct_comp2+ca_comp2)*'Time on treatment'!$E$20)</f>
        <v>0</v>
      </c>
      <c r="AU111" s="110">
        <f ca="1">(AU47*c_on*12)+(AU47*(ct_comp2+ca_comp2)*'Time on treatment'!$F$20)</f>
        <v>0</v>
      </c>
      <c r="AX111" s="87" t="s">
        <v>172</v>
      </c>
      <c r="AY111" s="111"/>
      <c r="AZ111" s="111"/>
      <c r="BA111" s="109">
        <f ca="1">(BA47*c_inicial)+(BA47*c_on*12)+(BA47*ci_comp3)+(BA47*(ct_comp3+ca_comp3)*'Time on treatment'!$D$21)</f>
        <v>0</v>
      </c>
      <c r="BB111" s="109">
        <f ca="1">(BB47*c_on*12)+(BB47*(ct_comp3+ca_comp3)*'Time on treatment'!$E$21)</f>
        <v>0</v>
      </c>
      <c r="BC111" s="110">
        <f ca="1">(BC47*c_on*12)+(BC47*(ct_comp3+ca_comp3)*'Time on treatment'!$F$21)</f>
        <v>0</v>
      </c>
      <c r="BF111" s="87" t="s">
        <v>172</v>
      </c>
      <c r="BG111" s="111"/>
      <c r="BH111" s="111"/>
      <c r="BI111" s="109">
        <f ca="1">(BI47*c_inicial)+(BI47*c_on*12)+(BI47*ci_comp4)+(BI47*(ct_comp4+ca_comp4)*'Time on treatment'!$D$22)</f>
        <v>0</v>
      </c>
      <c r="BJ111" s="109">
        <f ca="1">(BJ47*c_on*12)+(BJ47*(ct_comp4+ca_comp4)*'Time on treatment'!$E$22)</f>
        <v>0</v>
      </c>
      <c r="BK111" s="110">
        <f ca="1">(BK47*c_on*12)+(BK47*(ct_comp4+ca_comp4)*'Time on treatment'!$F$22)</f>
        <v>0</v>
      </c>
      <c r="BN111" s="87" t="s">
        <v>172</v>
      </c>
      <c r="BO111" s="111"/>
      <c r="BP111" s="111"/>
      <c r="BQ111" s="109">
        <f ca="1">(BQ47*c_inicial)+(BQ47*c_on*12)+(BQ47*ci_comp5)+(BQ47*(ct_comp5+ca_comp5)*'Time on treatment'!$D$23)</f>
        <v>0</v>
      </c>
      <c r="BR111" s="109">
        <f ca="1">(BR47*c_on*12)+(BR47*(ct_comp5+ca_comp5)*'Time on treatment'!$E$23)</f>
        <v>0</v>
      </c>
      <c r="BS111" s="110">
        <f ca="1">(BS47*c_on*12)+(BS47*(ct_comp5+ca_comp5)*'Time on treatment'!$F$23)</f>
        <v>0</v>
      </c>
      <c r="BV111" s="87" t="s">
        <v>172</v>
      </c>
      <c r="BW111" s="111"/>
      <c r="BX111" s="111"/>
      <c r="BY111" s="109">
        <f ca="1">(BY47*c_inicial)+(BY47*c_on*12)+(BY47*ci_comp6)+(BY47*(ct_comp6+ca_comp6)*'Time on treatment'!$D$24)</f>
        <v>0</v>
      </c>
      <c r="BZ111" s="109">
        <f ca="1">(BZ47*c_on*12)+(BZ47*(ct_comp6+ca_comp6)*'Time on treatment'!$E$24)</f>
        <v>0</v>
      </c>
      <c r="CA111" s="110">
        <f ca="1">(CA47*c_on*12)+(CA47*(ct_comp6+ca_comp6)*'Time on treatment'!$F$24)</f>
        <v>0</v>
      </c>
      <c r="CD111" s="87" t="s">
        <v>172</v>
      </c>
      <c r="CE111" s="111"/>
      <c r="CF111" s="111"/>
      <c r="CG111" s="109">
        <f ca="1">(CG47*c_inicial)+(CG47*c_on*12)+(CG47*ci_comp7)+(CG47*(ct_comp7+ca_comp7)*'Time on treatment'!$D$25)</f>
        <v>0</v>
      </c>
      <c r="CH111" s="109">
        <f ca="1">(CH47*c_on*12)+(CH47*(ct_comp7+ca_comp7)*'Time on treatment'!$E$25)</f>
        <v>0</v>
      </c>
      <c r="CI111" s="110">
        <f ca="1">(CI47*c_on*12)+(CI47*(ct_comp7+ca_comp7)*'Time on treatment'!$F$25)</f>
        <v>0</v>
      </c>
      <c r="CL111" s="87" t="s">
        <v>172</v>
      </c>
      <c r="CM111" s="111"/>
      <c r="CN111" s="111"/>
      <c r="CO111" s="109">
        <f ca="1">(CO47*c_inicial)+(CO47*c_on*12)+(CO47*ci_comp8)+(CO47*(ct_comp8+ca_comp8)*'Time on treatment'!$D$26)</f>
        <v>0</v>
      </c>
      <c r="CP111" s="109">
        <f ca="1">(CP47*c_on*12)+(CP47*(ct_comp8+ca_comp8)*'Time on treatment'!$E$26)</f>
        <v>0</v>
      </c>
      <c r="CQ111" s="110">
        <f ca="1">(CQ47*c_on*12)+(CQ47*(ct_comp8+ca_comp8)*'Time on treatment'!$F$26)</f>
        <v>0</v>
      </c>
      <c r="CT111" s="87" t="s">
        <v>172</v>
      </c>
      <c r="CU111" s="111"/>
      <c r="CV111" s="111"/>
      <c r="CW111" s="109">
        <f ca="1">(CW47*c_inicial)+(CW47*c_on*12)+(CW47*ci_comp9)+(CW47*(ct_comp9+ca_comp9)*'Time on treatment'!$D$27)</f>
        <v>0</v>
      </c>
      <c r="CX111" s="109">
        <f ca="1">(CX47*c_on*12)+(CX47*(ct_comp9+ca_comp9)*'Time on treatment'!$E$27)</f>
        <v>0</v>
      </c>
      <c r="CY111" s="110">
        <f ca="1">(CY47*c_on*12)+(CY47*(ct_comp9+ca_comp9)*'Time on treatment'!$F$27)</f>
        <v>0</v>
      </c>
      <c r="DB111" s="87" t="s">
        <v>172</v>
      </c>
      <c r="DC111" s="111"/>
      <c r="DD111" s="111"/>
      <c r="DE111" s="109">
        <f ca="1">(DE47*c_inicial)+(DE47*c_on*12)+(DE47*ci_comp10)+(DE47*(ct_comp10+ca_comp10)*'Time on treatment'!$D$28)</f>
        <v>0</v>
      </c>
      <c r="DF111" s="109">
        <f ca="1">(DF47*c_on*12)+(DF47*(ct_comp10+ca_comp10)*'Time on treatment'!$E$28)</f>
        <v>0</v>
      </c>
      <c r="DG111" s="110">
        <f ca="1">(DG47*c_on*12)+(DG47*(ct_comp10+ca_comp10)*'Time on treatment'!$F$28)</f>
        <v>0</v>
      </c>
    </row>
    <row r="112" spans="2:111">
      <c r="B112" s="87" t="s">
        <v>177</v>
      </c>
      <c r="C112" s="111"/>
      <c r="D112" s="111"/>
      <c r="E112" s="109">
        <f>E48*c_off</f>
        <v>0</v>
      </c>
      <c r="F112" s="109">
        <f>F48*c_off</f>
        <v>0</v>
      </c>
      <c r="G112" s="110">
        <f>G48*c_off</f>
        <v>0</v>
      </c>
      <c r="J112" s="87" t="s">
        <v>177</v>
      </c>
      <c r="K112" s="111"/>
      <c r="L112" s="111"/>
      <c r="M112" s="109">
        <f>M48*c_off</f>
        <v>0</v>
      </c>
      <c r="N112" s="109">
        <f>N48*c_off</f>
        <v>0</v>
      </c>
      <c r="O112" s="110">
        <f>O48*c_off</f>
        <v>0</v>
      </c>
      <c r="R112" s="87" t="s">
        <v>177</v>
      </c>
      <c r="S112" s="111"/>
      <c r="T112" s="111"/>
      <c r="U112" s="109">
        <f>U48*c_off</f>
        <v>0</v>
      </c>
      <c r="V112" s="109">
        <f>V48*c_off</f>
        <v>0</v>
      </c>
      <c r="W112" s="110">
        <f>W48*c_off</f>
        <v>0</v>
      </c>
      <c r="Z112" s="87" t="s">
        <v>177</v>
      </c>
      <c r="AA112" s="111"/>
      <c r="AB112" s="111"/>
      <c r="AC112" s="109">
        <f>AC48*c_off</f>
        <v>0</v>
      </c>
      <c r="AD112" s="109">
        <f>AD48*c_off</f>
        <v>0</v>
      </c>
      <c r="AE112" s="110">
        <f>AE48*c_off</f>
        <v>0</v>
      </c>
      <c r="AH112" s="87" t="s">
        <v>177</v>
      </c>
      <c r="AI112" s="111"/>
      <c r="AJ112" s="111"/>
      <c r="AK112" s="109">
        <f>AK48*c_off</f>
        <v>0</v>
      </c>
      <c r="AL112" s="109">
        <f>AL48*c_off</f>
        <v>0</v>
      </c>
      <c r="AM112" s="110">
        <f>AM48*c_off</f>
        <v>0</v>
      </c>
      <c r="AP112" s="87" t="s">
        <v>177</v>
      </c>
      <c r="AQ112" s="111"/>
      <c r="AR112" s="111"/>
      <c r="AS112" s="109">
        <f>AS48*c_off</f>
        <v>0</v>
      </c>
      <c r="AT112" s="109">
        <f>AT48*c_off</f>
        <v>0</v>
      </c>
      <c r="AU112" s="110">
        <f>AU48*c_off</f>
        <v>0</v>
      </c>
      <c r="AX112" s="87" t="s">
        <v>177</v>
      </c>
      <c r="AY112" s="111"/>
      <c r="AZ112" s="111"/>
      <c r="BA112" s="109">
        <f>BA48*c_off</f>
        <v>0</v>
      </c>
      <c r="BB112" s="109">
        <f>BB48*c_off</f>
        <v>0</v>
      </c>
      <c r="BC112" s="110">
        <f>BC48*c_off</f>
        <v>0</v>
      </c>
      <c r="BF112" s="87" t="s">
        <v>177</v>
      </c>
      <c r="BG112" s="111"/>
      <c r="BH112" s="111"/>
      <c r="BI112" s="109">
        <f>BI48*c_off</f>
        <v>0</v>
      </c>
      <c r="BJ112" s="109">
        <f>BJ48*c_off</f>
        <v>0</v>
      </c>
      <c r="BK112" s="110">
        <f>BK48*c_off</f>
        <v>0</v>
      </c>
      <c r="BN112" s="87" t="s">
        <v>177</v>
      </c>
      <c r="BO112" s="111"/>
      <c r="BP112" s="111"/>
      <c r="BQ112" s="109">
        <f>BQ48*c_off</f>
        <v>0</v>
      </c>
      <c r="BR112" s="109">
        <f>BR48*c_off</f>
        <v>0</v>
      </c>
      <c r="BS112" s="110">
        <f>BS48*c_off</f>
        <v>0</v>
      </c>
      <c r="BV112" s="87" t="s">
        <v>177</v>
      </c>
      <c r="BW112" s="111"/>
      <c r="BX112" s="111"/>
      <c r="BY112" s="109">
        <f>BY48*c_off</f>
        <v>0</v>
      </c>
      <c r="BZ112" s="109">
        <f>BZ48*c_off</f>
        <v>0</v>
      </c>
      <c r="CA112" s="110">
        <f>CA48*c_off</f>
        <v>0</v>
      </c>
      <c r="CD112" s="87" t="s">
        <v>177</v>
      </c>
      <c r="CE112" s="111"/>
      <c r="CF112" s="111"/>
      <c r="CG112" s="109">
        <f>CG48*c_off</f>
        <v>0</v>
      </c>
      <c r="CH112" s="109">
        <f>CH48*c_off</f>
        <v>0</v>
      </c>
      <c r="CI112" s="110">
        <f>CI48*c_off</f>
        <v>0</v>
      </c>
      <c r="CL112" s="87" t="s">
        <v>177</v>
      </c>
      <c r="CM112" s="111"/>
      <c r="CN112" s="111"/>
      <c r="CO112" s="109">
        <f>CO48*c_off</f>
        <v>0</v>
      </c>
      <c r="CP112" s="109">
        <f>CP48*c_off</f>
        <v>0</v>
      </c>
      <c r="CQ112" s="110">
        <f>CQ48*c_off</f>
        <v>0</v>
      </c>
      <c r="CT112" s="87" t="s">
        <v>177</v>
      </c>
      <c r="CU112" s="111"/>
      <c r="CV112" s="111"/>
      <c r="CW112" s="109">
        <f>CW48*c_off</f>
        <v>0</v>
      </c>
      <c r="CX112" s="109">
        <f>CX48*c_off</f>
        <v>0</v>
      </c>
      <c r="CY112" s="110">
        <f>CY48*c_off</f>
        <v>0</v>
      </c>
      <c r="DB112" s="87" t="s">
        <v>177</v>
      </c>
      <c r="DC112" s="111"/>
      <c r="DD112" s="111"/>
      <c r="DE112" s="109">
        <f>DE48*c_off</f>
        <v>0</v>
      </c>
      <c r="DF112" s="109">
        <f>DF48*c_off</f>
        <v>0</v>
      </c>
      <c r="DG112" s="110">
        <f>DG48*c_off</f>
        <v>0</v>
      </c>
    </row>
    <row r="113" spans="2:111">
      <c r="B113" s="87" t="s">
        <v>173</v>
      </c>
      <c r="C113" s="111"/>
      <c r="D113" s="111"/>
      <c r="E113" s="111"/>
      <c r="F113" s="109">
        <f ca="1">(F49*c_inicial)+(F49*c_on*12)+(F49*ci_int1)+(F49*(ct_int1+ca_int1)*'Time on treatment'!$D$12)</f>
        <v>12951048.965170497</v>
      </c>
      <c r="G113" s="110">
        <f ca="1">(G49*c_on*12)+(G49*(ct_int1+ca_int1)*'Time on treatment'!$E$12)</f>
        <v>0</v>
      </c>
      <c r="J113" s="87" t="s">
        <v>173</v>
      </c>
      <c r="K113" s="111"/>
      <c r="L113" s="111"/>
      <c r="M113" s="111"/>
      <c r="N113" s="109">
        <f ca="1">(N49*c_inicial)+(N49*c_on*12)+(N49*ci_int2)+(N49*(ct_int2+ca_int2)*'Time on treatment'!$D$13)</f>
        <v>0</v>
      </c>
      <c r="O113" s="110">
        <f ca="1">(O49*c_on*12)+(O49*(ct_int2+ca_int2)*'Time on treatment'!$E$13)</f>
        <v>0</v>
      </c>
      <c r="R113" s="87" t="s">
        <v>173</v>
      </c>
      <c r="S113" s="111"/>
      <c r="T113" s="111"/>
      <c r="U113" s="111"/>
      <c r="V113" s="109">
        <f ca="1">(V49*c_inicial)+(V49*c_on*12)+(V49*ci_int3)+(V49*(ct_int3+ca_int3)*'Time on treatment'!$D$14)</f>
        <v>0</v>
      </c>
      <c r="W113" s="110">
        <f ca="1">(W49*c_on*12)+(W49*(ct_int3+ca_int3)*'Time on treatment'!$E$14)</f>
        <v>0</v>
      </c>
      <c r="Z113" s="87" t="s">
        <v>173</v>
      </c>
      <c r="AA113" s="111"/>
      <c r="AB113" s="111"/>
      <c r="AC113" s="111"/>
      <c r="AD113" s="109">
        <f ca="1">(AD49*c_inicial)+(AD49*c_on*12)+(AD49*ci_int4)+(AD49*(ct_int4+ca_int4)*'Time on treatment'!$D$15)</f>
        <v>0</v>
      </c>
      <c r="AE113" s="110">
        <f ca="1">(AE49*c_on*12)+(AE49*(ct_int4+ca_int4)*'Time on treatment'!$E$15)</f>
        <v>0</v>
      </c>
      <c r="AH113" s="87" t="s">
        <v>173</v>
      </c>
      <c r="AI113" s="111"/>
      <c r="AJ113" s="111"/>
      <c r="AK113" s="111"/>
      <c r="AL113" s="109">
        <f ca="1">(AL49*c_inicial)+(AL49*c_on*12)+(AL49*ci_comp1)+(AL49*(ct_comp1+ca_comp1)*'Time on treatment'!$D$19)</f>
        <v>1188812.4523123673</v>
      </c>
      <c r="AM113" s="110">
        <f ca="1">(AM49*c_on*12)+(AM49*(ct_comp1+ca_comp1)*'Time on treatment'!$E$19)</f>
        <v>0</v>
      </c>
      <c r="AP113" s="87" t="s">
        <v>173</v>
      </c>
      <c r="AQ113" s="111"/>
      <c r="AR113" s="111"/>
      <c r="AS113" s="111"/>
      <c r="AT113" s="109">
        <f ca="1">(AT49*c_inicial)+(AT49*c_on*12)+(AT49*ci_comp2)+(AT49*(ct_comp2+ca_comp2)*'Time on treatment'!$D$20)</f>
        <v>0</v>
      </c>
      <c r="AU113" s="110">
        <f ca="1">(AU49*c_on*12)+(AU49*(ct_comp2+ca_comp2)*'Time on treatment'!$E$20)</f>
        <v>0</v>
      </c>
      <c r="AX113" s="87" t="s">
        <v>173</v>
      </c>
      <c r="AY113" s="111"/>
      <c r="AZ113" s="111"/>
      <c r="BA113" s="111"/>
      <c r="BB113" s="109">
        <f ca="1">(BB49*c_inicial)+(BB49*c_on*12)+(BB49*ci_comp3)+(BB49*(ct_comp3+ca_comp3)*'Time on treatment'!$D$21)</f>
        <v>0</v>
      </c>
      <c r="BC113" s="110">
        <f ca="1">(BC49*c_on*12)+(BC49*(ct_comp3+ca_comp3)*'Time on treatment'!$E$21)</f>
        <v>0</v>
      </c>
      <c r="BF113" s="87" t="s">
        <v>173</v>
      </c>
      <c r="BG113" s="111"/>
      <c r="BH113" s="111"/>
      <c r="BI113" s="111"/>
      <c r="BJ113" s="109">
        <f ca="1">(BJ49*c_inicial)+(BJ49*c_on*12)+(BJ49*ci_comp4)+(BJ49*(ct_comp4+ca_comp4)*'Time on treatment'!$D$22)</f>
        <v>0</v>
      </c>
      <c r="BK113" s="110">
        <f ca="1">(BK49*c_on*12)+(BK49*(ct_comp4+ca_comp4)*'Time on treatment'!$E$22)</f>
        <v>0</v>
      </c>
      <c r="BN113" s="87" t="s">
        <v>173</v>
      </c>
      <c r="BO113" s="111"/>
      <c r="BP113" s="111"/>
      <c r="BQ113" s="111"/>
      <c r="BR113" s="109">
        <f ca="1">(BR49*c_inicial)+(BR49*c_on*12)+(BR49*ci_comp5)+(BR49*(ct_comp5+ca_comp5)*'Time on treatment'!$D$23)</f>
        <v>0</v>
      </c>
      <c r="BS113" s="110">
        <f ca="1">(BS49*c_on*12)+(BS49*(ct_comp5+ca_comp5)*'Time on treatment'!$E$23)</f>
        <v>0</v>
      </c>
      <c r="BV113" s="87" t="s">
        <v>173</v>
      </c>
      <c r="BW113" s="111"/>
      <c r="BX113" s="111"/>
      <c r="BY113" s="111"/>
      <c r="BZ113" s="109">
        <f ca="1">(BZ49*c_inicial)+(BZ49*c_on*12)+(BZ49*ci_comp6)+(BZ49*(ct_comp6+ca_comp6)*'Time on treatment'!$D$24)</f>
        <v>0</v>
      </c>
      <c r="CA113" s="110">
        <f ca="1">(CA49*c_on*12)+(CA49*(ct_comp6+ca_comp6)*'Time on treatment'!$E$24)</f>
        <v>0</v>
      </c>
      <c r="CD113" s="87" t="s">
        <v>173</v>
      </c>
      <c r="CE113" s="111"/>
      <c r="CF113" s="111"/>
      <c r="CG113" s="111"/>
      <c r="CH113" s="109">
        <f ca="1">(CH49*c_inicial)+(CH49*c_on*12)+(CH49*ci_comp7)+(CH49*(ct_comp7+ca_comp7)*'Time on treatment'!$D$25)</f>
        <v>0</v>
      </c>
      <c r="CI113" s="110">
        <f ca="1">(CI49*c_on*12)+(CI49*(ct_comp7+ca_comp7)*'Time on treatment'!$E$25)</f>
        <v>0</v>
      </c>
      <c r="CL113" s="87" t="s">
        <v>173</v>
      </c>
      <c r="CM113" s="111"/>
      <c r="CN113" s="111"/>
      <c r="CO113" s="111"/>
      <c r="CP113" s="109">
        <f ca="1">(CP49*c_inicial)+(CP49*c_on*12)+(CP49*ci_comp8)+(CP49*(ct_comp8+ca_comp8)*'Time on treatment'!$D$26)</f>
        <v>0</v>
      </c>
      <c r="CQ113" s="110">
        <f ca="1">(CQ49*c_on*12)+(CQ49*(ct_comp8+ca_comp8)*'Time on treatment'!$E$26)</f>
        <v>0</v>
      </c>
      <c r="CT113" s="87" t="s">
        <v>173</v>
      </c>
      <c r="CU113" s="111"/>
      <c r="CV113" s="111"/>
      <c r="CW113" s="111"/>
      <c r="CX113" s="109">
        <f ca="1">(CX49*c_inicial)+(CX49*c_on*12)+(CX49*ci_comp9)+(CX49*(ct_comp9+ca_comp9)*'Time on treatment'!$D$27)</f>
        <v>0</v>
      </c>
      <c r="CY113" s="110">
        <f ca="1">(CY49*c_on*12)+(CY49*(ct_comp9+ca_comp9)*'Time on treatment'!$E$27)</f>
        <v>0</v>
      </c>
      <c r="DB113" s="87" t="s">
        <v>173</v>
      </c>
      <c r="DC113" s="111"/>
      <c r="DD113" s="111"/>
      <c r="DE113" s="111"/>
      <c r="DF113" s="109">
        <f ca="1">(DF49*c_inicial)+(DF49*c_on*12)+(DF49*ci_comp10)+(DF49*(ct_comp10+ca_comp10)*'Time on treatment'!$D$28)</f>
        <v>0</v>
      </c>
      <c r="DG113" s="110">
        <f ca="1">(DG49*c_on*12)+(DG49*(ct_comp10+ca_comp10)*'Time on treatment'!$E$28)</f>
        <v>0</v>
      </c>
    </row>
    <row r="114" spans="2:111">
      <c r="B114" s="87" t="s">
        <v>178</v>
      </c>
      <c r="C114" s="111"/>
      <c r="D114" s="111"/>
      <c r="E114" s="111"/>
      <c r="F114" s="109">
        <f>F50*c_off</f>
        <v>0</v>
      </c>
      <c r="G114" s="110">
        <f>G50*c_off</f>
        <v>0</v>
      </c>
      <c r="J114" s="87" t="s">
        <v>178</v>
      </c>
      <c r="K114" s="111"/>
      <c r="L114" s="111"/>
      <c r="M114" s="111"/>
      <c r="N114" s="109">
        <f>N50*c_off</f>
        <v>0</v>
      </c>
      <c r="O114" s="110">
        <f>O50*c_off</f>
        <v>0</v>
      </c>
      <c r="R114" s="87" t="s">
        <v>178</v>
      </c>
      <c r="S114" s="111"/>
      <c r="T114" s="111"/>
      <c r="U114" s="111"/>
      <c r="V114" s="109">
        <f>V50*c_off</f>
        <v>0</v>
      </c>
      <c r="W114" s="110">
        <f>W50*c_off</f>
        <v>0</v>
      </c>
      <c r="Z114" s="87" t="s">
        <v>178</v>
      </c>
      <c r="AA114" s="111"/>
      <c r="AB114" s="111"/>
      <c r="AC114" s="111"/>
      <c r="AD114" s="109">
        <f>AD50*c_off</f>
        <v>0</v>
      </c>
      <c r="AE114" s="110">
        <f>AE50*c_off</f>
        <v>0</v>
      </c>
      <c r="AH114" s="87" t="s">
        <v>178</v>
      </c>
      <c r="AI114" s="111"/>
      <c r="AJ114" s="111"/>
      <c r="AK114" s="111"/>
      <c r="AL114" s="109">
        <f>AL50*c_off</f>
        <v>0</v>
      </c>
      <c r="AM114" s="110">
        <f>AM50*c_off</f>
        <v>0</v>
      </c>
      <c r="AP114" s="87" t="s">
        <v>178</v>
      </c>
      <c r="AQ114" s="111"/>
      <c r="AR114" s="111"/>
      <c r="AS114" s="111"/>
      <c r="AT114" s="109">
        <f>AT50*c_off</f>
        <v>0</v>
      </c>
      <c r="AU114" s="110">
        <f>AU50*c_off</f>
        <v>0</v>
      </c>
      <c r="AX114" s="87" t="s">
        <v>178</v>
      </c>
      <c r="AY114" s="111"/>
      <c r="AZ114" s="111"/>
      <c r="BA114" s="111"/>
      <c r="BB114" s="109">
        <f>BB50*c_off</f>
        <v>0</v>
      </c>
      <c r="BC114" s="110">
        <f>BC50*c_off</f>
        <v>0</v>
      </c>
      <c r="BF114" s="87" t="s">
        <v>178</v>
      </c>
      <c r="BG114" s="111"/>
      <c r="BH114" s="111"/>
      <c r="BI114" s="111"/>
      <c r="BJ114" s="109">
        <f>BJ50*c_off</f>
        <v>0</v>
      </c>
      <c r="BK114" s="110">
        <f>BK50*c_off</f>
        <v>0</v>
      </c>
      <c r="BN114" s="87" t="s">
        <v>178</v>
      </c>
      <c r="BO114" s="111"/>
      <c r="BP114" s="111"/>
      <c r="BQ114" s="111"/>
      <c r="BR114" s="109">
        <f>BR50*c_off</f>
        <v>0</v>
      </c>
      <c r="BS114" s="110">
        <f>BS50*c_off</f>
        <v>0</v>
      </c>
      <c r="BV114" s="87" t="s">
        <v>178</v>
      </c>
      <c r="BW114" s="111"/>
      <c r="BX114" s="111"/>
      <c r="BY114" s="111"/>
      <c r="BZ114" s="109">
        <f>BZ50*c_off</f>
        <v>0</v>
      </c>
      <c r="CA114" s="110">
        <f>CA50*c_off</f>
        <v>0</v>
      </c>
      <c r="CD114" s="87" t="s">
        <v>178</v>
      </c>
      <c r="CE114" s="111"/>
      <c r="CF114" s="111"/>
      <c r="CG114" s="111"/>
      <c r="CH114" s="109">
        <f>CH50*c_off</f>
        <v>0</v>
      </c>
      <c r="CI114" s="110">
        <f>CI50*c_off</f>
        <v>0</v>
      </c>
      <c r="CL114" s="87" t="s">
        <v>178</v>
      </c>
      <c r="CM114" s="111"/>
      <c r="CN114" s="111"/>
      <c r="CO114" s="111"/>
      <c r="CP114" s="109">
        <f>CP50*c_off</f>
        <v>0</v>
      </c>
      <c r="CQ114" s="110">
        <f>CQ50*c_off</f>
        <v>0</v>
      </c>
      <c r="CT114" s="87" t="s">
        <v>178</v>
      </c>
      <c r="CU114" s="111"/>
      <c r="CV114" s="111"/>
      <c r="CW114" s="111"/>
      <c r="CX114" s="109">
        <f>CX50*c_off</f>
        <v>0</v>
      </c>
      <c r="CY114" s="110">
        <f>CY50*c_off</f>
        <v>0</v>
      </c>
      <c r="DB114" s="87" t="s">
        <v>178</v>
      </c>
      <c r="DC114" s="111"/>
      <c r="DD114" s="111"/>
      <c r="DE114" s="111"/>
      <c r="DF114" s="109">
        <f>DF50*c_off</f>
        <v>0</v>
      </c>
      <c r="DG114" s="110">
        <f>DG50*c_off</f>
        <v>0</v>
      </c>
    </row>
    <row r="115" spans="2:111">
      <c r="B115" s="87" t="s">
        <v>174</v>
      </c>
      <c r="C115" s="111"/>
      <c r="D115" s="111"/>
      <c r="E115" s="111"/>
      <c r="F115" s="111"/>
      <c r="G115" s="110">
        <f ca="1">(G51*c_inicial)+(G51*c_on*12)+(G51*ci_int1)+(G51*(ct_int1+ca_int1)*'Time on treatment'!$D$12)</f>
        <v>16274191.393978339</v>
      </c>
      <c r="J115" s="87" t="s">
        <v>174</v>
      </c>
      <c r="K115" s="111"/>
      <c r="L115" s="111"/>
      <c r="M115" s="111"/>
      <c r="N115" s="111"/>
      <c r="O115" s="110">
        <f ca="1">(O51*c_inicial)+(O51*c_on*12)+(O51*ci_int2)+(O51*(ct_int2+ca_int2)*'Time on treatment'!$D$13)</f>
        <v>0</v>
      </c>
      <c r="R115" s="87" t="s">
        <v>174</v>
      </c>
      <c r="S115" s="111"/>
      <c r="T115" s="111"/>
      <c r="U115" s="111"/>
      <c r="V115" s="111"/>
      <c r="W115" s="110">
        <f ca="1">(W51*c_inicial)+(W51*c_on*12)+(W51*ci_int3)+(W51*(ct_int3+ca_int3)*'Time on treatment'!$D$14)</f>
        <v>0</v>
      </c>
      <c r="Z115" s="87" t="s">
        <v>174</v>
      </c>
      <c r="AA115" s="111"/>
      <c r="AB115" s="111"/>
      <c r="AC115" s="111"/>
      <c r="AD115" s="111"/>
      <c r="AE115" s="110">
        <f ca="1">(AE51*c_inicial)+(AE51*c_on*12)+(AE51*ci_int4)+(AE51*(ct_int4+ca_int4)*'Time on treatment'!$D$15)</f>
        <v>0</v>
      </c>
      <c r="AH115" s="87" t="s">
        <v>174</v>
      </c>
      <c r="AI115" s="111"/>
      <c r="AJ115" s="111"/>
      <c r="AK115" s="111"/>
      <c r="AL115" s="111"/>
      <c r="AM115" s="110">
        <f ca="1">(AM51*c_inicial)+(AM51*c_on*12)+(AM51*ci_comp1)+(AM51*(ct_comp1+ca_comp1)*'Time on treatment'!$D$19)</f>
        <v>0</v>
      </c>
      <c r="AP115" s="87" t="s">
        <v>174</v>
      </c>
      <c r="AQ115" s="111"/>
      <c r="AR115" s="111"/>
      <c r="AS115" s="111"/>
      <c r="AT115" s="111"/>
      <c r="AU115" s="110">
        <f ca="1">(AU51*c_inicial)+(AU51*c_on*12)+(AU51*ci_comp2)+(AU51*(ct_comp2+ca_comp2)*'Time on treatment'!$D$20)</f>
        <v>0</v>
      </c>
      <c r="AX115" s="87" t="s">
        <v>174</v>
      </c>
      <c r="AY115" s="111"/>
      <c r="AZ115" s="111"/>
      <c r="BA115" s="111"/>
      <c r="BB115" s="111"/>
      <c r="BC115" s="110">
        <f ca="1">(BC51*c_inicial)+(BC51*c_on*12)+(BC51*ci_comp3)+(BC51*(ct_comp3+ca_comp3)*'Time on treatment'!$D$21)</f>
        <v>0</v>
      </c>
      <c r="BF115" s="87" t="s">
        <v>174</v>
      </c>
      <c r="BG115" s="111"/>
      <c r="BH115" s="111"/>
      <c r="BI115" s="111"/>
      <c r="BJ115" s="111"/>
      <c r="BK115" s="110">
        <f ca="1">(BK51*c_inicial)+(BK51*c_on*12)+(BK51*ci_comp4)+(BK51*(ct_comp4+ca_comp4)*'Time on treatment'!$D$22)</f>
        <v>0</v>
      </c>
      <c r="BN115" s="87" t="s">
        <v>174</v>
      </c>
      <c r="BO115" s="111"/>
      <c r="BP115" s="111"/>
      <c r="BQ115" s="111"/>
      <c r="BR115" s="111"/>
      <c r="BS115" s="110">
        <f ca="1">(BS51*c_inicial)+(BS51*c_on*12)+(BS51*ci_comp5)+(BS51*(ct_comp5+ca_comp5)*'Time on treatment'!$D$23)</f>
        <v>0</v>
      </c>
      <c r="BV115" s="87" t="s">
        <v>174</v>
      </c>
      <c r="BW115" s="111"/>
      <c r="BX115" s="111"/>
      <c r="BY115" s="111"/>
      <c r="BZ115" s="111"/>
      <c r="CA115" s="110">
        <f ca="1">(CA51*c_inicial)+(CA51*c_on*12)+(CA51*ci_comp6)+(CA51*(ct_comp6+ca_comp6)*'Time on treatment'!$D$24)</f>
        <v>0</v>
      </c>
      <c r="CD115" s="87" t="s">
        <v>174</v>
      </c>
      <c r="CE115" s="111"/>
      <c r="CF115" s="111"/>
      <c r="CG115" s="111"/>
      <c r="CH115" s="111"/>
      <c r="CI115" s="110">
        <f ca="1">(CI51*c_inicial)+(CI51*c_on*12)+(CI51*ci_comp7)+(CI51*(ct_comp7+ca_comp7)*'Time on treatment'!$D$25)</f>
        <v>0</v>
      </c>
      <c r="CL115" s="87" t="s">
        <v>174</v>
      </c>
      <c r="CM115" s="111"/>
      <c r="CN115" s="111"/>
      <c r="CO115" s="111"/>
      <c r="CP115" s="111"/>
      <c r="CQ115" s="110">
        <f ca="1">(CQ51*c_inicial)+(CQ51*c_on*12)+(CQ51*ci_comp8)+(CQ51*(ct_comp8+ca_comp8)*'Time on treatment'!$D$26)</f>
        <v>0</v>
      </c>
      <c r="CT115" s="87" t="s">
        <v>174</v>
      </c>
      <c r="CU115" s="111"/>
      <c r="CV115" s="111"/>
      <c r="CW115" s="111"/>
      <c r="CX115" s="111"/>
      <c r="CY115" s="110">
        <f ca="1">(CY51*c_inicial)+(CY51*c_on*12)+(CY51*ci_comp9)+(CY51*(ct_comp9+ca_comp9)*'Time on treatment'!$D$27)</f>
        <v>0</v>
      </c>
      <c r="DB115" s="87" t="s">
        <v>174</v>
      </c>
      <c r="DC115" s="111"/>
      <c r="DD115" s="111"/>
      <c r="DE115" s="111"/>
      <c r="DF115" s="111"/>
      <c r="DG115" s="110">
        <f ca="1">(DG51*c_inicial)+(DG51*c_on*12)+(DG51*ci_comp10)+(DG51*(ct_comp10+ca_comp10)*'Time on treatment'!$D$28)</f>
        <v>0</v>
      </c>
    </row>
    <row r="116" spans="2:111" ht="15" thickBot="1">
      <c r="B116" s="87" t="s">
        <v>179</v>
      </c>
      <c r="C116" s="111"/>
      <c r="D116" s="111"/>
      <c r="E116" s="111"/>
      <c r="F116" s="111"/>
      <c r="G116" s="112">
        <v>0</v>
      </c>
      <c r="J116" s="87" t="s">
        <v>179</v>
      </c>
      <c r="K116" s="111"/>
      <c r="L116" s="111"/>
      <c r="M116" s="111"/>
      <c r="N116" s="111"/>
      <c r="O116" s="112">
        <v>0</v>
      </c>
      <c r="R116" s="87" t="s">
        <v>179</v>
      </c>
      <c r="S116" s="111"/>
      <c r="T116" s="111"/>
      <c r="U116" s="111"/>
      <c r="V116" s="111"/>
      <c r="W116" s="112">
        <v>0</v>
      </c>
      <c r="Z116" s="87" t="s">
        <v>179</v>
      </c>
      <c r="AA116" s="111"/>
      <c r="AB116" s="111"/>
      <c r="AC116" s="111"/>
      <c r="AD116" s="111"/>
      <c r="AE116" s="112">
        <v>0</v>
      </c>
      <c r="AH116" s="87" t="s">
        <v>179</v>
      </c>
      <c r="AI116" s="111"/>
      <c r="AJ116" s="111"/>
      <c r="AK116" s="111"/>
      <c r="AL116" s="111"/>
      <c r="AM116" s="112">
        <v>0</v>
      </c>
      <c r="AP116" s="87" t="s">
        <v>179</v>
      </c>
      <c r="AQ116" s="111"/>
      <c r="AR116" s="111"/>
      <c r="AS116" s="111"/>
      <c r="AT116" s="111"/>
      <c r="AU116" s="112">
        <v>0</v>
      </c>
      <c r="AX116" s="87" t="s">
        <v>179</v>
      </c>
      <c r="AY116" s="111"/>
      <c r="AZ116" s="111"/>
      <c r="BA116" s="111"/>
      <c r="BB116" s="111"/>
      <c r="BC116" s="112">
        <v>0</v>
      </c>
      <c r="BF116" s="87" t="s">
        <v>179</v>
      </c>
      <c r="BG116" s="111"/>
      <c r="BH116" s="111"/>
      <c r="BI116" s="111"/>
      <c r="BJ116" s="111"/>
      <c r="BK116" s="112">
        <v>0</v>
      </c>
      <c r="BN116" s="87" t="s">
        <v>179</v>
      </c>
      <c r="BO116" s="111"/>
      <c r="BP116" s="111"/>
      <c r="BQ116" s="111"/>
      <c r="BR116" s="111"/>
      <c r="BS116" s="112">
        <v>0</v>
      </c>
      <c r="BV116" s="87" t="s">
        <v>179</v>
      </c>
      <c r="BW116" s="111"/>
      <c r="BX116" s="111"/>
      <c r="BY116" s="111"/>
      <c r="BZ116" s="111"/>
      <c r="CA116" s="112">
        <v>0</v>
      </c>
      <c r="CD116" s="87" t="s">
        <v>179</v>
      </c>
      <c r="CE116" s="111"/>
      <c r="CF116" s="111"/>
      <c r="CG116" s="111"/>
      <c r="CH116" s="111"/>
      <c r="CI116" s="112">
        <v>0</v>
      </c>
      <c r="CL116" s="87" t="s">
        <v>179</v>
      </c>
      <c r="CM116" s="111"/>
      <c r="CN116" s="111"/>
      <c r="CO116" s="111"/>
      <c r="CP116" s="111"/>
      <c r="CQ116" s="112">
        <v>0</v>
      </c>
      <c r="CT116" s="87" t="s">
        <v>179</v>
      </c>
      <c r="CU116" s="111"/>
      <c r="CV116" s="111"/>
      <c r="CW116" s="111"/>
      <c r="CX116" s="111"/>
      <c r="CY116" s="112">
        <v>0</v>
      </c>
      <c r="DB116" s="87" t="s">
        <v>179</v>
      </c>
      <c r="DC116" s="111"/>
      <c r="DD116" s="111"/>
      <c r="DE116" s="111"/>
      <c r="DF116" s="111"/>
      <c r="DG116" s="112">
        <v>0</v>
      </c>
    </row>
    <row r="117" spans="2:111" ht="15" thickBot="1">
      <c r="B117" s="85" t="str">
        <f>B103</f>
        <v>PET-CT</v>
      </c>
      <c r="C117" s="113">
        <f ca="1">SUM(C107:C115)</f>
        <v>3181339.1732890946</v>
      </c>
      <c r="D117" s="113">
        <f ca="1">SUM(D107:D115)</f>
        <v>6401980.437638036</v>
      </c>
      <c r="E117" s="113">
        <f ca="1">SUM(E107:E115)</f>
        <v>9659416.2161025796</v>
      </c>
      <c r="F117" s="113">
        <f ca="1">SUM(F107:F115)</f>
        <v>12951048.965170497</v>
      </c>
      <c r="G117" s="114">
        <f ca="1">SUM(G107:G115)</f>
        <v>16274191.393978339</v>
      </c>
      <c r="J117" s="85">
        <f>J103</f>
        <v>0</v>
      </c>
      <c r="K117" s="113">
        <f ca="1">SUM(K107:K115)</f>
        <v>0</v>
      </c>
      <c r="L117" s="113">
        <f ca="1">SUM(L107:L115)</f>
        <v>0</v>
      </c>
      <c r="M117" s="113">
        <f ca="1">SUM(M107:M115)</f>
        <v>0</v>
      </c>
      <c r="N117" s="113">
        <f ca="1">SUM(N107:N115)</f>
        <v>0</v>
      </c>
      <c r="O117" s="114">
        <f ca="1">SUM(O107:O115)</f>
        <v>0</v>
      </c>
      <c r="R117" s="85">
        <f>R103</f>
        <v>0</v>
      </c>
      <c r="S117" s="113">
        <f ca="1">SUM(S107:S115)</f>
        <v>0</v>
      </c>
      <c r="T117" s="113">
        <f ca="1">SUM(T107:T115)</f>
        <v>0</v>
      </c>
      <c r="U117" s="113">
        <f ca="1">SUM(U107:U115)</f>
        <v>0</v>
      </c>
      <c r="V117" s="113">
        <f ca="1">SUM(V107:V115)</f>
        <v>0</v>
      </c>
      <c r="W117" s="114">
        <f ca="1">SUM(W107:W115)</f>
        <v>0</v>
      </c>
      <c r="Z117" s="85">
        <f>Z103</f>
        <v>0</v>
      </c>
      <c r="AA117" s="113">
        <f ca="1">SUM(AA107:AA115)</f>
        <v>0</v>
      </c>
      <c r="AB117" s="113">
        <f ca="1">SUM(AB107:AB115)</f>
        <v>0</v>
      </c>
      <c r="AC117" s="113">
        <f ca="1">SUM(AC107:AC115)</f>
        <v>0</v>
      </c>
      <c r="AD117" s="113">
        <f ca="1">SUM(AD107:AD115)</f>
        <v>0</v>
      </c>
      <c r="AE117" s="114">
        <f ca="1">SUM(AE107:AE115)</f>
        <v>0</v>
      </c>
      <c r="AH117" s="85" t="str">
        <f>AH103</f>
        <v>CT scan + scintigraphy</v>
      </c>
      <c r="AI117" s="113">
        <f ca="1">SUM(AI107:AI115)</f>
        <v>4672382.1483881408</v>
      </c>
      <c r="AJ117" s="113">
        <f ca="1">SUM(AJ107:AJ115)</f>
        <v>3525932.4943602746</v>
      </c>
      <c r="AK117" s="113">
        <f ca="1">SUM(AK107:AK115)</f>
        <v>2364438.4452364366</v>
      </c>
      <c r="AL117" s="113">
        <f ca="1">SUM(AL107:AL115)</f>
        <v>1188812.4523123673</v>
      </c>
      <c r="AM117" s="114">
        <f ca="1">SUM(AM107:AM115)</f>
        <v>0</v>
      </c>
      <c r="AP117" s="85">
        <f>AP103</f>
        <v>0</v>
      </c>
      <c r="AQ117" s="113">
        <f ca="1">SUM(AQ107:AQ115)</f>
        <v>0</v>
      </c>
      <c r="AR117" s="113">
        <f ca="1">SUM(AR107:AR115)</f>
        <v>0</v>
      </c>
      <c r="AS117" s="113">
        <f ca="1">SUM(AS107:AS115)</f>
        <v>0</v>
      </c>
      <c r="AT117" s="113">
        <f ca="1">SUM(AT107:AT115)</f>
        <v>0</v>
      </c>
      <c r="AU117" s="114">
        <f ca="1">SUM(AU107:AU115)</f>
        <v>0</v>
      </c>
      <c r="AX117" s="85">
        <f>AX103</f>
        <v>0</v>
      </c>
      <c r="AY117" s="113">
        <f ca="1">SUM(AY107:AY115)</f>
        <v>0</v>
      </c>
      <c r="AZ117" s="113">
        <f ca="1">SUM(AZ107:AZ115)</f>
        <v>0</v>
      </c>
      <c r="BA117" s="113">
        <f ca="1">SUM(BA107:BA115)</f>
        <v>0</v>
      </c>
      <c r="BB117" s="113">
        <f ca="1">SUM(BB107:BB115)</f>
        <v>0</v>
      </c>
      <c r="BC117" s="114">
        <f ca="1">SUM(BC107:BC115)</f>
        <v>0</v>
      </c>
      <c r="BF117" s="85">
        <f>BF103</f>
        <v>0</v>
      </c>
      <c r="BG117" s="113">
        <f ca="1">SUM(BG107:BG115)</f>
        <v>0</v>
      </c>
      <c r="BH117" s="113">
        <f ca="1">SUM(BH107:BH115)</f>
        <v>0</v>
      </c>
      <c r="BI117" s="113">
        <f ca="1">SUM(BI107:BI115)</f>
        <v>0</v>
      </c>
      <c r="BJ117" s="113">
        <f ca="1">SUM(BJ107:BJ115)</f>
        <v>0</v>
      </c>
      <c r="BK117" s="114">
        <f ca="1">SUM(BK107:BK115)</f>
        <v>0</v>
      </c>
      <c r="BN117" s="85">
        <f>BN103</f>
        <v>0</v>
      </c>
      <c r="BO117" s="113">
        <f ca="1">SUM(BO107:BO115)</f>
        <v>0</v>
      </c>
      <c r="BP117" s="113">
        <f ca="1">SUM(BP107:BP115)</f>
        <v>0</v>
      </c>
      <c r="BQ117" s="113">
        <f ca="1">SUM(BQ107:BQ115)</f>
        <v>0</v>
      </c>
      <c r="BR117" s="113">
        <f ca="1">SUM(BR107:BR115)</f>
        <v>0</v>
      </c>
      <c r="BS117" s="114">
        <f ca="1">SUM(BS107:BS115)</f>
        <v>0</v>
      </c>
      <c r="BV117" s="85">
        <f>BV103</f>
        <v>0</v>
      </c>
      <c r="BW117" s="113">
        <f ca="1">SUM(BW107:BW115)</f>
        <v>0</v>
      </c>
      <c r="BX117" s="113">
        <f ca="1">SUM(BX107:BX115)</f>
        <v>0</v>
      </c>
      <c r="BY117" s="113">
        <f ca="1">SUM(BY107:BY115)</f>
        <v>0</v>
      </c>
      <c r="BZ117" s="113">
        <f ca="1">SUM(BZ107:BZ115)</f>
        <v>0</v>
      </c>
      <c r="CA117" s="114">
        <f ca="1">SUM(CA107:CA115)</f>
        <v>0</v>
      </c>
      <c r="CD117" s="85">
        <f>CD103</f>
        <v>0</v>
      </c>
      <c r="CE117" s="113">
        <f ca="1">SUM(CE107:CE115)</f>
        <v>0</v>
      </c>
      <c r="CF117" s="113">
        <f ca="1">SUM(CF107:CF115)</f>
        <v>0</v>
      </c>
      <c r="CG117" s="113">
        <f ca="1">SUM(CG107:CG115)</f>
        <v>0</v>
      </c>
      <c r="CH117" s="113">
        <f ca="1">SUM(CH107:CH115)</f>
        <v>0</v>
      </c>
      <c r="CI117" s="114">
        <f ca="1">SUM(CI107:CI115)</f>
        <v>0</v>
      </c>
      <c r="CL117" s="85">
        <f>CL103</f>
        <v>0</v>
      </c>
      <c r="CM117" s="113">
        <f ca="1">SUM(CM107:CM115)</f>
        <v>0</v>
      </c>
      <c r="CN117" s="113">
        <f ca="1">SUM(CN107:CN115)</f>
        <v>0</v>
      </c>
      <c r="CO117" s="113">
        <f ca="1">SUM(CO107:CO115)</f>
        <v>0</v>
      </c>
      <c r="CP117" s="113">
        <f ca="1">SUM(CP107:CP115)</f>
        <v>0</v>
      </c>
      <c r="CQ117" s="114">
        <f ca="1">SUM(CQ107:CQ115)</f>
        <v>0</v>
      </c>
      <c r="CT117" s="85">
        <f>CT103</f>
        <v>0</v>
      </c>
      <c r="CU117" s="113">
        <f ca="1">SUM(CU107:CU115)</f>
        <v>0</v>
      </c>
      <c r="CV117" s="113">
        <f ca="1">SUM(CV107:CV115)</f>
        <v>0</v>
      </c>
      <c r="CW117" s="113">
        <f ca="1">SUM(CW107:CW115)</f>
        <v>0</v>
      </c>
      <c r="CX117" s="113">
        <f ca="1">SUM(CX107:CX115)</f>
        <v>0</v>
      </c>
      <c r="CY117" s="114">
        <f ca="1">SUM(CY107:CY115)</f>
        <v>0</v>
      </c>
      <c r="DB117" s="85">
        <f>DB103</f>
        <v>0</v>
      </c>
      <c r="DC117" s="113">
        <f ca="1">SUM(DC107:DC115)</f>
        <v>0</v>
      </c>
      <c r="DD117" s="113">
        <f ca="1">SUM(DD107:DD115)</f>
        <v>0</v>
      </c>
      <c r="DE117" s="113">
        <f ca="1">SUM(DE107:DE115)</f>
        <v>0</v>
      </c>
      <c r="DF117" s="113">
        <f ca="1">SUM(DF107:DF115)</f>
        <v>0</v>
      </c>
      <c r="DG117" s="114">
        <f ca="1">SUM(DG107:DG115)</f>
        <v>0</v>
      </c>
    </row>
    <row r="118" spans="2:111" ht="15" thickBot="1">
      <c r="B118" s="83"/>
      <c r="C118" s="86"/>
      <c r="D118" s="86"/>
      <c r="E118" s="86"/>
      <c r="F118" s="86"/>
      <c r="G118" s="86"/>
      <c r="J118" s="83"/>
      <c r="K118" s="86"/>
      <c r="L118" s="86"/>
      <c r="M118" s="86"/>
      <c r="N118" s="86"/>
      <c r="O118" s="86"/>
      <c r="R118" s="83"/>
      <c r="S118" s="86"/>
      <c r="T118" s="86"/>
      <c r="U118" s="86"/>
      <c r="V118" s="86"/>
      <c r="W118" s="86"/>
      <c r="Z118" s="83"/>
      <c r="AA118" s="86"/>
      <c r="AB118" s="86"/>
      <c r="AC118" s="86"/>
      <c r="AD118" s="86"/>
      <c r="AE118" s="86"/>
      <c r="AH118" s="83"/>
      <c r="AI118" s="86"/>
      <c r="AJ118" s="86"/>
      <c r="AK118" s="86"/>
      <c r="AL118" s="86"/>
      <c r="AM118" s="86"/>
      <c r="AP118" s="83"/>
      <c r="AQ118" s="86"/>
      <c r="AR118" s="86"/>
      <c r="AS118" s="86"/>
      <c r="AT118" s="86"/>
      <c r="AU118" s="86"/>
      <c r="AX118" s="83"/>
      <c r="AY118" s="86"/>
      <c r="AZ118" s="86"/>
      <c r="BA118" s="86"/>
      <c r="BB118" s="86"/>
      <c r="BC118" s="86"/>
      <c r="BF118" s="83"/>
      <c r="BG118" s="86"/>
      <c r="BH118" s="86"/>
      <c r="BI118" s="86"/>
      <c r="BJ118" s="86"/>
      <c r="BK118" s="86"/>
      <c r="BN118" s="83"/>
      <c r="BO118" s="86"/>
      <c r="BP118" s="86"/>
      <c r="BQ118" s="86"/>
      <c r="BR118" s="86"/>
      <c r="BS118" s="86"/>
      <c r="BV118" s="83"/>
      <c r="BW118" s="86"/>
      <c r="BX118" s="86"/>
      <c r="BY118" s="86"/>
      <c r="BZ118" s="86"/>
      <c r="CA118" s="86"/>
      <c r="CD118" s="83"/>
      <c r="CE118" s="86"/>
      <c r="CF118" s="86"/>
      <c r="CG118" s="86"/>
      <c r="CH118" s="86"/>
      <c r="CI118" s="86"/>
      <c r="CL118" s="83"/>
      <c r="CM118" s="86"/>
      <c r="CN118" s="86"/>
      <c r="CO118" s="86"/>
      <c r="CP118" s="86"/>
      <c r="CQ118" s="86"/>
      <c r="CT118" s="83"/>
      <c r="CU118" s="86"/>
      <c r="CV118" s="86"/>
      <c r="CW118" s="86"/>
      <c r="CX118" s="86"/>
      <c r="CY118" s="86"/>
      <c r="DB118" s="83"/>
      <c r="DC118" s="86"/>
      <c r="DD118" s="86"/>
      <c r="DE118" s="86"/>
      <c r="DF118" s="86"/>
      <c r="DG118" s="86"/>
    </row>
    <row r="119" spans="2:111" ht="15" thickBot="1">
      <c r="B119" s="507" t="str">
        <f>B56</f>
        <v>With PET-CT 10-50%</v>
      </c>
      <c r="C119" s="505"/>
      <c r="D119" s="505"/>
      <c r="E119" s="505"/>
      <c r="F119" s="505"/>
      <c r="G119" s="506"/>
      <c r="J119" s="507" t="str">
        <f>J56</f>
        <v>With PET-CT 10-50%</v>
      </c>
      <c r="K119" s="505"/>
      <c r="L119" s="505"/>
      <c r="M119" s="505"/>
      <c r="N119" s="505"/>
      <c r="O119" s="506"/>
      <c r="R119" s="507" t="str">
        <f>R56</f>
        <v>With PET-CT 10-50%</v>
      </c>
      <c r="S119" s="505"/>
      <c r="T119" s="505"/>
      <c r="U119" s="505"/>
      <c r="V119" s="505"/>
      <c r="W119" s="506"/>
      <c r="Z119" s="507" t="str">
        <f>Z56</f>
        <v>With PET-CT 10-50%</v>
      </c>
      <c r="AA119" s="505"/>
      <c r="AB119" s="505"/>
      <c r="AC119" s="505"/>
      <c r="AD119" s="505"/>
      <c r="AE119" s="506"/>
      <c r="AH119" s="507" t="str">
        <f>AH56</f>
        <v>With PET-CT 10-50%</v>
      </c>
      <c r="AI119" s="505"/>
      <c r="AJ119" s="505"/>
      <c r="AK119" s="505"/>
      <c r="AL119" s="505"/>
      <c r="AM119" s="506"/>
      <c r="AP119" s="507" t="str">
        <f>AP56</f>
        <v>With PET-CT 10-50%</v>
      </c>
      <c r="AQ119" s="505"/>
      <c r="AR119" s="505"/>
      <c r="AS119" s="505"/>
      <c r="AT119" s="505"/>
      <c r="AU119" s="506"/>
      <c r="AX119" s="507" t="str">
        <f>AX56</f>
        <v>With PET-CT 10-50%</v>
      </c>
      <c r="AY119" s="505"/>
      <c r="AZ119" s="505"/>
      <c r="BA119" s="505"/>
      <c r="BB119" s="505"/>
      <c r="BC119" s="506"/>
      <c r="BF119" s="507" t="str">
        <f>BF56</f>
        <v>With PET-CT 10-50%</v>
      </c>
      <c r="BG119" s="505"/>
      <c r="BH119" s="505"/>
      <c r="BI119" s="505"/>
      <c r="BJ119" s="505"/>
      <c r="BK119" s="506"/>
      <c r="BN119" s="507" t="str">
        <f>BN56</f>
        <v>With PET-CT 10-50%</v>
      </c>
      <c r="BO119" s="505"/>
      <c r="BP119" s="505"/>
      <c r="BQ119" s="505"/>
      <c r="BR119" s="505"/>
      <c r="BS119" s="506"/>
      <c r="BV119" s="507" t="str">
        <f>BV56</f>
        <v>With PET-CT 10-50%</v>
      </c>
      <c r="BW119" s="505"/>
      <c r="BX119" s="505"/>
      <c r="BY119" s="505"/>
      <c r="BZ119" s="505"/>
      <c r="CA119" s="506"/>
      <c r="CD119" s="507" t="str">
        <f>CD56</f>
        <v>With PET-CT 10-50%</v>
      </c>
      <c r="CE119" s="505"/>
      <c r="CF119" s="505"/>
      <c r="CG119" s="505"/>
      <c r="CH119" s="505"/>
      <c r="CI119" s="506"/>
      <c r="CL119" s="507" t="str">
        <f>CL56</f>
        <v>With PET-CT 10-50%</v>
      </c>
      <c r="CM119" s="505"/>
      <c r="CN119" s="505"/>
      <c r="CO119" s="505"/>
      <c r="CP119" s="505"/>
      <c r="CQ119" s="506"/>
      <c r="CT119" s="507" t="str">
        <f>CT56</f>
        <v>With PET-CT 10-50%</v>
      </c>
      <c r="CU119" s="505"/>
      <c r="CV119" s="505"/>
      <c r="CW119" s="505"/>
      <c r="CX119" s="505"/>
      <c r="CY119" s="506"/>
      <c r="DB119" s="507" t="str">
        <f>DB56</f>
        <v>With PET-CT 10-50%</v>
      </c>
      <c r="DC119" s="505"/>
      <c r="DD119" s="505"/>
      <c r="DE119" s="505"/>
      <c r="DF119" s="505"/>
      <c r="DG119" s="506"/>
    </row>
    <row r="120" spans="2:111">
      <c r="B120" s="84"/>
      <c r="C120" s="101">
        <f>C57</f>
        <v>2024</v>
      </c>
      <c r="D120" s="101">
        <f t="shared" ref="D120:F120" si="300">D57</f>
        <v>2025</v>
      </c>
      <c r="E120" s="101">
        <f t="shared" si="300"/>
        <v>2026</v>
      </c>
      <c r="F120" s="101">
        <f t="shared" si="300"/>
        <v>2027</v>
      </c>
      <c r="G120" s="102">
        <f>G57</f>
        <v>2028</v>
      </c>
      <c r="J120" s="84"/>
      <c r="K120" s="101">
        <f>K57</f>
        <v>2024</v>
      </c>
      <c r="L120" s="101">
        <f t="shared" ref="L120:N120" si="301">L57</f>
        <v>2025</v>
      </c>
      <c r="M120" s="101">
        <f t="shared" si="301"/>
        <v>2026</v>
      </c>
      <c r="N120" s="101">
        <f t="shared" si="301"/>
        <v>2027</v>
      </c>
      <c r="O120" s="102">
        <f>O57</f>
        <v>2028</v>
      </c>
      <c r="R120" s="84"/>
      <c r="S120" s="101">
        <f>S57</f>
        <v>2024</v>
      </c>
      <c r="T120" s="101">
        <f t="shared" ref="T120:V120" si="302">T57</f>
        <v>2025</v>
      </c>
      <c r="U120" s="101">
        <f t="shared" si="302"/>
        <v>2026</v>
      </c>
      <c r="V120" s="101">
        <f t="shared" si="302"/>
        <v>2027</v>
      </c>
      <c r="W120" s="102">
        <f>W57</f>
        <v>2028</v>
      </c>
      <c r="Z120" s="84"/>
      <c r="AA120" s="101">
        <f>AA57</f>
        <v>2024</v>
      </c>
      <c r="AB120" s="101">
        <f t="shared" ref="AB120:AD120" si="303">AB57</f>
        <v>2025</v>
      </c>
      <c r="AC120" s="101">
        <f t="shared" si="303"/>
        <v>2026</v>
      </c>
      <c r="AD120" s="101">
        <f t="shared" si="303"/>
        <v>2027</v>
      </c>
      <c r="AE120" s="102">
        <f>AE57</f>
        <v>2028</v>
      </c>
      <c r="AH120" s="84"/>
      <c r="AI120" s="101">
        <f>AI57</f>
        <v>2024</v>
      </c>
      <c r="AJ120" s="101">
        <f t="shared" ref="AJ120:AL120" si="304">AJ57</f>
        <v>2025</v>
      </c>
      <c r="AK120" s="101">
        <f t="shared" si="304"/>
        <v>2026</v>
      </c>
      <c r="AL120" s="101">
        <f t="shared" si="304"/>
        <v>2027</v>
      </c>
      <c r="AM120" s="102">
        <f>AM57</f>
        <v>2028</v>
      </c>
      <c r="AP120" s="84"/>
      <c r="AQ120" s="101">
        <f>AQ57</f>
        <v>2024</v>
      </c>
      <c r="AR120" s="101">
        <f t="shared" ref="AR120:AT120" si="305">AR57</f>
        <v>2025</v>
      </c>
      <c r="AS120" s="101">
        <f t="shared" si="305"/>
        <v>2026</v>
      </c>
      <c r="AT120" s="101">
        <f t="shared" si="305"/>
        <v>2027</v>
      </c>
      <c r="AU120" s="102">
        <f>AU57</f>
        <v>2028</v>
      </c>
      <c r="AX120" s="84"/>
      <c r="AY120" s="101">
        <f>AY57</f>
        <v>2024</v>
      </c>
      <c r="AZ120" s="101">
        <f t="shared" ref="AZ120:BB120" si="306">AZ57</f>
        <v>2025</v>
      </c>
      <c r="BA120" s="101">
        <f t="shared" si="306"/>
        <v>2026</v>
      </c>
      <c r="BB120" s="101">
        <f t="shared" si="306"/>
        <v>2027</v>
      </c>
      <c r="BC120" s="102">
        <f>BC57</f>
        <v>2028</v>
      </c>
      <c r="BF120" s="84"/>
      <c r="BG120" s="101">
        <f>BG57</f>
        <v>2024</v>
      </c>
      <c r="BH120" s="101">
        <f t="shared" ref="BH120:BJ120" si="307">BH57</f>
        <v>2025</v>
      </c>
      <c r="BI120" s="101">
        <f t="shared" si="307"/>
        <v>2026</v>
      </c>
      <c r="BJ120" s="101">
        <f t="shared" si="307"/>
        <v>2027</v>
      </c>
      <c r="BK120" s="102">
        <f>BK57</f>
        <v>2028</v>
      </c>
      <c r="BN120" s="84"/>
      <c r="BO120" s="101">
        <f>BO57</f>
        <v>2024</v>
      </c>
      <c r="BP120" s="101">
        <f t="shared" ref="BP120:BR120" si="308">BP57</f>
        <v>2025</v>
      </c>
      <c r="BQ120" s="101">
        <f t="shared" si="308"/>
        <v>2026</v>
      </c>
      <c r="BR120" s="101">
        <f t="shared" si="308"/>
        <v>2027</v>
      </c>
      <c r="BS120" s="102">
        <f>BS57</f>
        <v>2028</v>
      </c>
      <c r="BV120" s="84"/>
      <c r="BW120" s="101">
        <f>BW57</f>
        <v>2024</v>
      </c>
      <c r="BX120" s="101">
        <f t="shared" ref="BX120:BZ120" si="309">BX57</f>
        <v>2025</v>
      </c>
      <c r="BY120" s="101">
        <f t="shared" si="309"/>
        <v>2026</v>
      </c>
      <c r="BZ120" s="101">
        <f t="shared" si="309"/>
        <v>2027</v>
      </c>
      <c r="CA120" s="102">
        <f>CA57</f>
        <v>2028</v>
      </c>
      <c r="CD120" s="84"/>
      <c r="CE120" s="101">
        <f>CE57</f>
        <v>2024</v>
      </c>
      <c r="CF120" s="101">
        <f t="shared" ref="CF120:CH120" si="310">CF57</f>
        <v>2025</v>
      </c>
      <c r="CG120" s="101">
        <f t="shared" si="310"/>
        <v>2026</v>
      </c>
      <c r="CH120" s="101">
        <f t="shared" si="310"/>
        <v>2027</v>
      </c>
      <c r="CI120" s="102">
        <f>CI57</f>
        <v>2028</v>
      </c>
      <c r="CL120" s="84"/>
      <c r="CM120" s="101">
        <f>CM57</f>
        <v>2024</v>
      </c>
      <c r="CN120" s="101">
        <f t="shared" ref="CN120:CP120" si="311">CN57</f>
        <v>2025</v>
      </c>
      <c r="CO120" s="101">
        <f t="shared" si="311"/>
        <v>2026</v>
      </c>
      <c r="CP120" s="101">
        <f t="shared" si="311"/>
        <v>2027</v>
      </c>
      <c r="CQ120" s="102">
        <f>CQ57</f>
        <v>2028</v>
      </c>
      <c r="CT120" s="84"/>
      <c r="CU120" s="101">
        <f>CU57</f>
        <v>2024</v>
      </c>
      <c r="CV120" s="101">
        <f t="shared" ref="CV120:CX120" si="312">CV57</f>
        <v>2025</v>
      </c>
      <c r="CW120" s="101">
        <f t="shared" si="312"/>
        <v>2026</v>
      </c>
      <c r="CX120" s="101">
        <f t="shared" si="312"/>
        <v>2027</v>
      </c>
      <c r="CY120" s="102">
        <f>CY57</f>
        <v>2028</v>
      </c>
      <c r="DB120" s="84"/>
      <c r="DC120" s="101">
        <f>DC57</f>
        <v>2024</v>
      </c>
      <c r="DD120" s="101">
        <f t="shared" ref="DD120:DF120" si="313">DD57</f>
        <v>2025</v>
      </c>
      <c r="DE120" s="101">
        <f t="shared" si="313"/>
        <v>2026</v>
      </c>
      <c r="DF120" s="101">
        <f t="shared" si="313"/>
        <v>2027</v>
      </c>
      <c r="DG120" s="102">
        <f>DG57</f>
        <v>2028</v>
      </c>
    </row>
    <row r="121" spans="2:111">
      <c r="B121" s="87" t="s">
        <v>170</v>
      </c>
      <c r="C121" s="109">
        <f ca="1">(C58*c_inicial)+(C58*c_on*12)+(C58*ci_int1)+(C58*(ct_int1+ca_int1)*'Time on treatment'!$D$12)</f>
        <v>1590669.5866445473</v>
      </c>
      <c r="D121" s="109">
        <f ca="1">(D58*c_on*12)+(D58*(ct_int1+ca_int1)*'Time on treatment'!$E$12)</f>
        <v>0</v>
      </c>
      <c r="E121" s="109">
        <f ca="1">(E58*c_on*12)+(E58*(ct_int1+ca_int1)*'Time on treatment'!$F$12)</f>
        <v>0</v>
      </c>
      <c r="F121" s="109">
        <f ca="1">(F58*c_on*12)+(F58*(ct_int1+ca_int1)*'Time on treatment'!$G$12)</f>
        <v>0</v>
      </c>
      <c r="G121" s="110">
        <f ca="1">(G58*c_on*12)+(G58*(ct_int1+ca_int1)*'Time on treatment'!$H$12)</f>
        <v>0</v>
      </c>
      <c r="J121" s="87" t="s">
        <v>170</v>
      </c>
      <c r="K121" s="109">
        <f ca="1">(K58*c_inicial)+(K58*c_on*12)+(K58*ci_int2)+(K58*(ct_int2+ca_int2)*'Time on treatment'!$D$13)</f>
        <v>0</v>
      </c>
      <c r="L121" s="109">
        <f ca="1">(L58*c_on*12)+(L58*(ct_int2+ca_int2)*'Time on treatment'!$E$13)</f>
        <v>0</v>
      </c>
      <c r="M121" s="109">
        <f ca="1">(M58*c_on*12)+(M58*(ct_int2+ca_int2)*'Time on treatment'!$F$13)</f>
        <v>0</v>
      </c>
      <c r="N121" s="109">
        <f ca="1">(N58*c_on*12)+(N58*(ct_int2+ca_int2)*'Time on treatment'!$G$13)</f>
        <v>0</v>
      </c>
      <c r="O121" s="110">
        <f ca="1">(O58*c_on*12)+(O58*(ct_int2+ca_int2)*'Time on treatment'!$H$13)</f>
        <v>0</v>
      </c>
      <c r="R121" s="87" t="s">
        <v>170</v>
      </c>
      <c r="S121" s="109">
        <f ca="1">(S58*c_inicial)+(S58*c_on*12)+(S58*ci_int3)+(S58*(ct_int3+ca_int3)*'Time on treatment'!$D$14)</f>
        <v>0</v>
      </c>
      <c r="T121" s="109">
        <f ca="1">(T58*c_on*12)+(T58*(ct_int3+ca_int3)*'Time on treatment'!$E$14)</f>
        <v>0</v>
      </c>
      <c r="U121" s="109">
        <f ca="1">(U58*c_on*12)+(U58*(ct_int3+ca_int3)*'Time on treatment'!$F$14)</f>
        <v>0</v>
      </c>
      <c r="V121" s="109">
        <f ca="1">(V58*c_on*12)+(V58*(ct_int3+ca_int3)*'Time on treatment'!$G$14)</f>
        <v>0</v>
      </c>
      <c r="W121" s="110">
        <f ca="1">(W58*c_on*12)+(W58*(ct_int3+ca_int3)*'Time on treatment'!$H$14)</f>
        <v>0</v>
      </c>
      <c r="Z121" s="87" t="s">
        <v>170</v>
      </c>
      <c r="AA121" s="109">
        <f ca="1">(AA58*c_inicial)+(AA58*c_on*12)+(AA58*ci_int4)+(AA58*(ct_int4+ca_int4)*'Time on treatment'!$D$15)</f>
        <v>0</v>
      </c>
      <c r="AB121" s="109">
        <f ca="1">(AB58*c_on*12)+(AB58*(ct_int4+ca_int4)*'Time on treatment'!$E$15)</f>
        <v>0</v>
      </c>
      <c r="AC121" s="109">
        <f ca="1">(AC58*c_on*12)+(AC58*(ct_int4+ca_int4)*'Time on treatment'!$F$15)</f>
        <v>0</v>
      </c>
      <c r="AD121" s="109">
        <f ca="1">(AD58*c_on*12)+(AD58*(ct_int4+ca_int4)*'Time on treatment'!$G$15)</f>
        <v>0</v>
      </c>
      <c r="AE121" s="110">
        <f ca="1">(AE58*c_on*12)+(AE58*(ct_int4+ca_int4)*'Time on treatment'!$H$15)</f>
        <v>0</v>
      </c>
      <c r="AH121" s="87" t="s">
        <v>170</v>
      </c>
      <c r="AI121" s="109">
        <f ca="1">(AI58*c_inicial)+(AI58*c_on*12)+(AI58*ci_comp1)+(AI58*(ct_comp1+ca_comp1)*'Time on treatment'!$D$19)</f>
        <v>5256429.9169366583</v>
      </c>
      <c r="AJ121" s="109">
        <f ca="1">(AJ58*c_on*12)+(AJ58*(ct_comp1+ca_comp1)*'Time on treatment'!$E$19)</f>
        <v>0</v>
      </c>
      <c r="AK121" s="109">
        <f ca="1">(AK58*c_on*12)+(AK58*(ct_comp1+ca_comp1)*'Time on treatment'!$F$19)</f>
        <v>0</v>
      </c>
      <c r="AL121" s="109">
        <f ca="1">(AL58*c_on*12)+(AL58*(ct_comp1+ca_comp1)*'Time on treatment'!$G$19)</f>
        <v>0</v>
      </c>
      <c r="AM121" s="110">
        <f ca="1">(AM58*c_on*12)+(AM58*(ct_comp1+ca_comp1)*'Time on treatment'!$H$19)</f>
        <v>0</v>
      </c>
      <c r="AP121" s="87" t="s">
        <v>170</v>
      </c>
      <c r="AQ121" s="109">
        <f ca="1">(AQ58*c_inicial)+(AQ58*c_on*12)+(AQ58*ci_comp2)+(AQ58*(ct_comp2+ca_comp2)*'Time on treatment'!$D$20)</f>
        <v>0</v>
      </c>
      <c r="AR121" s="109">
        <f ca="1">(AR58*c_on*12)+(AR58*(ct_comp2+ca_comp2)*'Time on treatment'!$E$20)</f>
        <v>0</v>
      </c>
      <c r="AS121" s="109">
        <f ca="1">(AS58*c_on*12)+(AS58*(ct_comp2+ca_comp2)*'Time on treatment'!$F$20)</f>
        <v>0</v>
      </c>
      <c r="AT121" s="109">
        <f ca="1">(AT58*c_on*12)+(AT58*(ct_comp2+ca_comp2)*'Time on treatment'!$G$20)</f>
        <v>0</v>
      </c>
      <c r="AU121" s="110">
        <f ca="1">(AU58*c_on*12)+(AU58*(ct_comp2+ca_comp2)*'Time on treatment'!$H$20)</f>
        <v>0</v>
      </c>
      <c r="AX121" s="87" t="s">
        <v>170</v>
      </c>
      <c r="AY121" s="109">
        <f ca="1">(AY58*c_inicial)+(AY58*c_on*12)+(AY58*ci_comp3)+(AY58*(ct_comp3+ca_comp3)*'Time on treatment'!$D$21)</f>
        <v>0</v>
      </c>
      <c r="AZ121" s="109">
        <f ca="1">(AZ58*c_on*12)+(AZ58*(ct_comp3+ca_comp3)*'Time on treatment'!$E$21)</f>
        <v>0</v>
      </c>
      <c r="BA121" s="109">
        <f ca="1">(BA58*c_on*12)+(BA58*(ct_comp3+ca_comp3)*'Time on treatment'!$F$21)</f>
        <v>0</v>
      </c>
      <c r="BB121" s="109">
        <f ca="1">(BB58*c_on*12)+(BB58*(ct_comp3+ca_comp3)*'Time on treatment'!$G$21)</f>
        <v>0</v>
      </c>
      <c r="BC121" s="110">
        <f ca="1">(BC58*c_on*12)+(BC58*(ct_comp3+ca_comp3)*'Time on treatment'!$H$21)</f>
        <v>0</v>
      </c>
      <c r="BF121" s="87" t="s">
        <v>170</v>
      </c>
      <c r="BG121" s="109">
        <f ca="1">(BG58*c_inicial)+(BG58*c_on*12)+(BG58*ci_comp4)+(BG58*(ct_comp4+ca_comp4)*'Time on treatment'!$D$22)</f>
        <v>0</v>
      </c>
      <c r="BH121" s="109">
        <f ca="1">(BH58*c_on*12)+(BH58*(ct_comp4+ca_comp4)*'Time on treatment'!$E$22)</f>
        <v>0</v>
      </c>
      <c r="BI121" s="109">
        <f ca="1">(BI58*c_on*12)+(BI58*(ct_comp4+ca_comp4)*'Time on treatment'!$F$22)</f>
        <v>0</v>
      </c>
      <c r="BJ121" s="109">
        <f ca="1">(BJ58*c_on*12)+(BJ58*(ct_comp4+ca_comp4)*'Time on treatment'!$G$22)</f>
        <v>0</v>
      </c>
      <c r="BK121" s="110">
        <f ca="1">(BK58*c_on*12)+(BK58*(ct_comp4+ca_comp4)*'Time on treatment'!$H$22)</f>
        <v>0</v>
      </c>
      <c r="BN121" s="87" t="s">
        <v>170</v>
      </c>
      <c r="BO121" s="109">
        <f ca="1">(BO58*c_inicial)+(BO58*c_on*12)+(BO58*ci_comp5)+(BO58*(ct_comp5+ca_comp5)*'Time on treatment'!$D$23)</f>
        <v>0</v>
      </c>
      <c r="BP121" s="109">
        <f ca="1">(BP58*c_on*12)+(BP58*(ct_comp5+ca_comp5)*'Time on treatment'!$E$23)</f>
        <v>0</v>
      </c>
      <c r="BQ121" s="109">
        <f ca="1">(BQ58*c_on*12)+(BQ58*(ct_comp5+ca_comp5)*'Time on treatment'!$F$23)</f>
        <v>0</v>
      </c>
      <c r="BR121" s="109">
        <f ca="1">(BR58*c_on*12)+(BR58*(ct_comp5+ca_comp5)*'Time on treatment'!$G$23)</f>
        <v>0</v>
      </c>
      <c r="BS121" s="110">
        <f ca="1">(BS58*c_on*12)+(BS58*(ct_comp5+ca_comp5)*'Time on treatment'!$H$23)</f>
        <v>0</v>
      </c>
      <c r="BV121" s="87" t="s">
        <v>170</v>
      </c>
      <c r="BW121" s="109">
        <f ca="1">(BW58*c_inicial)+(BW58*c_on*12)+(BW58*ci_comp6)+(BW58*(ct_comp6+ca_comp6)*'Time on treatment'!$D$24)</f>
        <v>0</v>
      </c>
      <c r="BX121" s="109">
        <f ca="1">(BX58*c_on*12)+(BX58*(ct_comp6+ca_comp6)*'Time on treatment'!$E$24)</f>
        <v>0</v>
      </c>
      <c r="BY121" s="109">
        <f ca="1">(BY58*c_on*12)+(BY58*(ct_comp6+ca_comp6)*'Time on treatment'!$F$24)</f>
        <v>0</v>
      </c>
      <c r="BZ121" s="109">
        <f ca="1">(BZ58*c_on*12)+(BZ58*(ct_comp6+ca_comp6)*'Time on treatment'!$G$24)</f>
        <v>0</v>
      </c>
      <c r="CA121" s="110">
        <f ca="1">(CA58*c_on*12)+(CA58*(ct_comp6+ca_comp6)*'Time on treatment'!$H$24)</f>
        <v>0</v>
      </c>
      <c r="CD121" s="87" t="s">
        <v>170</v>
      </c>
      <c r="CE121" s="109">
        <f ca="1">(CE58*c_inicial)+(CE58*c_on*12)+(CE58*ci_comp7)+(CE58*(ct_comp7+ca_comp7)*'Time on treatment'!$D$25)</f>
        <v>0</v>
      </c>
      <c r="CF121" s="109">
        <f ca="1">(CF58*c_on*12)+(CF58*(ct_comp7+ca_comp7)*'Time on treatment'!$E$25)</f>
        <v>0</v>
      </c>
      <c r="CG121" s="109">
        <f ca="1">(CG58*c_on*12)+(CG58*(ct_comp7+ca_comp7)*'Time on treatment'!$F$25)</f>
        <v>0</v>
      </c>
      <c r="CH121" s="109">
        <f ca="1">(CH58*c_on*12)+(CH58*(ct_comp7+ca_comp7)*'Time on treatment'!$G$25)</f>
        <v>0</v>
      </c>
      <c r="CI121" s="110">
        <f ca="1">(CI58*c_on*12)+(CI58*(ct_comp7+ca_comp7)*'Time on treatment'!$H$25)</f>
        <v>0</v>
      </c>
      <c r="CL121" s="87" t="s">
        <v>170</v>
      </c>
      <c r="CM121" s="109">
        <f ca="1">(CM58*c_inicial)+(CM58*c_on*12)+(CM58*ci_comp8)+(CM58*(ct_comp8+ca_comp8)*'Time on treatment'!$D$26)</f>
        <v>0</v>
      </c>
      <c r="CN121" s="109">
        <f ca="1">(CN58*c_on*12)+(CN58*(ct_comp8+ca_comp8)*'Time on treatment'!$E$26)</f>
        <v>0</v>
      </c>
      <c r="CO121" s="109">
        <f ca="1">(CO58*c_on*12)+(CO58*(ct_comp8+ca_comp8)*'Time on treatment'!$F$26)</f>
        <v>0</v>
      </c>
      <c r="CP121" s="109">
        <f ca="1">(CP58*c_on*12)+(CP58*(ct_comp8+ca_comp8)*'Time on treatment'!$G$26)</f>
        <v>0</v>
      </c>
      <c r="CQ121" s="110">
        <f ca="1">(CQ58*c_on*12)+(CQ58*(ct_comp8+ca_comp8)*'Time on treatment'!$H$26)</f>
        <v>0</v>
      </c>
      <c r="CT121" s="87" t="s">
        <v>170</v>
      </c>
      <c r="CU121" s="109">
        <f ca="1">(CU58*c_inicial)+(CU58*c_on*12)+(CU58*ci_comp9)+(CU58*(ct_comp9+ca_comp9)*'Time on treatment'!$D$27)</f>
        <v>0</v>
      </c>
      <c r="CV121" s="109">
        <f ca="1">(CV58*c_on*12)+(CV58*(ct_comp9+ca_comp9)*'Time on treatment'!$E$27)</f>
        <v>0</v>
      </c>
      <c r="CW121" s="109">
        <f ca="1">(CW58*c_on*12)+(CW58*(ct_comp9+ca_comp9)*'Time on treatment'!$F$27)</f>
        <v>0</v>
      </c>
      <c r="CX121" s="109">
        <f ca="1">(CX58*c_on*12)+(CX58*(ct_comp9+ca_comp9)*'Time on treatment'!$G$27)</f>
        <v>0</v>
      </c>
      <c r="CY121" s="110">
        <f ca="1">(CY58*c_on*12)+(CY58*(ct_comp9+ca_comp9)*'Time on treatment'!$H$27)</f>
        <v>0</v>
      </c>
      <c r="DB121" s="87" t="s">
        <v>170</v>
      </c>
      <c r="DC121" s="109">
        <f ca="1">(DC58*c_inicial)+(DC58*c_on*12)+(DC58*ci_comp10)+(DC58*(ct_comp10+ca_comp10)*'Time on treatment'!$D$28)</f>
        <v>0</v>
      </c>
      <c r="DD121" s="109">
        <f ca="1">(DD58*c_on*12)+(DD58*(ct_comp10+ca_comp10)*'Time on treatment'!$E$28)</f>
        <v>0</v>
      </c>
      <c r="DE121" s="109">
        <f ca="1">(DE58*c_on*12)+(DE58*(ct_comp10+ca_comp10)*'Time on treatment'!$F$28)</f>
        <v>0</v>
      </c>
      <c r="DF121" s="109">
        <f ca="1">(DF58*c_on*12)+(DF58*(ct_comp10+ca_comp10)*'Time on treatment'!$G$28)</f>
        <v>0</v>
      </c>
      <c r="DG121" s="110">
        <f ca="1">(DG58*c_on*12)+(DG58*(ct_comp10+ca_comp10)*'Time on treatment'!$H$28)</f>
        <v>0</v>
      </c>
    </row>
    <row r="122" spans="2:111">
      <c r="B122" s="87" t="s">
        <v>175</v>
      </c>
      <c r="C122" s="109">
        <f>C59*c_off</f>
        <v>0</v>
      </c>
      <c r="D122" s="109">
        <f>D59*c_off</f>
        <v>0</v>
      </c>
      <c r="E122" s="109">
        <f>E59*c_off</f>
        <v>0</v>
      </c>
      <c r="F122" s="109">
        <f>F59*c_off</f>
        <v>0</v>
      </c>
      <c r="G122" s="110">
        <f>G59*c_off</f>
        <v>0</v>
      </c>
      <c r="J122" s="87" t="s">
        <v>175</v>
      </c>
      <c r="K122" s="109">
        <f>K59*c_off</f>
        <v>0</v>
      </c>
      <c r="L122" s="109">
        <f>L59*c_off</f>
        <v>0</v>
      </c>
      <c r="M122" s="109">
        <f>M59*c_off</f>
        <v>0</v>
      </c>
      <c r="N122" s="109">
        <f>N59*c_off</f>
        <v>0</v>
      </c>
      <c r="O122" s="110">
        <f>O59*c_off</f>
        <v>0</v>
      </c>
      <c r="R122" s="87" t="s">
        <v>175</v>
      </c>
      <c r="S122" s="109">
        <f>S59*c_off</f>
        <v>0</v>
      </c>
      <c r="T122" s="109">
        <f>T59*c_off</f>
        <v>0</v>
      </c>
      <c r="U122" s="109">
        <f>U59*c_off</f>
        <v>0</v>
      </c>
      <c r="V122" s="109">
        <f>V59*c_off</f>
        <v>0</v>
      </c>
      <c r="W122" s="110">
        <f>W59*c_off</f>
        <v>0</v>
      </c>
      <c r="Z122" s="87" t="s">
        <v>175</v>
      </c>
      <c r="AA122" s="109">
        <f>AA59*c_off</f>
        <v>0</v>
      </c>
      <c r="AB122" s="109">
        <f>AB59*c_off</f>
        <v>0</v>
      </c>
      <c r="AC122" s="109">
        <f>AC59*c_off</f>
        <v>0</v>
      </c>
      <c r="AD122" s="109">
        <f>AD59*c_off</f>
        <v>0</v>
      </c>
      <c r="AE122" s="110">
        <f>AE59*c_off</f>
        <v>0</v>
      </c>
      <c r="AH122" s="87" t="s">
        <v>175</v>
      </c>
      <c r="AI122" s="109">
        <f>AI59*c_off</f>
        <v>0</v>
      </c>
      <c r="AJ122" s="109">
        <f>AJ59*c_off</f>
        <v>0</v>
      </c>
      <c r="AK122" s="109">
        <f>AK59*c_off</f>
        <v>0</v>
      </c>
      <c r="AL122" s="109">
        <f>AL59*c_off</f>
        <v>0</v>
      </c>
      <c r="AM122" s="110">
        <f>AM59*c_off</f>
        <v>0</v>
      </c>
      <c r="AP122" s="87" t="s">
        <v>175</v>
      </c>
      <c r="AQ122" s="109">
        <f>AQ59*c_off</f>
        <v>0</v>
      </c>
      <c r="AR122" s="109">
        <f>AR59*c_off</f>
        <v>0</v>
      </c>
      <c r="AS122" s="109">
        <f>AS59*c_off</f>
        <v>0</v>
      </c>
      <c r="AT122" s="109">
        <f>AT59*c_off</f>
        <v>0</v>
      </c>
      <c r="AU122" s="110">
        <f>AU59*c_off</f>
        <v>0</v>
      </c>
      <c r="AX122" s="87" t="s">
        <v>175</v>
      </c>
      <c r="AY122" s="109">
        <f>AY59*c_off</f>
        <v>0</v>
      </c>
      <c r="AZ122" s="109">
        <f>AZ59*c_off</f>
        <v>0</v>
      </c>
      <c r="BA122" s="109">
        <f>BA59*c_off</f>
        <v>0</v>
      </c>
      <c r="BB122" s="109">
        <f>BB59*c_off</f>
        <v>0</v>
      </c>
      <c r="BC122" s="110">
        <f>BC59*c_off</f>
        <v>0</v>
      </c>
      <c r="BF122" s="87" t="s">
        <v>175</v>
      </c>
      <c r="BG122" s="109">
        <f>BG59*c_off</f>
        <v>0</v>
      </c>
      <c r="BH122" s="109">
        <f>BH59*c_off</f>
        <v>0</v>
      </c>
      <c r="BI122" s="109">
        <f>BI59*c_off</f>
        <v>0</v>
      </c>
      <c r="BJ122" s="109">
        <f>BJ59*c_off</f>
        <v>0</v>
      </c>
      <c r="BK122" s="110">
        <f>BK59*c_off</f>
        <v>0</v>
      </c>
      <c r="BN122" s="87" t="s">
        <v>175</v>
      </c>
      <c r="BO122" s="109">
        <f>BO59*c_off</f>
        <v>0</v>
      </c>
      <c r="BP122" s="109">
        <f>BP59*c_off</f>
        <v>0</v>
      </c>
      <c r="BQ122" s="109">
        <f>BQ59*c_off</f>
        <v>0</v>
      </c>
      <c r="BR122" s="109">
        <f>BR59*c_off</f>
        <v>0</v>
      </c>
      <c r="BS122" s="110">
        <f>BS59*c_off</f>
        <v>0</v>
      </c>
      <c r="BV122" s="87" t="s">
        <v>175</v>
      </c>
      <c r="BW122" s="109">
        <f>BW59*c_off</f>
        <v>0</v>
      </c>
      <c r="BX122" s="109">
        <f>BX59*c_off</f>
        <v>0</v>
      </c>
      <c r="BY122" s="109">
        <f>BY59*c_off</f>
        <v>0</v>
      </c>
      <c r="BZ122" s="109">
        <f>BZ59*c_off</f>
        <v>0</v>
      </c>
      <c r="CA122" s="110">
        <f>CA59*c_off</f>
        <v>0</v>
      </c>
      <c r="CD122" s="87" t="s">
        <v>175</v>
      </c>
      <c r="CE122" s="109">
        <f>CE59*c_off</f>
        <v>0</v>
      </c>
      <c r="CF122" s="109">
        <f>CF59*c_off</f>
        <v>0</v>
      </c>
      <c r="CG122" s="109">
        <f>CG59*c_off</f>
        <v>0</v>
      </c>
      <c r="CH122" s="109">
        <f>CH59*c_off</f>
        <v>0</v>
      </c>
      <c r="CI122" s="110">
        <f>CI59*c_off</f>
        <v>0</v>
      </c>
      <c r="CL122" s="87" t="s">
        <v>175</v>
      </c>
      <c r="CM122" s="109">
        <f>CM59*c_off</f>
        <v>0</v>
      </c>
      <c r="CN122" s="109">
        <f>CN59*c_off</f>
        <v>0</v>
      </c>
      <c r="CO122" s="109">
        <f>CO59*c_off</f>
        <v>0</v>
      </c>
      <c r="CP122" s="109">
        <f>CP59*c_off</f>
        <v>0</v>
      </c>
      <c r="CQ122" s="110">
        <f>CQ59*c_off</f>
        <v>0</v>
      </c>
      <c r="CT122" s="87" t="s">
        <v>175</v>
      </c>
      <c r="CU122" s="109">
        <f>CU59*c_off</f>
        <v>0</v>
      </c>
      <c r="CV122" s="109">
        <f>CV59*c_off</f>
        <v>0</v>
      </c>
      <c r="CW122" s="109">
        <f>CW59*c_off</f>
        <v>0</v>
      </c>
      <c r="CX122" s="109">
        <f>CX59*c_off</f>
        <v>0</v>
      </c>
      <c r="CY122" s="110">
        <f>CY59*c_off</f>
        <v>0</v>
      </c>
      <c r="DB122" s="87" t="s">
        <v>175</v>
      </c>
      <c r="DC122" s="109">
        <f>DC59*c_off</f>
        <v>0</v>
      </c>
      <c r="DD122" s="109">
        <f>DD59*c_off</f>
        <v>0</v>
      </c>
      <c r="DE122" s="109">
        <f>DE59*c_off</f>
        <v>0</v>
      </c>
      <c r="DF122" s="109">
        <f>DF59*c_off</f>
        <v>0</v>
      </c>
      <c r="DG122" s="110">
        <f>DG59*c_off</f>
        <v>0</v>
      </c>
    </row>
    <row r="123" spans="2:111">
      <c r="B123" s="87" t="s">
        <v>171</v>
      </c>
      <c r="C123" s="111"/>
      <c r="D123" s="109">
        <f ca="1">(D60*c_inicial)+(D60*c_on*12)+(D60*ci_int1)+(D60*(ct_int1+ca_int1)*'Time on treatment'!$D$12)</f>
        <v>3200990.218819018</v>
      </c>
      <c r="E123" s="109">
        <f ca="1">(E60*c_on*12)+(E60*(ct_int1+ca_int1)*'Time on treatment'!$E$12)</f>
        <v>0</v>
      </c>
      <c r="F123" s="109">
        <f ca="1">(F60*c_on*12)+(F60*(ct_int1+ca_int1)*'Time on treatment'!$F$12)</f>
        <v>0</v>
      </c>
      <c r="G123" s="110">
        <f ca="1">(G60*c_on*12)+(G60*(ct_int1+ca_int1)*'Time on treatment'!$G$12)</f>
        <v>0</v>
      </c>
      <c r="J123" s="87" t="s">
        <v>171</v>
      </c>
      <c r="K123" s="111"/>
      <c r="L123" s="109">
        <f ca="1">(L60*c_inicial)+(L60*c_on*12)+(L60*ci_int2)+(L60*(ct_int2+ca_int2)*'Time on treatment'!$D$13)</f>
        <v>0</v>
      </c>
      <c r="M123" s="109">
        <f ca="1">(M60*c_on*12)+(M60*(ct_int2+ca_int2)*'Time on treatment'!$E$13)</f>
        <v>0</v>
      </c>
      <c r="N123" s="109">
        <f ca="1">(N60*c_on*12)+(N60*(ct_int2+ca_int2)*'Time on treatment'!$F$13)</f>
        <v>0</v>
      </c>
      <c r="O123" s="110">
        <f ca="1">(O60*c_on*12)+(O60*(ct_int2+ca_int2)*'Time on treatment'!$G$13)</f>
        <v>0</v>
      </c>
      <c r="R123" s="87" t="s">
        <v>171</v>
      </c>
      <c r="S123" s="111"/>
      <c r="T123" s="109">
        <f ca="1">(T60*c_inicial)+(T60*c_on*12)+(T60*ci_int3)+(T60*(ct_int3+ca_int3)*'Time on treatment'!$D$14)</f>
        <v>0</v>
      </c>
      <c r="U123" s="109">
        <f ca="1">(U60*c_on*12)+(U60*(ct_int3+ca_int3)*'Time on treatment'!$E$14)</f>
        <v>0</v>
      </c>
      <c r="V123" s="109">
        <f ca="1">(V60*c_on*12)+(V60*(ct_int3+ca_int3)*'Time on treatment'!$F$14)</f>
        <v>0</v>
      </c>
      <c r="W123" s="110">
        <f ca="1">(W60*c_on*12)+(W60*(ct_int3+ca_int3)*'Time on treatment'!$G$14)</f>
        <v>0</v>
      </c>
      <c r="Z123" s="87" t="s">
        <v>171</v>
      </c>
      <c r="AA123" s="111"/>
      <c r="AB123" s="109">
        <f ca="1">(AB60*c_inicial)+(AB60*c_on*12)+(AB60*ci_int4)+(AB60*(ct_int4+ca_int4)*'Time on treatment'!$D$15)</f>
        <v>0</v>
      </c>
      <c r="AC123" s="109">
        <f ca="1">(AC60*c_on*12)+(AC60*(ct_int4+ca_int4)*'Time on treatment'!$E$15)</f>
        <v>0</v>
      </c>
      <c r="AD123" s="109">
        <f ca="1">(AD60*c_on*12)+(AD60*(ct_int4+ca_int4)*'Time on treatment'!$F$15)</f>
        <v>0</v>
      </c>
      <c r="AE123" s="110">
        <f ca="1">(AE60*c_on*12)+(AE60*(ct_int4+ca_int4)*'Time on treatment'!$G$15)</f>
        <v>0</v>
      </c>
      <c r="AH123" s="87" t="s">
        <v>171</v>
      </c>
      <c r="AI123" s="111"/>
      <c r="AJ123" s="109">
        <f ca="1">(AJ60*c_inicial)+(AJ60*c_on*12)+(AJ60*ci_comp1)+(AJ60*(ct_comp1+ca_comp1)*'Time on treatment'!$D$19)</f>
        <v>4701243.3258136995</v>
      </c>
      <c r="AK123" s="109">
        <f ca="1">(AK60*c_on*12)+(AK60*(ct_comp1+ca_comp1)*'Time on treatment'!$E$19)</f>
        <v>0</v>
      </c>
      <c r="AL123" s="109">
        <f ca="1">(AL60*c_on*12)+(AL60*(ct_comp1+ca_comp1)*'Time on treatment'!$F$19)</f>
        <v>0</v>
      </c>
      <c r="AM123" s="110">
        <f ca="1">(AM60*c_on*12)+(AM60*(ct_comp1+ca_comp1)*'Time on treatment'!$G$19)</f>
        <v>0</v>
      </c>
      <c r="AP123" s="87" t="s">
        <v>171</v>
      </c>
      <c r="AQ123" s="111"/>
      <c r="AR123" s="109">
        <f ca="1">(AR60*c_inicial)+(AR60*c_on*12)+(AR60*ci_comp2)+(AR60*(ct_comp2+ca_comp2)*'Time on treatment'!$D$20)</f>
        <v>0</v>
      </c>
      <c r="AS123" s="109">
        <f ca="1">(AS60*c_on*12)+(AS60*(ct_comp2+ca_comp2)*'Time on treatment'!$E$20)</f>
        <v>0</v>
      </c>
      <c r="AT123" s="109">
        <f ca="1">(AT60*c_on*12)+(AT60*(ct_comp2+ca_comp2)*'Time on treatment'!$F$20)</f>
        <v>0</v>
      </c>
      <c r="AU123" s="110">
        <f ca="1">(AU60*c_on*12)+(AU60*(ct_comp2+ca_comp2)*'Time on treatment'!$G$20)</f>
        <v>0</v>
      </c>
      <c r="AX123" s="87" t="s">
        <v>171</v>
      </c>
      <c r="AY123" s="111"/>
      <c r="AZ123" s="109">
        <f ca="1">(AZ60*c_inicial)+(AZ60*c_on*12)+(AZ60*ci_comp3)+(AZ60*(ct_comp3+ca_comp3)*'Time on treatment'!$D$21)</f>
        <v>0</v>
      </c>
      <c r="BA123" s="109">
        <f ca="1">(BA60*c_on*12)+(BA60*(ct_comp3+ca_comp3)*'Time on treatment'!$E$21)</f>
        <v>0</v>
      </c>
      <c r="BB123" s="109">
        <f ca="1">(BB60*c_on*12)+(BB60*(ct_comp3+ca_comp3)*'Time on treatment'!$F$21)</f>
        <v>0</v>
      </c>
      <c r="BC123" s="110">
        <f ca="1">(BC60*c_on*12)+(BC60*(ct_comp3+ca_comp3)*'Time on treatment'!$G$21)</f>
        <v>0</v>
      </c>
      <c r="BF123" s="87" t="s">
        <v>171</v>
      </c>
      <c r="BG123" s="111"/>
      <c r="BH123" s="109">
        <f ca="1">(BH60*c_inicial)+(BH60*c_on*12)+(BH60*ci_comp4)+(BH60*(ct_comp4+ca_comp4)*'Time on treatment'!$D$22)</f>
        <v>0</v>
      </c>
      <c r="BI123" s="109">
        <f ca="1">(BI60*c_on*12)+(BI60*(ct_comp4+ca_comp4)*'Time on treatment'!$E$22)</f>
        <v>0</v>
      </c>
      <c r="BJ123" s="109">
        <f ca="1">(BJ60*c_on*12)+(BJ60*(ct_comp4+ca_comp4)*'Time on treatment'!$F$22)</f>
        <v>0</v>
      </c>
      <c r="BK123" s="110">
        <f ca="1">(BK60*c_on*12)+(BK60*(ct_comp4+ca_comp4)*'Time on treatment'!$G$22)</f>
        <v>0</v>
      </c>
      <c r="BN123" s="87" t="s">
        <v>171</v>
      </c>
      <c r="BO123" s="111"/>
      <c r="BP123" s="109">
        <f ca="1">(BP60*c_inicial)+(BP60*c_on*12)+(BP60*ci_comp5)+(BP60*(ct_comp5+ca_comp5)*'Time on treatment'!$D$23)</f>
        <v>0</v>
      </c>
      <c r="BQ123" s="109">
        <f ca="1">(BQ60*c_on*12)+(BQ60*(ct_comp5+ca_comp5)*'Time on treatment'!$E$23)</f>
        <v>0</v>
      </c>
      <c r="BR123" s="109">
        <f ca="1">(BR60*c_on*12)+(BR60*(ct_comp5+ca_comp5)*'Time on treatment'!$F$23)</f>
        <v>0</v>
      </c>
      <c r="BS123" s="110">
        <f ca="1">(BS60*c_on*12)+(BS60*(ct_comp5+ca_comp5)*'Time on treatment'!$G$23)</f>
        <v>0</v>
      </c>
      <c r="BV123" s="87" t="s">
        <v>171</v>
      </c>
      <c r="BW123" s="111"/>
      <c r="BX123" s="109">
        <f ca="1">(BX60*c_inicial)+(BX60*c_on*12)+(BX60*ci_comp6)+(BX60*(ct_comp6+ca_comp6)*'Time on treatment'!$D$24)</f>
        <v>0</v>
      </c>
      <c r="BY123" s="109">
        <f ca="1">(BY60*c_on*12)+(BY60*(ct_comp6+ca_comp6)*'Time on treatment'!$E$24)</f>
        <v>0</v>
      </c>
      <c r="BZ123" s="109">
        <f ca="1">(BZ60*c_on*12)+(BZ60*(ct_comp6+ca_comp6)*'Time on treatment'!$F$24)</f>
        <v>0</v>
      </c>
      <c r="CA123" s="110">
        <f ca="1">(CA60*c_on*12)+(CA60*(ct_comp6+ca_comp6)*'Time on treatment'!$G$24)</f>
        <v>0</v>
      </c>
      <c r="CD123" s="87" t="s">
        <v>171</v>
      </c>
      <c r="CE123" s="111"/>
      <c r="CF123" s="109">
        <f ca="1">(CF60*c_inicial)+(CF60*c_on*12)+(CF60*ci_comp7)+(CF60*(ct_comp7+ca_comp7)*'Time on treatment'!$D$25)</f>
        <v>0</v>
      </c>
      <c r="CG123" s="109">
        <f ca="1">(CG60*c_on*12)+(CG60*(ct_comp7+ca_comp7)*'Time on treatment'!$E$25)</f>
        <v>0</v>
      </c>
      <c r="CH123" s="109">
        <f ca="1">(CH60*c_on*12)+(CH60*(ct_comp7+ca_comp7)*'Time on treatment'!$F$25)</f>
        <v>0</v>
      </c>
      <c r="CI123" s="110">
        <f ca="1">(CI60*c_on*12)+(CI60*(ct_comp7+ca_comp7)*'Time on treatment'!$G$25)</f>
        <v>0</v>
      </c>
      <c r="CL123" s="87" t="s">
        <v>171</v>
      </c>
      <c r="CM123" s="111"/>
      <c r="CN123" s="109">
        <f ca="1">(CN60*c_inicial)+(CN60*c_on*12)+(CN60*ci_comp8)+(CN60*(ct_comp8+ca_comp8)*'Time on treatment'!$D$26)</f>
        <v>0</v>
      </c>
      <c r="CO123" s="109">
        <f ca="1">(CO60*c_on*12)+(CO60*(ct_comp8+ca_comp8)*'Time on treatment'!$E$26)</f>
        <v>0</v>
      </c>
      <c r="CP123" s="109">
        <f ca="1">(CP60*c_on*12)+(CP60*(ct_comp8+ca_comp8)*'Time on treatment'!$F$26)</f>
        <v>0</v>
      </c>
      <c r="CQ123" s="110">
        <f ca="1">(CQ60*c_on*12)+(CQ60*(ct_comp8+ca_comp8)*'Time on treatment'!$G$26)</f>
        <v>0</v>
      </c>
      <c r="CT123" s="87" t="s">
        <v>171</v>
      </c>
      <c r="CU123" s="111"/>
      <c r="CV123" s="109">
        <f ca="1">(CV60*c_inicial)+(CV60*c_on*12)+(CV60*ci_comp9)+(CV60*(ct_comp9+ca_comp9)*'Time on treatment'!$D$27)</f>
        <v>0</v>
      </c>
      <c r="CW123" s="109">
        <f ca="1">(CW60*c_on*12)+(CW60*(ct_comp9+ca_comp9)*'Time on treatment'!$E$27)</f>
        <v>0</v>
      </c>
      <c r="CX123" s="109">
        <f ca="1">(CX60*c_on*12)+(CX60*(ct_comp9+ca_comp9)*'Time on treatment'!$F$27)</f>
        <v>0</v>
      </c>
      <c r="CY123" s="110">
        <f ca="1">(CY60*c_on*12)+(CY60*(ct_comp9+ca_comp9)*'Time on treatment'!$G$27)</f>
        <v>0</v>
      </c>
      <c r="DB123" s="87" t="s">
        <v>171</v>
      </c>
      <c r="DC123" s="111"/>
      <c r="DD123" s="109">
        <f ca="1">(DD60*c_inicial)+(DD60*c_on*12)+(DD60*ci_comp10)+(DD60*(ct_comp10+ca_comp10)*'Time on treatment'!$D$28)</f>
        <v>0</v>
      </c>
      <c r="DE123" s="109">
        <f ca="1">(DE60*c_on*12)+(DE60*(ct_comp10+ca_comp10)*'Time on treatment'!$E$28)</f>
        <v>0</v>
      </c>
      <c r="DF123" s="109">
        <f ca="1">(DF60*c_on*12)+(DF60*(ct_comp10+ca_comp10)*'Time on treatment'!$F$28)</f>
        <v>0</v>
      </c>
      <c r="DG123" s="110">
        <f ca="1">(DG60*c_on*12)+(DG60*(ct_comp10+ca_comp10)*'Time on treatment'!$G$28)</f>
        <v>0</v>
      </c>
    </row>
    <row r="124" spans="2:111">
      <c r="B124" s="87" t="s">
        <v>176</v>
      </c>
      <c r="C124" s="111"/>
      <c r="D124" s="109">
        <f>D61*c_off</f>
        <v>0</v>
      </c>
      <c r="E124" s="109">
        <f>E61*c_off</f>
        <v>0</v>
      </c>
      <c r="F124" s="109">
        <f>F61*c_off</f>
        <v>0</v>
      </c>
      <c r="G124" s="110">
        <f>G61*c_off</f>
        <v>0</v>
      </c>
      <c r="J124" s="87" t="s">
        <v>176</v>
      </c>
      <c r="K124" s="111"/>
      <c r="L124" s="109">
        <f>L61*c_off</f>
        <v>0</v>
      </c>
      <c r="M124" s="109">
        <f>M61*c_off</f>
        <v>0</v>
      </c>
      <c r="N124" s="109">
        <f>N61*c_off</f>
        <v>0</v>
      </c>
      <c r="O124" s="110">
        <f>O61*c_off</f>
        <v>0</v>
      </c>
      <c r="R124" s="87" t="s">
        <v>176</v>
      </c>
      <c r="S124" s="111"/>
      <c r="T124" s="109">
        <f>T61*c_off</f>
        <v>0</v>
      </c>
      <c r="U124" s="109">
        <f>U61*c_off</f>
        <v>0</v>
      </c>
      <c r="V124" s="109">
        <f>V61*c_off</f>
        <v>0</v>
      </c>
      <c r="W124" s="110">
        <f>W61*c_off</f>
        <v>0</v>
      </c>
      <c r="Z124" s="87" t="s">
        <v>176</v>
      </c>
      <c r="AA124" s="111"/>
      <c r="AB124" s="109">
        <f>AB61*c_off</f>
        <v>0</v>
      </c>
      <c r="AC124" s="109">
        <f>AC61*c_off</f>
        <v>0</v>
      </c>
      <c r="AD124" s="109">
        <f>AD61*c_off</f>
        <v>0</v>
      </c>
      <c r="AE124" s="110">
        <f>AE61*c_off</f>
        <v>0</v>
      </c>
      <c r="AH124" s="87" t="s">
        <v>176</v>
      </c>
      <c r="AI124" s="111"/>
      <c r="AJ124" s="109">
        <f>AJ61*c_off</f>
        <v>0</v>
      </c>
      <c r="AK124" s="109">
        <f>AK61*c_off</f>
        <v>0</v>
      </c>
      <c r="AL124" s="109">
        <f>AL61*c_off</f>
        <v>0</v>
      </c>
      <c r="AM124" s="110">
        <f>AM61*c_off</f>
        <v>0</v>
      </c>
      <c r="AP124" s="87" t="s">
        <v>176</v>
      </c>
      <c r="AQ124" s="111"/>
      <c r="AR124" s="109">
        <f>AR61*c_off</f>
        <v>0</v>
      </c>
      <c r="AS124" s="109">
        <f>AS61*c_off</f>
        <v>0</v>
      </c>
      <c r="AT124" s="109">
        <f>AT61*c_off</f>
        <v>0</v>
      </c>
      <c r="AU124" s="110">
        <f>AU61*c_off</f>
        <v>0</v>
      </c>
      <c r="AX124" s="87" t="s">
        <v>176</v>
      </c>
      <c r="AY124" s="111"/>
      <c r="AZ124" s="109">
        <f>AZ61*c_off</f>
        <v>0</v>
      </c>
      <c r="BA124" s="109">
        <f>BA61*c_off</f>
        <v>0</v>
      </c>
      <c r="BB124" s="109">
        <f>BB61*c_off</f>
        <v>0</v>
      </c>
      <c r="BC124" s="110">
        <f>BC61*c_off</f>
        <v>0</v>
      </c>
      <c r="BF124" s="87" t="s">
        <v>176</v>
      </c>
      <c r="BG124" s="111"/>
      <c r="BH124" s="109">
        <f>BH61*c_off</f>
        <v>0</v>
      </c>
      <c r="BI124" s="109">
        <f>BI61*c_off</f>
        <v>0</v>
      </c>
      <c r="BJ124" s="109">
        <f>BJ61*c_off</f>
        <v>0</v>
      </c>
      <c r="BK124" s="110">
        <f>BK61*c_off</f>
        <v>0</v>
      </c>
      <c r="BN124" s="87" t="s">
        <v>176</v>
      </c>
      <c r="BO124" s="111"/>
      <c r="BP124" s="109">
        <f>BP61*c_off</f>
        <v>0</v>
      </c>
      <c r="BQ124" s="109">
        <f>BQ61*c_off</f>
        <v>0</v>
      </c>
      <c r="BR124" s="109">
        <f>BR61*c_off</f>
        <v>0</v>
      </c>
      <c r="BS124" s="110">
        <f>BS61*c_off</f>
        <v>0</v>
      </c>
      <c r="BV124" s="87" t="s">
        <v>176</v>
      </c>
      <c r="BW124" s="111"/>
      <c r="BX124" s="109">
        <f>BX61*c_off</f>
        <v>0</v>
      </c>
      <c r="BY124" s="109">
        <f>BY61*c_off</f>
        <v>0</v>
      </c>
      <c r="BZ124" s="109">
        <f>BZ61*c_off</f>
        <v>0</v>
      </c>
      <c r="CA124" s="110">
        <f>CA61*c_off</f>
        <v>0</v>
      </c>
      <c r="CD124" s="87" t="s">
        <v>176</v>
      </c>
      <c r="CE124" s="111"/>
      <c r="CF124" s="109">
        <f>CF61*c_off</f>
        <v>0</v>
      </c>
      <c r="CG124" s="109">
        <f>CG61*c_off</f>
        <v>0</v>
      </c>
      <c r="CH124" s="109">
        <f>CH61*c_off</f>
        <v>0</v>
      </c>
      <c r="CI124" s="110">
        <f>CI61*c_off</f>
        <v>0</v>
      </c>
      <c r="CL124" s="87" t="s">
        <v>176</v>
      </c>
      <c r="CM124" s="111"/>
      <c r="CN124" s="109">
        <f>CN61*c_off</f>
        <v>0</v>
      </c>
      <c r="CO124" s="109">
        <f>CO61*c_off</f>
        <v>0</v>
      </c>
      <c r="CP124" s="109">
        <f>CP61*c_off</f>
        <v>0</v>
      </c>
      <c r="CQ124" s="110">
        <f>CQ61*c_off</f>
        <v>0</v>
      </c>
      <c r="CT124" s="87" t="s">
        <v>176</v>
      </c>
      <c r="CU124" s="111"/>
      <c r="CV124" s="109">
        <f>CV61*c_off</f>
        <v>0</v>
      </c>
      <c r="CW124" s="109">
        <f>CW61*c_off</f>
        <v>0</v>
      </c>
      <c r="CX124" s="109">
        <f>CX61*c_off</f>
        <v>0</v>
      </c>
      <c r="CY124" s="110">
        <f>CY61*c_off</f>
        <v>0</v>
      </c>
      <c r="DB124" s="87" t="s">
        <v>176</v>
      </c>
      <c r="DC124" s="111"/>
      <c r="DD124" s="109">
        <f>DD61*c_off</f>
        <v>0</v>
      </c>
      <c r="DE124" s="109">
        <f>DE61*c_off</f>
        <v>0</v>
      </c>
      <c r="DF124" s="109">
        <f>DF61*c_off</f>
        <v>0</v>
      </c>
      <c r="DG124" s="110">
        <f>DG61*c_off</f>
        <v>0</v>
      </c>
    </row>
    <row r="125" spans="2:111">
      <c r="B125" s="87" t="s">
        <v>172</v>
      </c>
      <c r="C125" s="111"/>
      <c r="D125" s="111"/>
      <c r="E125" s="109">
        <f ca="1">(E62*c_inicial)+(E62*c_on*12)+(E62*ci_int1)+(E62*(ct_int1+ca_int1)*'Time on treatment'!$D$12)</f>
        <v>4829708.1080512898</v>
      </c>
      <c r="F125" s="109">
        <f ca="1">(F62*c_on*12)+(F62*(ct_int1+ca_int1)*'Time on treatment'!$E$12)</f>
        <v>0</v>
      </c>
      <c r="G125" s="110">
        <f ca="1">(G62*c_on*12)+(G62*(ct_int1+ca_int1)*'Time on treatment'!$F$12)</f>
        <v>0</v>
      </c>
      <c r="J125" s="87" t="s">
        <v>172</v>
      </c>
      <c r="K125" s="111"/>
      <c r="L125" s="111"/>
      <c r="M125" s="109">
        <f ca="1">(M62*c_inicial)+(M62*c_on*12)+(M62*ci_int2)+(M62*(ct_int2+ca_int2)*'Time on treatment'!$D$13)</f>
        <v>0</v>
      </c>
      <c r="N125" s="109">
        <f ca="1">(N62*c_on*12)+(N62*(ct_int2+ca_int2)*'Time on treatment'!$E$13)</f>
        <v>0</v>
      </c>
      <c r="O125" s="110">
        <f ca="1">(O62*c_on*12)+(O62*(ct_int2+ca_int2)*'Time on treatment'!$F$13)</f>
        <v>0</v>
      </c>
      <c r="R125" s="87" t="s">
        <v>172</v>
      </c>
      <c r="S125" s="111"/>
      <c r="T125" s="111"/>
      <c r="U125" s="109">
        <f ca="1">(U62*c_inicial)+(U62*c_on*12)+(U62*ci_int3)+(U62*(ct_int3+ca_int3)*'Time on treatment'!$D$14)</f>
        <v>0</v>
      </c>
      <c r="V125" s="109">
        <f ca="1">(V62*c_on*12)+(V62*(ct_int3+ca_int3)*'Time on treatment'!$E$14)</f>
        <v>0</v>
      </c>
      <c r="W125" s="110">
        <f ca="1">(W62*c_on*12)+(W62*(ct_int3+ca_int3)*'Time on treatment'!$F$14)</f>
        <v>0</v>
      </c>
      <c r="Z125" s="87" t="s">
        <v>172</v>
      </c>
      <c r="AA125" s="111"/>
      <c r="AB125" s="111"/>
      <c r="AC125" s="109">
        <f ca="1">(AC62*c_inicial)+(AC62*c_on*12)+(AC62*ci_int4)+(AC62*(ct_int4+ca_int4)*'Time on treatment'!$D$15)</f>
        <v>0</v>
      </c>
      <c r="AD125" s="109">
        <f ca="1">(AD62*c_on*12)+(AD62*(ct_int4+ca_int4)*'Time on treatment'!$E$15)</f>
        <v>0</v>
      </c>
      <c r="AE125" s="110">
        <f ca="1">(AE62*c_on*12)+(AE62*(ct_int4+ca_int4)*'Time on treatment'!$F$15)</f>
        <v>0</v>
      </c>
      <c r="AH125" s="87" t="s">
        <v>172</v>
      </c>
      <c r="AI125" s="111"/>
      <c r="AJ125" s="111"/>
      <c r="AK125" s="109">
        <f ca="1">(AK62*c_inicial)+(AK62*c_on*12)+(AK62*ci_comp1)+(AK62*(ct_comp1+ca_comp1)*'Time on treatment'!$D$19)</f>
        <v>4137767.2791637639</v>
      </c>
      <c r="AL125" s="109">
        <f ca="1">(AL62*c_on*12)+(AL62*(ct_comp1+ca_comp1)*'Time on treatment'!$E$19)</f>
        <v>0</v>
      </c>
      <c r="AM125" s="110">
        <f ca="1">(AM62*c_on*12)+(AM62*(ct_comp1+ca_comp1)*'Time on treatment'!$F$19)</f>
        <v>0</v>
      </c>
      <c r="AP125" s="87" t="s">
        <v>172</v>
      </c>
      <c r="AQ125" s="111"/>
      <c r="AR125" s="111"/>
      <c r="AS125" s="109">
        <f ca="1">(AS62*c_inicial)+(AS62*c_on*12)+(AS62*ci_comp2)+(AS62*(ct_comp2+ca_comp2)*'Time on treatment'!$D$20)</f>
        <v>0</v>
      </c>
      <c r="AT125" s="109">
        <f ca="1">(AT62*c_on*12)+(AT62*(ct_comp2+ca_comp2)*'Time on treatment'!$E$20)</f>
        <v>0</v>
      </c>
      <c r="AU125" s="110">
        <f ca="1">(AU62*c_on*12)+(AU62*(ct_comp2+ca_comp2)*'Time on treatment'!$F$20)</f>
        <v>0</v>
      </c>
      <c r="AX125" s="87" t="s">
        <v>172</v>
      </c>
      <c r="AY125" s="111"/>
      <c r="AZ125" s="111"/>
      <c r="BA125" s="109">
        <f ca="1">(BA62*c_inicial)+(BA62*c_on*12)+(BA62*ci_comp3)+(BA62*(ct_comp3+ca_comp3)*'Time on treatment'!$D$21)</f>
        <v>0</v>
      </c>
      <c r="BB125" s="109">
        <f ca="1">(BB62*c_on*12)+(BB62*(ct_comp3+ca_comp3)*'Time on treatment'!$E$21)</f>
        <v>0</v>
      </c>
      <c r="BC125" s="110">
        <f ca="1">(BC62*c_on*12)+(BC62*(ct_comp3+ca_comp3)*'Time on treatment'!$F$21)</f>
        <v>0</v>
      </c>
      <c r="BF125" s="87" t="s">
        <v>172</v>
      </c>
      <c r="BG125" s="111"/>
      <c r="BH125" s="111"/>
      <c r="BI125" s="109">
        <f ca="1">(BI62*c_inicial)+(BI62*c_on*12)+(BI62*ci_comp4)+(BI62*(ct_comp4+ca_comp4)*'Time on treatment'!$D$22)</f>
        <v>0</v>
      </c>
      <c r="BJ125" s="109">
        <f ca="1">(BJ62*c_on*12)+(BJ62*(ct_comp4+ca_comp4)*'Time on treatment'!$E$22)</f>
        <v>0</v>
      </c>
      <c r="BK125" s="110">
        <f ca="1">(BK62*c_on*12)+(BK62*(ct_comp4+ca_comp4)*'Time on treatment'!$F$22)</f>
        <v>0</v>
      </c>
      <c r="BN125" s="87" t="s">
        <v>172</v>
      </c>
      <c r="BO125" s="111"/>
      <c r="BP125" s="111"/>
      <c r="BQ125" s="109">
        <f ca="1">(BQ62*c_inicial)+(BQ62*c_on*12)+(BQ62*ci_comp5)+(BQ62*(ct_comp5+ca_comp5)*'Time on treatment'!$D$23)</f>
        <v>0</v>
      </c>
      <c r="BR125" s="109">
        <f ca="1">(BR62*c_on*12)+(BR62*(ct_comp5+ca_comp5)*'Time on treatment'!$E$23)</f>
        <v>0</v>
      </c>
      <c r="BS125" s="110">
        <f ca="1">(BS62*c_on*12)+(BS62*(ct_comp5+ca_comp5)*'Time on treatment'!$F$23)</f>
        <v>0</v>
      </c>
      <c r="BV125" s="87" t="s">
        <v>172</v>
      </c>
      <c r="BW125" s="111"/>
      <c r="BX125" s="111"/>
      <c r="BY125" s="109">
        <f ca="1">(BY62*c_inicial)+(BY62*c_on*12)+(BY62*ci_comp6)+(BY62*(ct_comp6+ca_comp6)*'Time on treatment'!$D$24)</f>
        <v>0</v>
      </c>
      <c r="BZ125" s="109">
        <f ca="1">(BZ62*c_on*12)+(BZ62*(ct_comp6+ca_comp6)*'Time on treatment'!$E$24)</f>
        <v>0</v>
      </c>
      <c r="CA125" s="110">
        <f ca="1">(CA62*c_on*12)+(CA62*(ct_comp6+ca_comp6)*'Time on treatment'!$F$24)</f>
        <v>0</v>
      </c>
      <c r="CD125" s="87" t="s">
        <v>172</v>
      </c>
      <c r="CE125" s="111"/>
      <c r="CF125" s="111"/>
      <c r="CG125" s="109">
        <f ca="1">(CG62*c_inicial)+(CG62*c_on*12)+(CG62*ci_comp7)+(CG62*(ct_comp7+ca_comp7)*'Time on treatment'!$D$25)</f>
        <v>0</v>
      </c>
      <c r="CH125" s="109">
        <f ca="1">(CH62*c_on*12)+(CH62*(ct_comp7+ca_comp7)*'Time on treatment'!$E$25)</f>
        <v>0</v>
      </c>
      <c r="CI125" s="110">
        <f ca="1">(CI62*c_on*12)+(CI62*(ct_comp7+ca_comp7)*'Time on treatment'!$F$25)</f>
        <v>0</v>
      </c>
      <c r="CL125" s="87" t="s">
        <v>172</v>
      </c>
      <c r="CM125" s="111"/>
      <c r="CN125" s="111"/>
      <c r="CO125" s="109">
        <f ca="1">(CO62*c_inicial)+(CO62*c_on*12)+(CO62*ci_comp8)+(CO62*(ct_comp8+ca_comp8)*'Time on treatment'!$D$26)</f>
        <v>0</v>
      </c>
      <c r="CP125" s="109">
        <f ca="1">(CP62*c_on*12)+(CP62*(ct_comp8+ca_comp8)*'Time on treatment'!$E$26)</f>
        <v>0</v>
      </c>
      <c r="CQ125" s="110">
        <f ca="1">(CQ62*c_on*12)+(CQ62*(ct_comp8+ca_comp8)*'Time on treatment'!$F$26)</f>
        <v>0</v>
      </c>
      <c r="CT125" s="87" t="s">
        <v>172</v>
      </c>
      <c r="CU125" s="111"/>
      <c r="CV125" s="111"/>
      <c r="CW125" s="109">
        <f ca="1">(CW62*c_inicial)+(CW62*c_on*12)+(CW62*ci_comp9)+(CW62*(ct_comp9+ca_comp9)*'Time on treatment'!$D$27)</f>
        <v>0</v>
      </c>
      <c r="CX125" s="109">
        <f ca="1">(CX62*c_on*12)+(CX62*(ct_comp9+ca_comp9)*'Time on treatment'!$E$27)</f>
        <v>0</v>
      </c>
      <c r="CY125" s="110">
        <f ca="1">(CY62*c_on*12)+(CY62*(ct_comp9+ca_comp9)*'Time on treatment'!$F$27)</f>
        <v>0</v>
      </c>
      <c r="DB125" s="87" t="s">
        <v>172</v>
      </c>
      <c r="DC125" s="111"/>
      <c r="DD125" s="111"/>
      <c r="DE125" s="109">
        <f ca="1">(DE62*c_inicial)+(DE62*c_on*12)+(DE62*ci_comp10)+(DE62*(ct_comp10+ca_comp10)*'Time on treatment'!$D$28)</f>
        <v>0</v>
      </c>
      <c r="DF125" s="109">
        <f ca="1">(DF62*c_on*12)+(DF62*(ct_comp10+ca_comp10)*'Time on treatment'!$E$28)</f>
        <v>0</v>
      </c>
      <c r="DG125" s="110">
        <f ca="1">(DG62*c_on*12)+(DG62*(ct_comp10+ca_comp10)*'Time on treatment'!$F$28)</f>
        <v>0</v>
      </c>
    </row>
    <row r="126" spans="2:111">
      <c r="B126" s="87" t="s">
        <v>177</v>
      </c>
      <c r="C126" s="111"/>
      <c r="D126" s="111"/>
      <c r="E126" s="109">
        <f>E63*c_off</f>
        <v>0</v>
      </c>
      <c r="F126" s="109">
        <f>F63*c_off</f>
        <v>0</v>
      </c>
      <c r="G126" s="110">
        <f>G63*c_off</f>
        <v>0</v>
      </c>
      <c r="J126" s="87" t="s">
        <v>177</v>
      </c>
      <c r="K126" s="111"/>
      <c r="L126" s="111"/>
      <c r="M126" s="109">
        <f>M63*c_off</f>
        <v>0</v>
      </c>
      <c r="N126" s="109">
        <f>N63*c_off</f>
        <v>0</v>
      </c>
      <c r="O126" s="110">
        <f>O63*c_off</f>
        <v>0</v>
      </c>
      <c r="R126" s="87" t="s">
        <v>177</v>
      </c>
      <c r="S126" s="111"/>
      <c r="T126" s="111"/>
      <c r="U126" s="109">
        <f>U63*c_off</f>
        <v>0</v>
      </c>
      <c r="V126" s="109">
        <f>V63*c_off</f>
        <v>0</v>
      </c>
      <c r="W126" s="110">
        <f>W63*c_off</f>
        <v>0</v>
      </c>
      <c r="Z126" s="87" t="s">
        <v>177</v>
      </c>
      <c r="AA126" s="111"/>
      <c r="AB126" s="111"/>
      <c r="AC126" s="109">
        <f>AC63*c_off</f>
        <v>0</v>
      </c>
      <c r="AD126" s="109">
        <f>AD63*c_off</f>
        <v>0</v>
      </c>
      <c r="AE126" s="110">
        <f>AE63*c_off</f>
        <v>0</v>
      </c>
      <c r="AH126" s="87" t="s">
        <v>177</v>
      </c>
      <c r="AI126" s="111"/>
      <c r="AJ126" s="111"/>
      <c r="AK126" s="109">
        <f>AK63*c_off</f>
        <v>0</v>
      </c>
      <c r="AL126" s="109">
        <f>AL63*c_off</f>
        <v>0</v>
      </c>
      <c r="AM126" s="110">
        <f>AM63*c_off</f>
        <v>0</v>
      </c>
      <c r="AP126" s="87" t="s">
        <v>177</v>
      </c>
      <c r="AQ126" s="111"/>
      <c r="AR126" s="111"/>
      <c r="AS126" s="109">
        <f>AS63*c_off</f>
        <v>0</v>
      </c>
      <c r="AT126" s="109">
        <f>AT63*c_off</f>
        <v>0</v>
      </c>
      <c r="AU126" s="110">
        <f>AU63*c_off</f>
        <v>0</v>
      </c>
      <c r="AX126" s="87" t="s">
        <v>177</v>
      </c>
      <c r="AY126" s="111"/>
      <c r="AZ126" s="111"/>
      <c r="BA126" s="109">
        <f>BA63*c_off</f>
        <v>0</v>
      </c>
      <c r="BB126" s="109">
        <f>BB63*c_off</f>
        <v>0</v>
      </c>
      <c r="BC126" s="110">
        <f>BC63*c_off</f>
        <v>0</v>
      </c>
      <c r="BF126" s="87" t="s">
        <v>177</v>
      </c>
      <c r="BG126" s="111"/>
      <c r="BH126" s="111"/>
      <c r="BI126" s="109">
        <f>BI63*c_off</f>
        <v>0</v>
      </c>
      <c r="BJ126" s="109">
        <f>BJ63*c_off</f>
        <v>0</v>
      </c>
      <c r="BK126" s="110">
        <f>BK63*c_off</f>
        <v>0</v>
      </c>
      <c r="BN126" s="87" t="s">
        <v>177</v>
      </c>
      <c r="BO126" s="111"/>
      <c r="BP126" s="111"/>
      <c r="BQ126" s="109">
        <f>BQ63*c_off</f>
        <v>0</v>
      </c>
      <c r="BR126" s="109">
        <f>BR63*c_off</f>
        <v>0</v>
      </c>
      <c r="BS126" s="110">
        <f>BS63*c_off</f>
        <v>0</v>
      </c>
      <c r="BV126" s="87" t="s">
        <v>177</v>
      </c>
      <c r="BW126" s="111"/>
      <c r="BX126" s="111"/>
      <c r="BY126" s="109">
        <f>BY63*c_off</f>
        <v>0</v>
      </c>
      <c r="BZ126" s="109">
        <f>BZ63*c_off</f>
        <v>0</v>
      </c>
      <c r="CA126" s="110">
        <f>CA63*c_off</f>
        <v>0</v>
      </c>
      <c r="CD126" s="87" t="s">
        <v>177</v>
      </c>
      <c r="CE126" s="111"/>
      <c r="CF126" s="111"/>
      <c r="CG126" s="109">
        <f>CG63*c_off</f>
        <v>0</v>
      </c>
      <c r="CH126" s="109">
        <f>CH63*c_off</f>
        <v>0</v>
      </c>
      <c r="CI126" s="110">
        <f>CI63*c_off</f>
        <v>0</v>
      </c>
      <c r="CL126" s="87" t="s">
        <v>177</v>
      </c>
      <c r="CM126" s="111"/>
      <c r="CN126" s="111"/>
      <c r="CO126" s="109">
        <f>CO63*c_off</f>
        <v>0</v>
      </c>
      <c r="CP126" s="109">
        <f>CP63*c_off</f>
        <v>0</v>
      </c>
      <c r="CQ126" s="110">
        <f>CQ63*c_off</f>
        <v>0</v>
      </c>
      <c r="CT126" s="87" t="s">
        <v>177</v>
      </c>
      <c r="CU126" s="111"/>
      <c r="CV126" s="111"/>
      <c r="CW126" s="109">
        <f>CW63*c_off</f>
        <v>0</v>
      </c>
      <c r="CX126" s="109">
        <f>CX63*c_off</f>
        <v>0</v>
      </c>
      <c r="CY126" s="110">
        <f>CY63*c_off</f>
        <v>0</v>
      </c>
      <c r="DB126" s="87" t="s">
        <v>177</v>
      </c>
      <c r="DC126" s="111"/>
      <c r="DD126" s="111"/>
      <c r="DE126" s="109">
        <f>DE63*c_off</f>
        <v>0</v>
      </c>
      <c r="DF126" s="109">
        <f>DF63*c_off</f>
        <v>0</v>
      </c>
      <c r="DG126" s="110">
        <f>DG63*c_off</f>
        <v>0</v>
      </c>
    </row>
    <row r="127" spans="2:111">
      <c r="B127" s="87" t="s">
        <v>173</v>
      </c>
      <c r="C127" s="111"/>
      <c r="D127" s="111"/>
      <c r="E127" s="111"/>
      <c r="F127" s="109">
        <f ca="1">(F64*c_inicial)+(F64*c_on*12)+(F64*ci_int1)+(F64*(ct_int1+ca_int1)*'Time on treatment'!$D$12)</f>
        <v>6475524.4825852485</v>
      </c>
      <c r="G127" s="110">
        <f ca="1">(G64*c_on*12)+(G64*(ct_int1+ca_int1)*'Time on treatment'!$E$12)</f>
        <v>0</v>
      </c>
      <c r="J127" s="87" t="s">
        <v>173</v>
      </c>
      <c r="K127" s="111"/>
      <c r="L127" s="111"/>
      <c r="M127" s="111"/>
      <c r="N127" s="109">
        <f ca="1">(N64*c_inicial)+(N64*c_on*12)+(N64*ci_int2)+(N64*(ct_int2+ca_int2)*'Time on treatment'!$D$13)</f>
        <v>0</v>
      </c>
      <c r="O127" s="110">
        <f ca="1">(O64*c_on*12)+(O64*(ct_int2+ca_int2)*'Time on treatment'!$E$13)</f>
        <v>0</v>
      </c>
      <c r="R127" s="87" t="s">
        <v>173</v>
      </c>
      <c r="S127" s="111"/>
      <c r="T127" s="111"/>
      <c r="U127" s="111"/>
      <c r="V127" s="109">
        <f ca="1">(V64*c_inicial)+(V64*c_on*12)+(V64*ci_int3)+(V64*(ct_int3+ca_int3)*'Time on treatment'!$D$14)</f>
        <v>0</v>
      </c>
      <c r="W127" s="110">
        <f ca="1">(W64*c_on*12)+(W64*(ct_int3+ca_int3)*'Time on treatment'!$E$14)</f>
        <v>0</v>
      </c>
      <c r="Z127" s="87" t="s">
        <v>173</v>
      </c>
      <c r="AA127" s="111"/>
      <c r="AB127" s="111"/>
      <c r="AC127" s="111"/>
      <c r="AD127" s="109">
        <f ca="1">(AD64*c_inicial)+(AD64*c_on*12)+(AD64*ci_int4)+(AD64*(ct_int4+ca_int4)*'Time on treatment'!$D$15)</f>
        <v>0</v>
      </c>
      <c r="AE127" s="110">
        <f ca="1">(AE64*c_on*12)+(AE64*(ct_int4+ca_int4)*'Time on treatment'!$E$15)</f>
        <v>0</v>
      </c>
      <c r="AH127" s="87" t="s">
        <v>173</v>
      </c>
      <c r="AI127" s="111"/>
      <c r="AJ127" s="111"/>
      <c r="AK127" s="111"/>
      <c r="AL127" s="109">
        <f ca="1">(AL64*c_inicial)+(AL64*c_on*12)+(AL64*ci_comp1)+(AL64*(ct_comp1+ca_comp1)*'Time on treatment'!$D$19)</f>
        <v>3566437.3569371025</v>
      </c>
      <c r="AM127" s="110">
        <f ca="1">(AM64*c_on*12)+(AM64*(ct_comp1+ca_comp1)*'Time on treatment'!$E$19)</f>
        <v>0</v>
      </c>
      <c r="AP127" s="87" t="s">
        <v>173</v>
      </c>
      <c r="AQ127" s="111"/>
      <c r="AR127" s="111"/>
      <c r="AS127" s="111"/>
      <c r="AT127" s="109">
        <f ca="1">(AT64*c_inicial)+(AT64*c_on*12)+(AT64*ci_comp2)+(AT64*(ct_comp2+ca_comp2)*'Time on treatment'!$D$20)</f>
        <v>0</v>
      </c>
      <c r="AU127" s="110">
        <f ca="1">(AU64*c_on*12)+(AU64*(ct_comp2+ca_comp2)*'Time on treatment'!$E$20)</f>
        <v>0</v>
      </c>
      <c r="AX127" s="87" t="s">
        <v>173</v>
      </c>
      <c r="AY127" s="111"/>
      <c r="AZ127" s="111"/>
      <c r="BA127" s="111"/>
      <c r="BB127" s="109">
        <f ca="1">(BB64*c_inicial)+(BB64*c_on*12)+(BB64*ci_comp3)+(BB64*(ct_comp3+ca_comp3)*'Time on treatment'!$D$21)</f>
        <v>0</v>
      </c>
      <c r="BC127" s="110">
        <f ca="1">(BC64*c_on*12)+(BC64*(ct_comp3+ca_comp3)*'Time on treatment'!$E$21)</f>
        <v>0</v>
      </c>
      <c r="BF127" s="87" t="s">
        <v>173</v>
      </c>
      <c r="BG127" s="111"/>
      <c r="BH127" s="111"/>
      <c r="BI127" s="111"/>
      <c r="BJ127" s="109">
        <f ca="1">(BJ64*c_inicial)+(BJ64*c_on*12)+(BJ64*ci_comp4)+(BJ64*(ct_comp4+ca_comp4)*'Time on treatment'!$D$22)</f>
        <v>0</v>
      </c>
      <c r="BK127" s="110">
        <f ca="1">(BK64*c_on*12)+(BK64*(ct_comp4+ca_comp4)*'Time on treatment'!$E$22)</f>
        <v>0</v>
      </c>
      <c r="BN127" s="87" t="s">
        <v>173</v>
      </c>
      <c r="BO127" s="111"/>
      <c r="BP127" s="111"/>
      <c r="BQ127" s="111"/>
      <c r="BR127" s="109">
        <f ca="1">(BR64*c_inicial)+(BR64*c_on*12)+(BR64*ci_comp5)+(BR64*(ct_comp5+ca_comp5)*'Time on treatment'!$D$23)</f>
        <v>0</v>
      </c>
      <c r="BS127" s="110">
        <f ca="1">(BS64*c_on*12)+(BS64*(ct_comp5+ca_comp5)*'Time on treatment'!$E$23)</f>
        <v>0</v>
      </c>
      <c r="BV127" s="87" t="s">
        <v>173</v>
      </c>
      <c r="BW127" s="111"/>
      <c r="BX127" s="111"/>
      <c r="BY127" s="111"/>
      <c r="BZ127" s="109">
        <f ca="1">(BZ64*c_inicial)+(BZ64*c_on*12)+(BZ64*ci_comp6)+(BZ64*(ct_comp6+ca_comp6)*'Time on treatment'!$D$24)</f>
        <v>0</v>
      </c>
      <c r="CA127" s="110">
        <f ca="1">(CA64*c_on*12)+(CA64*(ct_comp6+ca_comp6)*'Time on treatment'!$E$24)</f>
        <v>0</v>
      </c>
      <c r="CD127" s="87" t="s">
        <v>173</v>
      </c>
      <c r="CE127" s="111"/>
      <c r="CF127" s="111"/>
      <c r="CG127" s="111"/>
      <c r="CH127" s="109">
        <f ca="1">(CH64*c_inicial)+(CH64*c_on*12)+(CH64*ci_comp7)+(CH64*(ct_comp7+ca_comp7)*'Time on treatment'!$D$25)</f>
        <v>0</v>
      </c>
      <c r="CI127" s="110">
        <f ca="1">(CI64*c_on*12)+(CI64*(ct_comp7+ca_comp7)*'Time on treatment'!$E$25)</f>
        <v>0</v>
      </c>
      <c r="CL127" s="87" t="s">
        <v>173</v>
      </c>
      <c r="CM127" s="111"/>
      <c r="CN127" s="111"/>
      <c r="CO127" s="111"/>
      <c r="CP127" s="109">
        <f ca="1">(CP64*c_inicial)+(CP64*c_on*12)+(CP64*ci_comp8)+(CP64*(ct_comp8+ca_comp8)*'Time on treatment'!$D$26)</f>
        <v>0</v>
      </c>
      <c r="CQ127" s="110">
        <f ca="1">(CQ64*c_on*12)+(CQ64*(ct_comp8+ca_comp8)*'Time on treatment'!$E$26)</f>
        <v>0</v>
      </c>
      <c r="CT127" s="87" t="s">
        <v>173</v>
      </c>
      <c r="CU127" s="111"/>
      <c r="CV127" s="111"/>
      <c r="CW127" s="111"/>
      <c r="CX127" s="109">
        <f ca="1">(CX64*c_inicial)+(CX64*c_on*12)+(CX64*ci_comp9)+(CX64*(ct_comp9+ca_comp9)*'Time on treatment'!$D$27)</f>
        <v>0</v>
      </c>
      <c r="CY127" s="110">
        <f ca="1">(CY64*c_on*12)+(CY64*(ct_comp9+ca_comp9)*'Time on treatment'!$E$27)</f>
        <v>0</v>
      </c>
      <c r="DB127" s="87" t="s">
        <v>173</v>
      </c>
      <c r="DC127" s="111"/>
      <c r="DD127" s="111"/>
      <c r="DE127" s="111"/>
      <c r="DF127" s="109">
        <f ca="1">(DF64*c_inicial)+(DF64*c_on*12)+(DF64*ci_comp10)+(DF64*(ct_comp10+ca_comp10)*'Time on treatment'!$D$28)</f>
        <v>0</v>
      </c>
      <c r="DG127" s="110">
        <f ca="1">(DG64*c_on*12)+(DG64*(ct_comp10+ca_comp10)*'Time on treatment'!$E$28)</f>
        <v>0</v>
      </c>
    </row>
    <row r="128" spans="2:111">
      <c r="B128" s="87" t="s">
        <v>178</v>
      </c>
      <c r="C128" s="111"/>
      <c r="D128" s="111"/>
      <c r="E128" s="111"/>
      <c r="F128" s="109">
        <f>F65*c_off</f>
        <v>0</v>
      </c>
      <c r="G128" s="110">
        <f>G65*c_off</f>
        <v>0</v>
      </c>
      <c r="J128" s="87" t="s">
        <v>178</v>
      </c>
      <c r="K128" s="111"/>
      <c r="L128" s="111"/>
      <c r="M128" s="111"/>
      <c r="N128" s="109">
        <f>N65*c_off</f>
        <v>0</v>
      </c>
      <c r="O128" s="110">
        <f>O65*c_off</f>
        <v>0</v>
      </c>
      <c r="R128" s="87" t="s">
        <v>178</v>
      </c>
      <c r="S128" s="111"/>
      <c r="T128" s="111"/>
      <c r="U128" s="111"/>
      <c r="V128" s="109">
        <f>V65*c_off</f>
        <v>0</v>
      </c>
      <c r="W128" s="110">
        <f>W65*c_off</f>
        <v>0</v>
      </c>
      <c r="Z128" s="87" t="s">
        <v>178</v>
      </c>
      <c r="AA128" s="111"/>
      <c r="AB128" s="111"/>
      <c r="AC128" s="111"/>
      <c r="AD128" s="109">
        <f>AD65*c_off</f>
        <v>0</v>
      </c>
      <c r="AE128" s="110">
        <f>AE65*c_off</f>
        <v>0</v>
      </c>
      <c r="AH128" s="87" t="s">
        <v>178</v>
      </c>
      <c r="AI128" s="111"/>
      <c r="AJ128" s="111"/>
      <c r="AK128" s="111"/>
      <c r="AL128" s="109">
        <f>AL65*c_off</f>
        <v>0</v>
      </c>
      <c r="AM128" s="110">
        <f>AM65*c_off</f>
        <v>0</v>
      </c>
      <c r="AP128" s="87" t="s">
        <v>178</v>
      </c>
      <c r="AQ128" s="111"/>
      <c r="AR128" s="111"/>
      <c r="AS128" s="111"/>
      <c r="AT128" s="109">
        <f>AT65*c_off</f>
        <v>0</v>
      </c>
      <c r="AU128" s="110">
        <f>AU65*c_off</f>
        <v>0</v>
      </c>
      <c r="AX128" s="87" t="s">
        <v>178</v>
      </c>
      <c r="AY128" s="111"/>
      <c r="AZ128" s="111"/>
      <c r="BA128" s="111"/>
      <c r="BB128" s="109">
        <f>BB65*c_off</f>
        <v>0</v>
      </c>
      <c r="BC128" s="110">
        <f>BC65*c_off</f>
        <v>0</v>
      </c>
      <c r="BF128" s="87" t="s">
        <v>178</v>
      </c>
      <c r="BG128" s="111"/>
      <c r="BH128" s="111"/>
      <c r="BI128" s="111"/>
      <c r="BJ128" s="109">
        <f>BJ65*c_off</f>
        <v>0</v>
      </c>
      <c r="BK128" s="110">
        <f>BK65*c_off</f>
        <v>0</v>
      </c>
      <c r="BN128" s="87" t="s">
        <v>178</v>
      </c>
      <c r="BO128" s="111"/>
      <c r="BP128" s="111"/>
      <c r="BQ128" s="111"/>
      <c r="BR128" s="109">
        <f>BR65*c_off</f>
        <v>0</v>
      </c>
      <c r="BS128" s="110">
        <f>BS65*c_off</f>
        <v>0</v>
      </c>
      <c r="BV128" s="87" t="s">
        <v>178</v>
      </c>
      <c r="BW128" s="111"/>
      <c r="BX128" s="111"/>
      <c r="BY128" s="111"/>
      <c r="BZ128" s="109">
        <f>BZ65*c_off</f>
        <v>0</v>
      </c>
      <c r="CA128" s="110">
        <f>CA65*c_off</f>
        <v>0</v>
      </c>
      <c r="CD128" s="87" t="s">
        <v>178</v>
      </c>
      <c r="CE128" s="111"/>
      <c r="CF128" s="111"/>
      <c r="CG128" s="111"/>
      <c r="CH128" s="109">
        <f>CH65*c_off</f>
        <v>0</v>
      </c>
      <c r="CI128" s="110">
        <f>CI65*c_off</f>
        <v>0</v>
      </c>
      <c r="CL128" s="87" t="s">
        <v>178</v>
      </c>
      <c r="CM128" s="111"/>
      <c r="CN128" s="111"/>
      <c r="CO128" s="111"/>
      <c r="CP128" s="109">
        <f>CP65*c_off</f>
        <v>0</v>
      </c>
      <c r="CQ128" s="110">
        <f>CQ65*c_off</f>
        <v>0</v>
      </c>
      <c r="CT128" s="87" t="s">
        <v>178</v>
      </c>
      <c r="CU128" s="111"/>
      <c r="CV128" s="111"/>
      <c r="CW128" s="111"/>
      <c r="CX128" s="109">
        <f>CX65*c_off</f>
        <v>0</v>
      </c>
      <c r="CY128" s="110">
        <f>CY65*c_off</f>
        <v>0</v>
      </c>
      <c r="DB128" s="87" t="s">
        <v>178</v>
      </c>
      <c r="DC128" s="111"/>
      <c r="DD128" s="111"/>
      <c r="DE128" s="111"/>
      <c r="DF128" s="109">
        <f>DF65*c_off</f>
        <v>0</v>
      </c>
      <c r="DG128" s="110">
        <f>DG65*c_off</f>
        <v>0</v>
      </c>
    </row>
    <row r="129" spans="2:111">
      <c r="B129" s="87" t="s">
        <v>174</v>
      </c>
      <c r="C129" s="111"/>
      <c r="D129" s="111"/>
      <c r="E129" s="111"/>
      <c r="F129" s="111"/>
      <c r="G129" s="110">
        <f ca="1">(G66*c_inicial)+(G66*c_on*12)+(G66*ci_int1)+(G66*(ct_int1+ca_int1)*'Time on treatment'!$D$12)</f>
        <v>8137095.6969891693</v>
      </c>
      <c r="J129" s="87" t="s">
        <v>174</v>
      </c>
      <c r="K129" s="111"/>
      <c r="L129" s="111"/>
      <c r="M129" s="111"/>
      <c r="N129" s="111"/>
      <c r="O129" s="110">
        <f ca="1">(O66*c_inicial)+(O66*c_on*12)+(O66*ci_int2)+(O66*(ct_int2+ca_int2)*'Time on treatment'!$D$13)</f>
        <v>0</v>
      </c>
      <c r="R129" s="87" t="s">
        <v>174</v>
      </c>
      <c r="S129" s="111"/>
      <c r="T129" s="111"/>
      <c r="U129" s="111"/>
      <c r="V129" s="111"/>
      <c r="W129" s="110">
        <f ca="1">(W66*c_inicial)+(W66*c_on*12)+(W66*ci_int3)+(W66*(ct_int3+ca_int3)*'Time on treatment'!$D$14)</f>
        <v>0</v>
      </c>
      <c r="Z129" s="87" t="s">
        <v>174</v>
      </c>
      <c r="AA129" s="111"/>
      <c r="AB129" s="111"/>
      <c r="AC129" s="111"/>
      <c r="AD129" s="111"/>
      <c r="AE129" s="110">
        <f ca="1">(AE66*c_inicial)+(AE66*c_on*12)+(AE66*ci_int4)+(AE66*(ct_int4+ca_int4)*'Time on treatment'!$D$15)</f>
        <v>0</v>
      </c>
      <c r="AH129" s="87" t="s">
        <v>174</v>
      </c>
      <c r="AI129" s="111"/>
      <c r="AJ129" s="111"/>
      <c r="AK129" s="111"/>
      <c r="AL129" s="111"/>
      <c r="AM129" s="110">
        <f ca="1">(AM66*c_inicial)+(AM66*c_on*12)+(AM66*ci_comp1)+(AM66*(ct_comp1+ca_comp1)*'Time on treatment'!$D$19)</f>
        <v>2987705.6958870851</v>
      </c>
      <c r="AP129" s="87" t="s">
        <v>174</v>
      </c>
      <c r="AQ129" s="111"/>
      <c r="AR129" s="111"/>
      <c r="AS129" s="111"/>
      <c r="AT129" s="111"/>
      <c r="AU129" s="110">
        <f ca="1">(AU66*c_inicial)+(AU66*c_on*12)+(AU66*ci_comp2)+(AU66*(ct_comp2+ca_comp2)*'Time on treatment'!$D$20)</f>
        <v>0</v>
      </c>
      <c r="AX129" s="87" t="s">
        <v>174</v>
      </c>
      <c r="AY129" s="111"/>
      <c r="AZ129" s="111"/>
      <c r="BA129" s="111"/>
      <c r="BB129" s="111"/>
      <c r="BC129" s="110">
        <f ca="1">(BC66*c_inicial)+(BC66*c_on*12)+(BC66*ci_comp3)+(BC66*(ct_comp3+ca_comp3)*'Time on treatment'!$D$21)</f>
        <v>0</v>
      </c>
      <c r="BF129" s="87" t="s">
        <v>174</v>
      </c>
      <c r="BG129" s="111"/>
      <c r="BH129" s="111"/>
      <c r="BI129" s="111"/>
      <c r="BJ129" s="111"/>
      <c r="BK129" s="110">
        <f ca="1">(BK66*c_inicial)+(BK66*c_on*12)+(BK66*ci_comp4)+(BK66*(ct_comp4+ca_comp4)*'Time on treatment'!$D$22)</f>
        <v>0</v>
      </c>
      <c r="BN129" s="87" t="s">
        <v>174</v>
      </c>
      <c r="BO129" s="111"/>
      <c r="BP129" s="111"/>
      <c r="BQ129" s="111"/>
      <c r="BR129" s="111"/>
      <c r="BS129" s="110">
        <f ca="1">(BS66*c_inicial)+(BS66*c_on*12)+(BS66*ci_comp5)+(BS66*(ct_comp5+ca_comp5)*'Time on treatment'!$D$23)</f>
        <v>0</v>
      </c>
      <c r="BV129" s="87" t="s">
        <v>174</v>
      </c>
      <c r="BW129" s="111"/>
      <c r="BX129" s="111"/>
      <c r="BY129" s="111"/>
      <c r="BZ129" s="111"/>
      <c r="CA129" s="110">
        <f ca="1">(CA66*c_inicial)+(CA66*c_on*12)+(CA66*ci_comp6)+(CA66*(ct_comp6+ca_comp6)*'Time on treatment'!$D$24)</f>
        <v>0</v>
      </c>
      <c r="CD129" s="87" t="s">
        <v>174</v>
      </c>
      <c r="CE129" s="111"/>
      <c r="CF129" s="111"/>
      <c r="CG129" s="111"/>
      <c r="CH129" s="111"/>
      <c r="CI129" s="110">
        <f ca="1">(CI66*c_inicial)+(CI66*c_on*12)+(CI66*ci_comp7)+(CI66*(ct_comp7+ca_comp7)*'Time on treatment'!$D$25)</f>
        <v>0</v>
      </c>
      <c r="CL129" s="87" t="s">
        <v>174</v>
      </c>
      <c r="CM129" s="111"/>
      <c r="CN129" s="111"/>
      <c r="CO129" s="111"/>
      <c r="CP129" s="111"/>
      <c r="CQ129" s="110">
        <f ca="1">(CQ66*c_inicial)+(CQ66*c_on*12)+(CQ66*ci_comp8)+(CQ66*(ct_comp8+ca_comp8)*'Time on treatment'!$D$26)</f>
        <v>0</v>
      </c>
      <c r="CT129" s="87" t="s">
        <v>174</v>
      </c>
      <c r="CU129" s="111"/>
      <c r="CV129" s="111"/>
      <c r="CW129" s="111"/>
      <c r="CX129" s="111"/>
      <c r="CY129" s="110">
        <f ca="1">(CY66*c_inicial)+(CY66*c_on*12)+(CY66*ci_comp9)+(CY66*(ct_comp9+ca_comp9)*'Time on treatment'!$D$27)</f>
        <v>0</v>
      </c>
      <c r="DB129" s="87" t="s">
        <v>174</v>
      </c>
      <c r="DC129" s="111"/>
      <c r="DD129" s="111"/>
      <c r="DE129" s="111"/>
      <c r="DF129" s="111"/>
      <c r="DG129" s="110">
        <f ca="1">(DG66*c_inicial)+(DG66*c_on*12)+(DG66*ci_comp10)+(DG66*(ct_comp10+ca_comp10)*'Time on treatment'!$D$28)</f>
        <v>0</v>
      </c>
    </row>
    <row r="130" spans="2:111" ht="15" thickBot="1">
      <c r="B130" s="87" t="s">
        <v>179</v>
      </c>
      <c r="C130" s="111"/>
      <c r="D130" s="111"/>
      <c r="E130" s="111"/>
      <c r="F130" s="111"/>
      <c r="G130" s="112">
        <v>0</v>
      </c>
      <c r="J130" s="87" t="s">
        <v>179</v>
      </c>
      <c r="K130" s="111"/>
      <c r="L130" s="111"/>
      <c r="M130" s="111"/>
      <c r="N130" s="111"/>
      <c r="O130" s="112">
        <v>0</v>
      </c>
      <c r="R130" s="87" t="s">
        <v>179</v>
      </c>
      <c r="S130" s="111"/>
      <c r="T130" s="111"/>
      <c r="U130" s="111"/>
      <c r="V130" s="111"/>
      <c r="W130" s="112">
        <v>0</v>
      </c>
      <c r="Z130" s="87" t="s">
        <v>179</v>
      </c>
      <c r="AA130" s="111"/>
      <c r="AB130" s="111"/>
      <c r="AC130" s="111"/>
      <c r="AD130" s="111"/>
      <c r="AE130" s="112">
        <v>0</v>
      </c>
      <c r="AH130" s="87" t="s">
        <v>179</v>
      </c>
      <c r="AI130" s="111"/>
      <c r="AJ130" s="111"/>
      <c r="AK130" s="111"/>
      <c r="AL130" s="111"/>
      <c r="AM130" s="112">
        <v>0</v>
      </c>
      <c r="AP130" s="87" t="s">
        <v>179</v>
      </c>
      <c r="AQ130" s="111"/>
      <c r="AR130" s="111"/>
      <c r="AS130" s="111"/>
      <c r="AT130" s="111"/>
      <c r="AU130" s="112">
        <v>0</v>
      </c>
      <c r="AX130" s="87" t="s">
        <v>179</v>
      </c>
      <c r="AY130" s="111"/>
      <c r="AZ130" s="111"/>
      <c r="BA130" s="111"/>
      <c r="BB130" s="111"/>
      <c r="BC130" s="112">
        <v>0</v>
      </c>
      <c r="BF130" s="87" t="s">
        <v>179</v>
      </c>
      <c r="BG130" s="111"/>
      <c r="BH130" s="111"/>
      <c r="BI130" s="111"/>
      <c r="BJ130" s="111"/>
      <c r="BK130" s="112">
        <v>0</v>
      </c>
      <c r="BN130" s="87" t="s">
        <v>179</v>
      </c>
      <c r="BO130" s="111"/>
      <c r="BP130" s="111"/>
      <c r="BQ130" s="111"/>
      <c r="BR130" s="111"/>
      <c r="BS130" s="112">
        <v>0</v>
      </c>
      <c r="BV130" s="87" t="s">
        <v>179</v>
      </c>
      <c r="BW130" s="111"/>
      <c r="BX130" s="111"/>
      <c r="BY130" s="111"/>
      <c r="BZ130" s="111"/>
      <c r="CA130" s="112">
        <v>0</v>
      </c>
      <c r="CD130" s="87" t="s">
        <v>179</v>
      </c>
      <c r="CE130" s="111"/>
      <c r="CF130" s="111"/>
      <c r="CG130" s="111"/>
      <c r="CH130" s="111"/>
      <c r="CI130" s="112">
        <v>0</v>
      </c>
      <c r="CL130" s="87" t="s">
        <v>179</v>
      </c>
      <c r="CM130" s="111"/>
      <c r="CN130" s="111"/>
      <c r="CO130" s="111"/>
      <c r="CP130" s="111"/>
      <c r="CQ130" s="112">
        <v>0</v>
      </c>
      <c r="CT130" s="87" t="s">
        <v>179</v>
      </c>
      <c r="CU130" s="111"/>
      <c r="CV130" s="111"/>
      <c r="CW130" s="111"/>
      <c r="CX130" s="111"/>
      <c r="CY130" s="112">
        <v>0</v>
      </c>
      <c r="DB130" s="87" t="s">
        <v>179</v>
      </c>
      <c r="DC130" s="111"/>
      <c r="DD130" s="111"/>
      <c r="DE130" s="111"/>
      <c r="DF130" s="111"/>
      <c r="DG130" s="112">
        <v>0</v>
      </c>
    </row>
    <row r="131" spans="2:111" ht="15" thickBot="1">
      <c r="B131" s="85" t="str">
        <f>B117</f>
        <v>PET-CT</v>
      </c>
      <c r="C131" s="113">
        <f ca="1">SUM(C121:C129)</f>
        <v>1590669.5866445473</v>
      </c>
      <c r="D131" s="113">
        <f ca="1">SUM(D121:D129)</f>
        <v>3200990.218819018</v>
      </c>
      <c r="E131" s="113">
        <f ca="1">SUM(E121:E129)</f>
        <v>4829708.1080512898</v>
      </c>
      <c r="F131" s="113">
        <f ca="1">SUM(F121:F129)</f>
        <v>6475524.4825852485</v>
      </c>
      <c r="G131" s="114">
        <f ca="1">SUM(G121:G129)</f>
        <v>8137095.6969891693</v>
      </c>
      <c r="J131" s="85">
        <f>J117</f>
        <v>0</v>
      </c>
      <c r="K131" s="113">
        <f ca="1">SUM(K121:K129)</f>
        <v>0</v>
      </c>
      <c r="L131" s="113">
        <f ca="1">SUM(L121:L129)</f>
        <v>0</v>
      </c>
      <c r="M131" s="113">
        <f ca="1">SUM(M121:M129)</f>
        <v>0</v>
      </c>
      <c r="N131" s="113">
        <f ca="1">SUM(N121:N129)</f>
        <v>0</v>
      </c>
      <c r="O131" s="114">
        <f ca="1">SUM(O121:O129)</f>
        <v>0</v>
      </c>
      <c r="R131" s="85">
        <f>R117</f>
        <v>0</v>
      </c>
      <c r="S131" s="113">
        <f ca="1">SUM(S121:S129)</f>
        <v>0</v>
      </c>
      <c r="T131" s="113">
        <f ca="1">SUM(T121:T129)</f>
        <v>0</v>
      </c>
      <c r="U131" s="113">
        <f ca="1">SUM(U121:U129)</f>
        <v>0</v>
      </c>
      <c r="V131" s="113">
        <f ca="1">SUM(V121:V129)</f>
        <v>0</v>
      </c>
      <c r="W131" s="114">
        <f ca="1">SUM(W121:W129)</f>
        <v>0</v>
      </c>
      <c r="Z131" s="85">
        <f>Z117</f>
        <v>0</v>
      </c>
      <c r="AA131" s="113">
        <f ca="1">SUM(AA121:AA129)</f>
        <v>0</v>
      </c>
      <c r="AB131" s="113">
        <f ca="1">SUM(AB121:AB129)</f>
        <v>0</v>
      </c>
      <c r="AC131" s="113">
        <f ca="1">SUM(AC121:AC129)</f>
        <v>0</v>
      </c>
      <c r="AD131" s="113">
        <f ca="1">SUM(AD121:AD129)</f>
        <v>0</v>
      </c>
      <c r="AE131" s="114">
        <f ca="1">SUM(AE121:AE129)</f>
        <v>0</v>
      </c>
      <c r="AH131" s="85" t="str">
        <f>AH117</f>
        <v>CT scan + scintigraphy</v>
      </c>
      <c r="AI131" s="113">
        <f ca="1">SUM(AI121:AI129)</f>
        <v>5256429.9169366583</v>
      </c>
      <c r="AJ131" s="113">
        <f ca="1">SUM(AJ121:AJ129)</f>
        <v>4701243.3258136995</v>
      </c>
      <c r="AK131" s="113">
        <f ca="1">SUM(AK121:AK129)</f>
        <v>4137767.2791637639</v>
      </c>
      <c r="AL131" s="113">
        <f ca="1">SUM(AL121:AL129)</f>
        <v>3566437.3569371025</v>
      </c>
      <c r="AM131" s="114">
        <f ca="1">SUM(AM121:AM129)</f>
        <v>2987705.6958870851</v>
      </c>
      <c r="AP131" s="85">
        <f>AP117</f>
        <v>0</v>
      </c>
      <c r="AQ131" s="113">
        <f ca="1">SUM(AQ121:AQ129)</f>
        <v>0</v>
      </c>
      <c r="AR131" s="113">
        <f ca="1">SUM(AR121:AR129)</f>
        <v>0</v>
      </c>
      <c r="AS131" s="113">
        <f ca="1">SUM(AS121:AS129)</f>
        <v>0</v>
      </c>
      <c r="AT131" s="113">
        <f ca="1">SUM(AT121:AT129)</f>
        <v>0</v>
      </c>
      <c r="AU131" s="114">
        <f ca="1">SUM(AU121:AU129)</f>
        <v>0</v>
      </c>
      <c r="AX131" s="85">
        <f>AX117</f>
        <v>0</v>
      </c>
      <c r="AY131" s="113">
        <f ca="1">SUM(AY121:AY129)</f>
        <v>0</v>
      </c>
      <c r="AZ131" s="113">
        <f ca="1">SUM(AZ121:AZ129)</f>
        <v>0</v>
      </c>
      <c r="BA131" s="113">
        <f ca="1">SUM(BA121:BA129)</f>
        <v>0</v>
      </c>
      <c r="BB131" s="113">
        <f ca="1">SUM(BB121:BB129)</f>
        <v>0</v>
      </c>
      <c r="BC131" s="114">
        <f ca="1">SUM(BC121:BC129)</f>
        <v>0</v>
      </c>
      <c r="BF131" s="85">
        <f>BF117</f>
        <v>0</v>
      </c>
      <c r="BG131" s="113">
        <f ca="1">SUM(BG121:BG129)</f>
        <v>0</v>
      </c>
      <c r="BH131" s="113">
        <f ca="1">SUM(BH121:BH129)</f>
        <v>0</v>
      </c>
      <c r="BI131" s="113">
        <f ca="1">SUM(BI121:BI129)</f>
        <v>0</v>
      </c>
      <c r="BJ131" s="113">
        <f ca="1">SUM(BJ121:BJ129)</f>
        <v>0</v>
      </c>
      <c r="BK131" s="114">
        <f ca="1">SUM(BK121:BK129)</f>
        <v>0</v>
      </c>
      <c r="BN131" s="85">
        <f>BN117</f>
        <v>0</v>
      </c>
      <c r="BO131" s="113">
        <f ca="1">SUM(BO121:BO129)</f>
        <v>0</v>
      </c>
      <c r="BP131" s="113">
        <f ca="1">SUM(BP121:BP129)</f>
        <v>0</v>
      </c>
      <c r="BQ131" s="113">
        <f ca="1">SUM(BQ121:BQ129)</f>
        <v>0</v>
      </c>
      <c r="BR131" s="113">
        <f ca="1">SUM(BR121:BR129)</f>
        <v>0</v>
      </c>
      <c r="BS131" s="114">
        <f ca="1">SUM(BS121:BS129)</f>
        <v>0</v>
      </c>
      <c r="BV131" s="85">
        <f>BV117</f>
        <v>0</v>
      </c>
      <c r="BW131" s="113">
        <f ca="1">SUM(BW121:BW129)</f>
        <v>0</v>
      </c>
      <c r="BX131" s="113">
        <f ca="1">SUM(BX121:BX129)</f>
        <v>0</v>
      </c>
      <c r="BY131" s="113">
        <f ca="1">SUM(BY121:BY129)</f>
        <v>0</v>
      </c>
      <c r="BZ131" s="113">
        <f ca="1">SUM(BZ121:BZ129)</f>
        <v>0</v>
      </c>
      <c r="CA131" s="114">
        <f ca="1">SUM(CA121:CA129)</f>
        <v>0</v>
      </c>
      <c r="CD131" s="85">
        <f>CD117</f>
        <v>0</v>
      </c>
      <c r="CE131" s="113">
        <f ca="1">SUM(CE121:CE129)</f>
        <v>0</v>
      </c>
      <c r="CF131" s="113">
        <f ca="1">SUM(CF121:CF129)</f>
        <v>0</v>
      </c>
      <c r="CG131" s="113">
        <f ca="1">SUM(CG121:CG129)</f>
        <v>0</v>
      </c>
      <c r="CH131" s="113">
        <f ca="1">SUM(CH121:CH129)</f>
        <v>0</v>
      </c>
      <c r="CI131" s="114">
        <f ca="1">SUM(CI121:CI129)</f>
        <v>0</v>
      </c>
      <c r="CL131" s="85">
        <f>CL117</f>
        <v>0</v>
      </c>
      <c r="CM131" s="113">
        <f ca="1">SUM(CM121:CM129)</f>
        <v>0</v>
      </c>
      <c r="CN131" s="113">
        <f ca="1">SUM(CN121:CN129)</f>
        <v>0</v>
      </c>
      <c r="CO131" s="113">
        <f ca="1">SUM(CO121:CO129)</f>
        <v>0</v>
      </c>
      <c r="CP131" s="113">
        <f ca="1">SUM(CP121:CP129)</f>
        <v>0</v>
      </c>
      <c r="CQ131" s="114">
        <f ca="1">SUM(CQ121:CQ129)</f>
        <v>0</v>
      </c>
      <c r="CT131" s="85">
        <f>CT117</f>
        <v>0</v>
      </c>
      <c r="CU131" s="113">
        <f ca="1">SUM(CU121:CU129)</f>
        <v>0</v>
      </c>
      <c r="CV131" s="113">
        <f ca="1">SUM(CV121:CV129)</f>
        <v>0</v>
      </c>
      <c r="CW131" s="113">
        <f ca="1">SUM(CW121:CW129)</f>
        <v>0</v>
      </c>
      <c r="CX131" s="113">
        <f ca="1">SUM(CX121:CX129)</f>
        <v>0</v>
      </c>
      <c r="CY131" s="114">
        <f ca="1">SUM(CY121:CY129)</f>
        <v>0</v>
      </c>
      <c r="DB131" s="85">
        <f>DB117</f>
        <v>0</v>
      </c>
      <c r="DC131" s="113">
        <f ca="1">SUM(DC121:DC129)</f>
        <v>0</v>
      </c>
      <c r="DD131" s="113">
        <f ca="1">SUM(DD121:DD129)</f>
        <v>0</v>
      </c>
      <c r="DE131" s="113">
        <f ca="1">SUM(DE121:DE129)</f>
        <v>0</v>
      </c>
      <c r="DF131" s="113">
        <f ca="1">SUM(DF121:DF129)</f>
        <v>0</v>
      </c>
      <c r="DG131" s="114">
        <f ca="1">SUM(DG121:DG129)</f>
        <v>0</v>
      </c>
    </row>
    <row r="132" spans="2:111" ht="15" thickBot="1">
      <c r="B132" s="83"/>
      <c r="C132" s="83"/>
      <c r="D132" s="83"/>
      <c r="E132" s="83"/>
      <c r="F132" s="83"/>
      <c r="G132" s="83"/>
      <c r="J132" s="83"/>
      <c r="K132" s="83"/>
      <c r="L132" s="83"/>
      <c r="M132" s="83"/>
      <c r="N132" s="83"/>
      <c r="O132" s="83"/>
      <c r="R132" s="83"/>
      <c r="S132" s="83"/>
      <c r="T132" s="83"/>
      <c r="U132" s="83"/>
      <c r="V132" s="83"/>
      <c r="W132" s="83"/>
      <c r="Z132" s="83"/>
      <c r="AA132" s="83"/>
      <c r="AB132" s="83"/>
      <c r="AC132" s="83"/>
      <c r="AD132" s="83"/>
      <c r="AE132" s="83"/>
      <c r="AH132" s="83"/>
      <c r="AI132" s="83"/>
      <c r="AJ132" s="83"/>
      <c r="AK132" s="83"/>
      <c r="AL132" s="83"/>
      <c r="AM132" s="83"/>
      <c r="AP132" s="83"/>
      <c r="AQ132" s="83"/>
      <c r="AR132" s="83"/>
      <c r="AS132" s="83"/>
      <c r="AT132" s="83"/>
      <c r="AU132" s="83"/>
      <c r="AX132" s="83"/>
      <c r="AY132" s="83"/>
      <c r="AZ132" s="83"/>
      <c r="BA132" s="83"/>
      <c r="BB132" s="83"/>
      <c r="BC132" s="83"/>
      <c r="BF132" s="83"/>
      <c r="BG132" s="83"/>
      <c r="BH132" s="83"/>
      <c r="BI132" s="83"/>
      <c r="BJ132" s="83"/>
      <c r="BK132" s="83"/>
      <c r="BN132" s="83"/>
      <c r="BO132" s="83"/>
      <c r="BP132" s="83"/>
      <c r="BQ132" s="83"/>
      <c r="BR132" s="83"/>
      <c r="BS132" s="83"/>
      <c r="BV132" s="83"/>
      <c r="BW132" s="83"/>
      <c r="BX132" s="83"/>
      <c r="BY132" s="83"/>
      <c r="BZ132" s="83"/>
      <c r="CA132" s="83"/>
      <c r="CD132" s="83"/>
      <c r="CE132" s="83"/>
      <c r="CF132" s="83"/>
      <c r="CG132" s="83"/>
      <c r="CH132" s="83"/>
      <c r="CI132" s="83"/>
      <c r="CL132" s="83"/>
      <c r="CM132" s="83"/>
      <c r="CN132" s="83"/>
      <c r="CO132" s="83"/>
      <c r="CP132" s="83"/>
      <c r="CQ132" s="83"/>
      <c r="CT132" s="83"/>
      <c r="CU132" s="83"/>
      <c r="CV132" s="83"/>
      <c r="CW132" s="83"/>
      <c r="CX132" s="83"/>
      <c r="CY132" s="83"/>
      <c r="DB132" s="83"/>
      <c r="DC132" s="83"/>
      <c r="DD132" s="83"/>
      <c r="DE132" s="83"/>
      <c r="DF132" s="83"/>
      <c r="DG132" s="83"/>
    </row>
    <row r="133" spans="2:111" ht="15" thickBot="1">
      <c r="B133" s="507">
        <f>B71</f>
        <v>0</v>
      </c>
      <c r="C133" s="505"/>
      <c r="D133" s="505"/>
      <c r="E133" s="505"/>
      <c r="F133" s="505"/>
      <c r="G133" s="506"/>
      <c r="J133" s="507">
        <f>J71</f>
        <v>0</v>
      </c>
      <c r="K133" s="505"/>
      <c r="L133" s="505"/>
      <c r="M133" s="505"/>
      <c r="N133" s="505"/>
      <c r="O133" s="506"/>
      <c r="R133" s="507">
        <f>R71</f>
        <v>0</v>
      </c>
      <c r="S133" s="505"/>
      <c r="T133" s="505"/>
      <c r="U133" s="505"/>
      <c r="V133" s="505"/>
      <c r="W133" s="506"/>
      <c r="Z133" s="507">
        <f>Z71</f>
        <v>0</v>
      </c>
      <c r="AA133" s="505"/>
      <c r="AB133" s="505"/>
      <c r="AC133" s="505"/>
      <c r="AD133" s="505"/>
      <c r="AE133" s="506"/>
      <c r="AH133" s="507">
        <f>AH71</f>
        <v>0</v>
      </c>
      <c r="AI133" s="505"/>
      <c r="AJ133" s="505"/>
      <c r="AK133" s="505"/>
      <c r="AL133" s="505"/>
      <c r="AM133" s="506"/>
      <c r="AP133" s="507">
        <f>AP71</f>
        <v>0</v>
      </c>
      <c r="AQ133" s="505"/>
      <c r="AR133" s="505"/>
      <c r="AS133" s="505"/>
      <c r="AT133" s="505"/>
      <c r="AU133" s="506"/>
      <c r="AX133" s="507">
        <f>AX71</f>
        <v>0</v>
      </c>
      <c r="AY133" s="505"/>
      <c r="AZ133" s="505"/>
      <c r="BA133" s="505"/>
      <c r="BB133" s="505"/>
      <c r="BC133" s="506"/>
      <c r="BF133" s="507">
        <f>BF71</f>
        <v>0</v>
      </c>
      <c r="BG133" s="505"/>
      <c r="BH133" s="505"/>
      <c r="BI133" s="505"/>
      <c r="BJ133" s="505"/>
      <c r="BK133" s="506"/>
      <c r="BN133" s="507">
        <f>BN71</f>
        <v>0</v>
      </c>
      <c r="BO133" s="505"/>
      <c r="BP133" s="505"/>
      <c r="BQ133" s="505"/>
      <c r="BR133" s="505"/>
      <c r="BS133" s="506"/>
      <c r="BV133" s="507">
        <f>BV71</f>
        <v>0</v>
      </c>
      <c r="BW133" s="505"/>
      <c r="BX133" s="505"/>
      <c r="BY133" s="505"/>
      <c r="BZ133" s="505"/>
      <c r="CA133" s="506"/>
      <c r="CD133" s="507">
        <f>CD71</f>
        <v>0</v>
      </c>
      <c r="CE133" s="505"/>
      <c r="CF133" s="505"/>
      <c r="CG133" s="505"/>
      <c r="CH133" s="505"/>
      <c r="CI133" s="506"/>
      <c r="CL133" s="507">
        <f>CL71</f>
        <v>0</v>
      </c>
      <c r="CM133" s="505"/>
      <c r="CN133" s="505"/>
      <c r="CO133" s="505"/>
      <c r="CP133" s="505"/>
      <c r="CQ133" s="506"/>
      <c r="CT133" s="507">
        <f>CT71</f>
        <v>0</v>
      </c>
      <c r="CU133" s="505"/>
      <c r="CV133" s="505"/>
      <c r="CW133" s="505"/>
      <c r="CX133" s="505"/>
      <c r="CY133" s="506"/>
      <c r="DB133" s="507">
        <f>DB71</f>
        <v>0</v>
      </c>
      <c r="DC133" s="505"/>
      <c r="DD133" s="505"/>
      <c r="DE133" s="505"/>
      <c r="DF133" s="505"/>
      <c r="DG133" s="506"/>
    </row>
    <row r="134" spans="2:111">
      <c r="B134" s="84"/>
      <c r="C134" s="101">
        <f>C72</f>
        <v>2024</v>
      </c>
      <c r="D134" s="101">
        <f t="shared" ref="D134:F134" si="314">D72</f>
        <v>2025</v>
      </c>
      <c r="E134" s="101">
        <f t="shared" si="314"/>
        <v>2026</v>
      </c>
      <c r="F134" s="101">
        <f t="shared" si="314"/>
        <v>2027</v>
      </c>
      <c r="G134" s="102">
        <f>G72</f>
        <v>2028</v>
      </c>
      <c r="J134" s="84"/>
      <c r="K134" s="101">
        <f>K72</f>
        <v>2024</v>
      </c>
      <c r="L134" s="101">
        <f t="shared" ref="L134:N134" si="315">L72</f>
        <v>2025</v>
      </c>
      <c r="M134" s="101">
        <f t="shared" si="315"/>
        <v>2026</v>
      </c>
      <c r="N134" s="101">
        <f t="shared" si="315"/>
        <v>2027</v>
      </c>
      <c r="O134" s="102">
        <f>O72</f>
        <v>2028</v>
      </c>
      <c r="R134" s="84"/>
      <c r="S134" s="101">
        <f>S72</f>
        <v>2024</v>
      </c>
      <c r="T134" s="101">
        <f t="shared" ref="T134:V134" si="316">T72</f>
        <v>2025</v>
      </c>
      <c r="U134" s="101">
        <f t="shared" si="316"/>
        <v>2026</v>
      </c>
      <c r="V134" s="101">
        <f t="shared" si="316"/>
        <v>2027</v>
      </c>
      <c r="W134" s="102">
        <f>W72</f>
        <v>2028</v>
      </c>
      <c r="Z134" s="84"/>
      <c r="AA134" s="101">
        <f>AA72</f>
        <v>2024</v>
      </c>
      <c r="AB134" s="101">
        <f t="shared" ref="AB134:AD134" si="317">AB72</f>
        <v>2025</v>
      </c>
      <c r="AC134" s="101">
        <f t="shared" si="317"/>
        <v>2026</v>
      </c>
      <c r="AD134" s="101">
        <f t="shared" si="317"/>
        <v>2027</v>
      </c>
      <c r="AE134" s="102">
        <f>AE72</f>
        <v>2028</v>
      </c>
      <c r="AH134" s="84"/>
      <c r="AI134" s="101">
        <f>AI72</f>
        <v>2024</v>
      </c>
      <c r="AJ134" s="101">
        <f t="shared" ref="AJ134:AL134" si="318">AJ72</f>
        <v>2025</v>
      </c>
      <c r="AK134" s="101">
        <f t="shared" si="318"/>
        <v>2026</v>
      </c>
      <c r="AL134" s="101">
        <f t="shared" si="318"/>
        <v>2027</v>
      </c>
      <c r="AM134" s="102">
        <f>AM72</f>
        <v>2028</v>
      </c>
      <c r="AP134" s="84"/>
      <c r="AQ134" s="101">
        <f>AQ72</f>
        <v>2024</v>
      </c>
      <c r="AR134" s="101">
        <f t="shared" ref="AR134:AT134" si="319">AR72</f>
        <v>2025</v>
      </c>
      <c r="AS134" s="101">
        <f t="shared" si="319"/>
        <v>2026</v>
      </c>
      <c r="AT134" s="101">
        <f t="shared" si="319"/>
        <v>2027</v>
      </c>
      <c r="AU134" s="102">
        <f>AU72</f>
        <v>2028</v>
      </c>
      <c r="AX134" s="84"/>
      <c r="AY134" s="101">
        <f>AY72</f>
        <v>2024</v>
      </c>
      <c r="AZ134" s="101">
        <f t="shared" ref="AZ134:BB134" si="320">AZ72</f>
        <v>2025</v>
      </c>
      <c r="BA134" s="101">
        <f t="shared" si="320"/>
        <v>2026</v>
      </c>
      <c r="BB134" s="101">
        <f t="shared" si="320"/>
        <v>2027</v>
      </c>
      <c r="BC134" s="102">
        <f>BC72</f>
        <v>2028</v>
      </c>
      <c r="BF134" s="84"/>
      <c r="BG134" s="101">
        <f>BG72</f>
        <v>2024</v>
      </c>
      <c r="BH134" s="101">
        <f t="shared" ref="BH134:BJ134" si="321">BH72</f>
        <v>2025</v>
      </c>
      <c r="BI134" s="101">
        <f t="shared" si="321"/>
        <v>2026</v>
      </c>
      <c r="BJ134" s="101">
        <f t="shared" si="321"/>
        <v>2027</v>
      </c>
      <c r="BK134" s="102">
        <f>BK72</f>
        <v>2028</v>
      </c>
      <c r="BN134" s="84"/>
      <c r="BO134" s="101">
        <f>BO72</f>
        <v>2024</v>
      </c>
      <c r="BP134" s="101">
        <f t="shared" ref="BP134:BR134" si="322">BP72</f>
        <v>2025</v>
      </c>
      <c r="BQ134" s="101">
        <f t="shared" si="322"/>
        <v>2026</v>
      </c>
      <c r="BR134" s="101">
        <f t="shared" si="322"/>
        <v>2027</v>
      </c>
      <c r="BS134" s="102">
        <f>BS72</f>
        <v>2028</v>
      </c>
      <c r="BV134" s="84"/>
      <c r="BW134" s="101">
        <f>BW72</f>
        <v>2024</v>
      </c>
      <c r="BX134" s="101">
        <f t="shared" ref="BX134:BZ134" si="323">BX72</f>
        <v>2025</v>
      </c>
      <c r="BY134" s="101">
        <f t="shared" si="323"/>
        <v>2026</v>
      </c>
      <c r="BZ134" s="101">
        <f t="shared" si="323"/>
        <v>2027</v>
      </c>
      <c r="CA134" s="102">
        <f>CA72</f>
        <v>2028</v>
      </c>
      <c r="CD134" s="84"/>
      <c r="CE134" s="101">
        <f>CE72</f>
        <v>2024</v>
      </c>
      <c r="CF134" s="101">
        <f t="shared" ref="CF134:CH134" si="324">CF72</f>
        <v>2025</v>
      </c>
      <c r="CG134" s="101">
        <f t="shared" si="324"/>
        <v>2026</v>
      </c>
      <c r="CH134" s="101">
        <f t="shared" si="324"/>
        <v>2027</v>
      </c>
      <c r="CI134" s="102">
        <f>CI72</f>
        <v>2028</v>
      </c>
      <c r="CL134" s="84"/>
      <c r="CM134" s="101">
        <f>CM72</f>
        <v>2024</v>
      </c>
      <c r="CN134" s="101">
        <f t="shared" ref="CN134:CP134" si="325">CN72</f>
        <v>2025</v>
      </c>
      <c r="CO134" s="101">
        <f t="shared" si="325"/>
        <v>2026</v>
      </c>
      <c r="CP134" s="101">
        <f t="shared" si="325"/>
        <v>2027</v>
      </c>
      <c r="CQ134" s="102">
        <f>CQ72</f>
        <v>2028</v>
      </c>
      <c r="CT134" s="84"/>
      <c r="CU134" s="101">
        <f>CU72</f>
        <v>2024</v>
      </c>
      <c r="CV134" s="101">
        <f t="shared" ref="CV134:CX134" si="326">CV72</f>
        <v>2025</v>
      </c>
      <c r="CW134" s="101">
        <f t="shared" si="326"/>
        <v>2026</v>
      </c>
      <c r="CX134" s="101">
        <f t="shared" si="326"/>
        <v>2027</v>
      </c>
      <c r="CY134" s="102">
        <f>CY72</f>
        <v>2028</v>
      </c>
      <c r="DB134" s="84"/>
      <c r="DC134" s="101">
        <f>DC72</f>
        <v>2024</v>
      </c>
      <c r="DD134" s="101">
        <f t="shared" ref="DD134:DF134" si="327">DD72</f>
        <v>2025</v>
      </c>
      <c r="DE134" s="101">
        <f t="shared" si="327"/>
        <v>2026</v>
      </c>
      <c r="DF134" s="101">
        <f t="shared" si="327"/>
        <v>2027</v>
      </c>
      <c r="DG134" s="102">
        <f>DG72</f>
        <v>2028</v>
      </c>
    </row>
    <row r="135" spans="2:111">
      <c r="B135" s="87" t="s">
        <v>170</v>
      </c>
      <c r="C135" s="109">
        <f ca="1">(C73*c_inicial)+(C73*c_on*12)+(C73*ci_int1)+(C73*(ct_int1+ca_int1)*'Time on treatment'!$D$12)</f>
        <v>0</v>
      </c>
      <c r="D135" s="109">
        <f ca="1">(D73*c_on*12)+(D73*(ct_int1+ca_int1)*'Time on treatment'!$E$12)</f>
        <v>0</v>
      </c>
      <c r="E135" s="109">
        <f ca="1">(E73*c_on*12)+(E73*(ct_int1+ca_int1)*'Time on treatment'!$F$12)</f>
        <v>0</v>
      </c>
      <c r="F135" s="109">
        <f ca="1">(F73*c_on*12)+(F73*(ct_int1+ca_int1)*'Time on treatment'!$G$12)</f>
        <v>0</v>
      </c>
      <c r="G135" s="110">
        <f ca="1">(G73*c_on*12)+(G73*(ct_int1+ca_int1)*'Time on treatment'!$H$12)</f>
        <v>0</v>
      </c>
      <c r="J135" s="87" t="s">
        <v>170</v>
      </c>
      <c r="K135" s="109">
        <f ca="1">(K73*c_inicial)+(K73*c_on*12)+(K73*ci_int2)+(K73*(ct_int2+ca_int2)*'Time on treatment'!$D$13)</f>
        <v>0</v>
      </c>
      <c r="L135" s="109">
        <f ca="1">(L73*c_on*12)+(L73*(ct_int2+ca_int2)*'Time on treatment'!$E$13)</f>
        <v>0</v>
      </c>
      <c r="M135" s="109">
        <f ca="1">(M73*c_on*12)+(M73*(ct_int2+ca_int2)*'Time on treatment'!$F$13)</f>
        <v>0</v>
      </c>
      <c r="N135" s="109">
        <f ca="1">(N73*c_on*12)+(N73*(ct_int2+ca_int2)*'Time on treatment'!$G$13)</f>
        <v>0</v>
      </c>
      <c r="O135" s="110">
        <f ca="1">(O73*c_on*12)+(O73*(ct_int2+ca_int2)*'Time on treatment'!$H$13)</f>
        <v>0</v>
      </c>
      <c r="R135" s="87" t="s">
        <v>170</v>
      </c>
      <c r="S135" s="109">
        <f ca="1">(S73*c_inicial)+(S73*c_on*12)+(S73*ci_int3)+(S73*(ct_int3+ca_int3)*'Time on treatment'!$D$14)</f>
        <v>0</v>
      </c>
      <c r="T135" s="109">
        <f ca="1">(T73*c_on*12)+(T73*(ct_int3+ca_int3)*'Time on treatment'!$E$14)</f>
        <v>0</v>
      </c>
      <c r="U135" s="109">
        <f ca="1">(U73*c_on*12)+(U73*(ct_int3+ca_int3)*'Time on treatment'!$F$14)</f>
        <v>0</v>
      </c>
      <c r="V135" s="109">
        <f ca="1">(V73*c_on*12)+(V73*(ct_int3+ca_int3)*'Time on treatment'!$G$14)</f>
        <v>0</v>
      </c>
      <c r="W135" s="110">
        <f ca="1">(W73*c_on*12)+(W73*(ct_int3+ca_int3)*'Time on treatment'!$H$14)</f>
        <v>0</v>
      </c>
      <c r="Z135" s="87" t="s">
        <v>170</v>
      </c>
      <c r="AA135" s="109">
        <f ca="1">(AA73*c_inicial)+(AA73*c_on*12)+(AA73*ci_int4)+(AA73*(ct_int4+ca_int4)*'Time on treatment'!$D$15)</f>
        <v>0</v>
      </c>
      <c r="AB135" s="109">
        <f ca="1">(AB73*c_on*12)+(AB73*(ct_int4+ca_int4)*'Time on treatment'!$E$15)</f>
        <v>0</v>
      </c>
      <c r="AC135" s="109">
        <f ca="1">(AC73*c_on*12)+(AC73*(ct_int4+ca_int4)*'Time on treatment'!$F$15)</f>
        <v>0</v>
      </c>
      <c r="AD135" s="109">
        <f ca="1">(AD73*c_on*12)+(AD73*(ct_int4+ca_int4)*'Time on treatment'!$G$15)</f>
        <v>0</v>
      </c>
      <c r="AE135" s="110">
        <f ca="1">(AE73*c_on*12)+(AE73*(ct_int4+ca_int4)*'Time on treatment'!$H$15)</f>
        <v>0</v>
      </c>
      <c r="AH135" s="87" t="s">
        <v>170</v>
      </c>
      <c r="AI135" s="109">
        <f ca="1">(AI73*c_inicial)+(AI73*c_on*12)+(AI73*ci_comp1)+(AI73*(ct_comp1+ca_comp1)*'Time on treatment'!$D$19)</f>
        <v>0</v>
      </c>
      <c r="AJ135" s="109">
        <f ca="1">(AJ73*c_on*12)+(AJ73*(ct_comp1+ca_comp1)*'Time on treatment'!$E$19)</f>
        <v>0</v>
      </c>
      <c r="AK135" s="109">
        <f ca="1">(AK73*c_on*12)+(AK73*(ct_comp1+ca_comp1)*'Time on treatment'!$F$19)</f>
        <v>0</v>
      </c>
      <c r="AL135" s="109">
        <f ca="1">(AL73*c_on*12)+(AL73*(ct_comp1+ca_comp1)*'Time on treatment'!$G$19)</f>
        <v>0</v>
      </c>
      <c r="AM135" s="110">
        <f ca="1">(AM73*c_on*12)+(AM73*(ct_comp1+ca_comp1)*'Time on treatment'!$H$19)</f>
        <v>0</v>
      </c>
      <c r="AP135" s="87" t="s">
        <v>170</v>
      </c>
      <c r="AQ135" s="109">
        <f ca="1">(AQ73*c_inicial)+(AQ73*c_on*12)+(AQ73*ci_comp2)+(AQ73*(ct_comp2+ca_comp2)*'Time on treatment'!$D$20)</f>
        <v>0</v>
      </c>
      <c r="AR135" s="109">
        <f ca="1">(AR73*c_on*12)+(AR73*(ct_comp2+ca_comp2)*'Time on treatment'!$E$20)</f>
        <v>0</v>
      </c>
      <c r="AS135" s="109">
        <f ca="1">(AS73*c_on*12)+(AS73*(ct_comp2+ca_comp2)*'Time on treatment'!$F$20)</f>
        <v>0</v>
      </c>
      <c r="AT135" s="109">
        <f ca="1">(AT73*c_on*12)+(AT73*(ct_comp2+ca_comp2)*'Time on treatment'!$G$20)</f>
        <v>0</v>
      </c>
      <c r="AU135" s="110">
        <f ca="1">(AU73*c_on*12)+(AU73*(ct_comp2+ca_comp2)*'Time on treatment'!$H$20)</f>
        <v>0</v>
      </c>
      <c r="AX135" s="87" t="s">
        <v>170</v>
      </c>
      <c r="AY135" s="109">
        <f ca="1">(AY73*c_inicial)+(AY73*c_on*12)+(AY73*ci_comp3)+(AY73*(ct_comp3+ca_comp3)*'Time on treatment'!$D$21)</f>
        <v>0</v>
      </c>
      <c r="AZ135" s="109">
        <f ca="1">(AZ73*c_on*12)+(AZ73*(ct_comp3+ca_comp3)*'Time on treatment'!$E$21)</f>
        <v>0</v>
      </c>
      <c r="BA135" s="109">
        <f ca="1">(BA73*c_on*12)+(BA73*(ct_comp3+ca_comp3)*'Time on treatment'!$F$21)</f>
        <v>0</v>
      </c>
      <c r="BB135" s="109">
        <f ca="1">(BB73*c_on*12)+(BB73*(ct_comp3+ca_comp3)*'Time on treatment'!$G$21)</f>
        <v>0</v>
      </c>
      <c r="BC135" s="110">
        <f ca="1">(BC73*c_on*12)+(BC73*(ct_comp3+ca_comp3)*'Time on treatment'!$H$21)</f>
        <v>0</v>
      </c>
      <c r="BF135" s="87" t="s">
        <v>170</v>
      </c>
      <c r="BG135" s="109">
        <f ca="1">(BG73*c_inicial)+(BG73*c_on*12)+(BG73*ci_comp4)+(BG73*(ct_comp4+ca_comp4)*'Time on treatment'!$D$22)</f>
        <v>0</v>
      </c>
      <c r="BH135" s="109">
        <f ca="1">(BH73*c_on*12)+(BH73*(ct_comp4+ca_comp4)*'Time on treatment'!$E$22)</f>
        <v>0</v>
      </c>
      <c r="BI135" s="109">
        <f ca="1">(BI73*c_on*12)+(BI73*(ct_comp4+ca_comp4)*'Time on treatment'!$F$22)</f>
        <v>0</v>
      </c>
      <c r="BJ135" s="109">
        <f ca="1">(BJ73*c_on*12)+(BJ73*(ct_comp4+ca_comp4)*'Time on treatment'!$G$22)</f>
        <v>0</v>
      </c>
      <c r="BK135" s="110">
        <f ca="1">(BK73*c_on*12)+(BK73*(ct_comp4+ca_comp4)*'Time on treatment'!$H$22)</f>
        <v>0</v>
      </c>
      <c r="BN135" s="87" t="s">
        <v>170</v>
      </c>
      <c r="BO135" s="109">
        <f ca="1">(BO73*c_inicial)+(BO73*c_on*12)+(BO73*ci_comp5)+(BO73*(ct_comp5+ca_comp5)*'Time on treatment'!$D$23)</f>
        <v>0</v>
      </c>
      <c r="BP135" s="109">
        <f ca="1">(BP73*c_on*12)+(BP73*(ct_comp5+ca_comp5)*'Time on treatment'!$E$23)</f>
        <v>0</v>
      </c>
      <c r="BQ135" s="109">
        <f ca="1">(BQ73*c_on*12)+(BQ73*(ct_comp5+ca_comp5)*'Time on treatment'!$F$23)</f>
        <v>0</v>
      </c>
      <c r="BR135" s="109">
        <f ca="1">(BR73*c_on*12)+(BR73*(ct_comp5+ca_comp5)*'Time on treatment'!$G$23)</f>
        <v>0</v>
      </c>
      <c r="BS135" s="110">
        <f ca="1">(BS73*c_on*12)+(BS73*(ct_comp5+ca_comp5)*'Time on treatment'!$H$23)</f>
        <v>0</v>
      </c>
      <c r="BV135" s="87" t="s">
        <v>170</v>
      </c>
      <c r="BW135" s="109">
        <f ca="1">(BW73*c_inicial)+(BW73*c_on*12)+(BW73*ci_comp6)+(BW73*(ct_comp6+ca_comp6)*'Time on treatment'!$D$24)</f>
        <v>0</v>
      </c>
      <c r="BX135" s="109">
        <f ca="1">(BX73*c_on*12)+(BX73*(ct_comp6+ca_comp6)*'Time on treatment'!$E$24)</f>
        <v>0</v>
      </c>
      <c r="BY135" s="109">
        <f ca="1">(BY73*c_on*12)+(BY73*(ct_comp6+ca_comp6)*'Time on treatment'!$F$24)</f>
        <v>0</v>
      </c>
      <c r="BZ135" s="109">
        <f ca="1">(BZ73*c_on*12)+(BZ73*(ct_comp6+ca_comp6)*'Time on treatment'!$G$24)</f>
        <v>0</v>
      </c>
      <c r="CA135" s="110">
        <f ca="1">(CA73*c_on*12)+(CA73*(ct_comp6+ca_comp6)*'Time on treatment'!$H$24)</f>
        <v>0</v>
      </c>
      <c r="CD135" s="87" t="s">
        <v>170</v>
      </c>
      <c r="CE135" s="109">
        <f ca="1">(CE73*c_inicial)+(CE73*c_on*12)+(CE73*ci_comp7)+(CE73*(ct_comp7+ca_comp7)*'Time on treatment'!$D$25)</f>
        <v>0</v>
      </c>
      <c r="CF135" s="109">
        <f ca="1">(CF73*c_on*12)+(CF73*(ct_comp7+ca_comp7)*'Time on treatment'!$E$25)</f>
        <v>0</v>
      </c>
      <c r="CG135" s="109">
        <f ca="1">(CG73*c_on*12)+(CG73*(ct_comp7+ca_comp7)*'Time on treatment'!$F$25)</f>
        <v>0</v>
      </c>
      <c r="CH135" s="109">
        <f ca="1">(CH73*c_on*12)+(CH73*(ct_comp7+ca_comp7)*'Time on treatment'!$G$25)</f>
        <v>0</v>
      </c>
      <c r="CI135" s="110">
        <f ca="1">(CI73*c_on*12)+(CI73*(ct_comp7+ca_comp7)*'Time on treatment'!$H$25)</f>
        <v>0</v>
      </c>
      <c r="CL135" s="87" t="s">
        <v>170</v>
      </c>
      <c r="CM135" s="109">
        <f ca="1">(CM73*c_inicial)+(CM73*c_on*12)+(CM73*ci_comp8)+(CM73*(ct_comp8+ca_comp8)*'Time on treatment'!$D$26)</f>
        <v>0</v>
      </c>
      <c r="CN135" s="109">
        <f ca="1">(CN73*c_on*12)+(CN73*(ct_comp8+ca_comp8)*'Time on treatment'!$E$26)</f>
        <v>0</v>
      </c>
      <c r="CO135" s="109">
        <f ca="1">(CO73*c_on*12)+(CO73*(ct_comp8+ca_comp8)*'Time on treatment'!$F$26)</f>
        <v>0</v>
      </c>
      <c r="CP135" s="109">
        <f ca="1">(CP73*c_on*12)+(CP73*(ct_comp8+ca_comp8)*'Time on treatment'!$G$26)</f>
        <v>0</v>
      </c>
      <c r="CQ135" s="110">
        <f ca="1">(CQ73*c_on*12)+(CQ73*(ct_comp8+ca_comp8)*'Time on treatment'!$H$26)</f>
        <v>0</v>
      </c>
      <c r="CT135" s="87" t="s">
        <v>170</v>
      </c>
      <c r="CU135" s="109">
        <f ca="1">(CU73*c_inicial)+(CU73*c_on*12)+(CU73*ci_comp9)+(CU73*(ct_comp9+ca_comp9)*'Time on treatment'!$D$27)</f>
        <v>0</v>
      </c>
      <c r="CV135" s="109">
        <f ca="1">(CV73*c_on*12)+(CV73*(ct_comp9+ca_comp9)*'Time on treatment'!$E$27)</f>
        <v>0</v>
      </c>
      <c r="CW135" s="109">
        <f ca="1">(CW73*c_on*12)+(CW73*(ct_comp9+ca_comp9)*'Time on treatment'!$F$27)</f>
        <v>0</v>
      </c>
      <c r="CX135" s="109">
        <f ca="1">(CX73*c_on*12)+(CX73*(ct_comp9+ca_comp9)*'Time on treatment'!$G$27)</f>
        <v>0</v>
      </c>
      <c r="CY135" s="110">
        <f ca="1">(CY73*c_on*12)+(CY73*(ct_comp9+ca_comp9)*'Time on treatment'!$H$27)</f>
        <v>0</v>
      </c>
      <c r="DB135" s="87" t="s">
        <v>170</v>
      </c>
      <c r="DC135" s="109">
        <f ca="1">(DC73*c_inicial)+(DC73*c_on*12)+(DC73*ci_comp10)+(DC73*(ct_comp10+ca_comp10)*'Time on treatment'!$D$28)</f>
        <v>0</v>
      </c>
      <c r="DD135" s="109">
        <f ca="1">(DD73*c_on*12)+(DD73*(ct_comp10+ca_comp10)*'Time on treatment'!$E$28)</f>
        <v>0</v>
      </c>
      <c r="DE135" s="109">
        <f ca="1">(DE73*c_on*12)+(DE73*(ct_comp10+ca_comp10)*'Time on treatment'!$F$28)</f>
        <v>0</v>
      </c>
      <c r="DF135" s="109">
        <f ca="1">(DF73*c_on*12)+(DF73*(ct_comp10+ca_comp10)*'Time on treatment'!$G$28)</f>
        <v>0</v>
      </c>
      <c r="DG135" s="110">
        <f ca="1">(DG73*c_on*12)+(DG73*(ct_comp10+ca_comp10)*'Time on treatment'!$H$28)</f>
        <v>0</v>
      </c>
    </row>
    <row r="136" spans="2:111">
      <c r="B136" s="87" t="s">
        <v>175</v>
      </c>
      <c r="C136" s="109">
        <f>C74*c_off</f>
        <v>0</v>
      </c>
      <c r="D136" s="109">
        <f>D74*c_off</f>
        <v>0</v>
      </c>
      <c r="E136" s="109">
        <f>E74*c_off</f>
        <v>0</v>
      </c>
      <c r="F136" s="109">
        <f>F74*c_off</f>
        <v>0</v>
      </c>
      <c r="G136" s="110">
        <f>G74*c_off</f>
        <v>0</v>
      </c>
      <c r="J136" s="87" t="s">
        <v>175</v>
      </c>
      <c r="K136" s="109">
        <f>K74*c_off</f>
        <v>0</v>
      </c>
      <c r="L136" s="109">
        <f>L74*c_off</f>
        <v>0</v>
      </c>
      <c r="M136" s="109">
        <f>M74*c_off</f>
        <v>0</v>
      </c>
      <c r="N136" s="109">
        <f>N74*c_off</f>
        <v>0</v>
      </c>
      <c r="O136" s="110">
        <f>O74*c_off</f>
        <v>0</v>
      </c>
      <c r="R136" s="87" t="s">
        <v>175</v>
      </c>
      <c r="S136" s="109">
        <f>S74*c_off</f>
        <v>0</v>
      </c>
      <c r="T136" s="109">
        <f>T74*c_off</f>
        <v>0</v>
      </c>
      <c r="U136" s="109">
        <f>U74*c_off</f>
        <v>0</v>
      </c>
      <c r="V136" s="109">
        <f>V74*c_off</f>
        <v>0</v>
      </c>
      <c r="W136" s="110">
        <f>W74*c_off</f>
        <v>0</v>
      </c>
      <c r="Z136" s="87" t="s">
        <v>175</v>
      </c>
      <c r="AA136" s="109">
        <f>AA74*c_off</f>
        <v>0</v>
      </c>
      <c r="AB136" s="109">
        <f>AB74*c_off</f>
        <v>0</v>
      </c>
      <c r="AC136" s="109">
        <f>AC74*c_off</f>
        <v>0</v>
      </c>
      <c r="AD136" s="109">
        <f>AD74*c_off</f>
        <v>0</v>
      </c>
      <c r="AE136" s="110">
        <f>AE74*c_off</f>
        <v>0</v>
      </c>
      <c r="AH136" s="87" t="s">
        <v>175</v>
      </c>
      <c r="AI136" s="109">
        <f>AI74*c_off</f>
        <v>0</v>
      </c>
      <c r="AJ136" s="109">
        <f>AJ74*c_off</f>
        <v>0</v>
      </c>
      <c r="AK136" s="109">
        <f>AK74*c_off</f>
        <v>0</v>
      </c>
      <c r="AL136" s="109">
        <f>AL74*c_off</f>
        <v>0</v>
      </c>
      <c r="AM136" s="110">
        <f>AM74*c_off</f>
        <v>0</v>
      </c>
      <c r="AP136" s="87" t="s">
        <v>175</v>
      </c>
      <c r="AQ136" s="109">
        <f>AQ74*c_off</f>
        <v>0</v>
      </c>
      <c r="AR136" s="109">
        <f>AR74*c_off</f>
        <v>0</v>
      </c>
      <c r="AS136" s="109">
        <f>AS74*c_off</f>
        <v>0</v>
      </c>
      <c r="AT136" s="109">
        <f>AT74*c_off</f>
        <v>0</v>
      </c>
      <c r="AU136" s="110">
        <f>AU74*c_off</f>
        <v>0</v>
      </c>
      <c r="AX136" s="87" t="s">
        <v>175</v>
      </c>
      <c r="AY136" s="109">
        <f>AY74*c_off</f>
        <v>0</v>
      </c>
      <c r="AZ136" s="109">
        <f>AZ74*c_off</f>
        <v>0</v>
      </c>
      <c r="BA136" s="109">
        <f>BA74*c_off</f>
        <v>0</v>
      </c>
      <c r="BB136" s="109">
        <f>BB74*c_off</f>
        <v>0</v>
      </c>
      <c r="BC136" s="110">
        <f>BC74*c_off</f>
        <v>0</v>
      </c>
      <c r="BF136" s="87" t="s">
        <v>175</v>
      </c>
      <c r="BG136" s="109">
        <f>BG74*c_off</f>
        <v>0</v>
      </c>
      <c r="BH136" s="109">
        <f>BH74*c_off</f>
        <v>0</v>
      </c>
      <c r="BI136" s="109">
        <f>BI74*c_off</f>
        <v>0</v>
      </c>
      <c r="BJ136" s="109">
        <f>BJ74*c_off</f>
        <v>0</v>
      </c>
      <c r="BK136" s="110">
        <f>BK74*c_off</f>
        <v>0</v>
      </c>
      <c r="BN136" s="87" t="s">
        <v>175</v>
      </c>
      <c r="BO136" s="109">
        <f>BO74*c_off</f>
        <v>0</v>
      </c>
      <c r="BP136" s="109">
        <f>BP74*c_off</f>
        <v>0</v>
      </c>
      <c r="BQ136" s="109">
        <f>BQ74*c_off</f>
        <v>0</v>
      </c>
      <c r="BR136" s="109">
        <f>BR74*c_off</f>
        <v>0</v>
      </c>
      <c r="BS136" s="110">
        <f>BS74*c_off</f>
        <v>0</v>
      </c>
      <c r="BV136" s="87" t="s">
        <v>175</v>
      </c>
      <c r="BW136" s="109">
        <f>BW74*c_off</f>
        <v>0</v>
      </c>
      <c r="BX136" s="109">
        <f>BX74*c_off</f>
        <v>0</v>
      </c>
      <c r="BY136" s="109">
        <f>BY74*c_off</f>
        <v>0</v>
      </c>
      <c r="BZ136" s="109">
        <f>BZ74*c_off</f>
        <v>0</v>
      </c>
      <c r="CA136" s="110">
        <f>CA74*c_off</f>
        <v>0</v>
      </c>
      <c r="CD136" s="87" t="s">
        <v>175</v>
      </c>
      <c r="CE136" s="109">
        <f>CE74*c_off</f>
        <v>0</v>
      </c>
      <c r="CF136" s="109">
        <f>CF74*c_off</f>
        <v>0</v>
      </c>
      <c r="CG136" s="109">
        <f>CG74*c_off</f>
        <v>0</v>
      </c>
      <c r="CH136" s="109">
        <f>CH74*c_off</f>
        <v>0</v>
      </c>
      <c r="CI136" s="110">
        <f>CI74*c_off</f>
        <v>0</v>
      </c>
      <c r="CL136" s="87" t="s">
        <v>175</v>
      </c>
      <c r="CM136" s="109">
        <f>CM74*c_off</f>
        <v>0</v>
      </c>
      <c r="CN136" s="109">
        <f>CN74*c_off</f>
        <v>0</v>
      </c>
      <c r="CO136" s="109">
        <f>CO74*c_off</f>
        <v>0</v>
      </c>
      <c r="CP136" s="109">
        <f>CP74*c_off</f>
        <v>0</v>
      </c>
      <c r="CQ136" s="110">
        <f>CQ74*c_off</f>
        <v>0</v>
      </c>
      <c r="CT136" s="87" t="s">
        <v>175</v>
      </c>
      <c r="CU136" s="109">
        <f>CU74*c_off</f>
        <v>0</v>
      </c>
      <c r="CV136" s="109">
        <f>CV74*c_off</f>
        <v>0</v>
      </c>
      <c r="CW136" s="109">
        <f>CW74*c_off</f>
        <v>0</v>
      </c>
      <c r="CX136" s="109">
        <f>CX74*c_off</f>
        <v>0</v>
      </c>
      <c r="CY136" s="110">
        <f>CY74*c_off</f>
        <v>0</v>
      </c>
      <c r="DB136" s="87" t="s">
        <v>175</v>
      </c>
      <c r="DC136" s="109">
        <f>DC74*c_off</f>
        <v>0</v>
      </c>
      <c r="DD136" s="109">
        <f>DD74*c_off</f>
        <v>0</v>
      </c>
      <c r="DE136" s="109">
        <f>DE74*c_off</f>
        <v>0</v>
      </c>
      <c r="DF136" s="109">
        <f>DF74*c_off</f>
        <v>0</v>
      </c>
      <c r="DG136" s="110">
        <f>DG74*c_off</f>
        <v>0</v>
      </c>
    </row>
    <row r="137" spans="2:111">
      <c r="B137" s="87" t="s">
        <v>171</v>
      </c>
      <c r="C137" s="111"/>
      <c r="D137" s="109">
        <f ca="1">(D75*c_inicial)+(D75*c_on*12)+(D75*ci_int1)+(D75*(ct_int1+ca_int1)*'Time on treatment'!$D$12)</f>
        <v>0</v>
      </c>
      <c r="E137" s="109">
        <f ca="1">(E75*c_on*12)+(E75*(ct_int1+ca_int1)*'Time on treatment'!$E$12)</f>
        <v>0</v>
      </c>
      <c r="F137" s="109">
        <f ca="1">(F75*c_on*12)+(F75*(ct_int1+ca_int1)*'Time on treatment'!$F$12)</f>
        <v>0</v>
      </c>
      <c r="G137" s="110">
        <f ca="1">(G75*c_on*12)+(G75*(ct_int1+ca_int1)*'Time on treatment'!$G$12)</f>
        <v>0</v>
      </c>
      <c r="J137" s="87" t="s">
        <v>171</v>
      </c>
      <c r="K137" s="111"/>
      <c r="L137" s="109">
        <f ca="1">(L75*c_inicial)+(L75*c_on*12)+(L75*ci_int2)+(L75*(ct_int2+ca_int2)*'Time on treatment'!$D$13)</f>
        <v>0</v>
      </c>
      <c r="M137" s="109">
        <f ca="1">(M75*c_on*12)+(M75*(ct_int2+ca_int2)*'Time on treatment'!$E$13)</f>
        <v>0</v>
      </c>
      <c r="N137" s="109">
        <f ca="1">(N75*c_on*12)+(N75*(ct_int2+ca_int2)*'Time on treatment'!$F$13)</f>
        <v>0</v>
      </c>
      <c r="O137" s="110">
        <f ca="1">(O75*c_on*12)+(O75*(ct_int2+ca_int2)*'Time on treatment'!$G$13)</f>
        <v>0</v>
      </c>
      <c r="R137" s="87" t="s">
        <v>171</v>
      </c>
      <c r="S137" s="111"/>
      <c r="T137" s="109">
        <f ca="1">(T75*c_inicial)+(T75*c_on*12)+(T75*ci_int3)+(T75*(ct_int3+ca_int3)*'Time on treatment'!$D$14)</f>
        <v>0</v>
      </c>
      <c r="U137" s="109">
        <f ca="1">(U75*c_on*12)+(U75*(ct_int3+ca_int3)*'Time on treatment'!$E$14)</f>
        <v>0</v>
      </c>
      <c r="V137" s="109">
        <f ca="1">(V75*c_on*12)+(V75*(ct_int3+ca_int3)*'Time on treatment'!$F$14)</f>
        <v>0</v>
      </c>
      <c r="W137" s="110">
        <f ca="1">(W75*c_on*12)+(W75*(ct_int3+ca_int3)*'Time on treatment'!$G$14)</f>
        <v>0</v>
      </c>
      <c r="Z137" s="87" t="s">
        <v>171</v>
      </c>
      <c r="AA137" s="111"/>
      <c r="AB137" s="109">
        <f ca="1">(AB75*c_inicial)+(AB75*c_on*12)+(AB75*ci_int4)+(AB75*(ct_int4+ca_int4)*'Time on treatment'!$D$15)</f>
        <v>0</v>
      </c>
      <c r="AC137" s="109">
        <f ca="1">(AC75*c_on*12)+(AC75*(ct_int4+ca_int4)*'Time on treatment'!$E$15)</f>
        <v>0</v>
      </c>
      <c r="AD137" s="109">
        <f ca="1">(AD75*c_on*12)+(AD75*(ct_int4+ca_int4)*'Time on treatment'!$F$15)</f>
        <v>0</v>
      </c>
      <c r="AE137" s="110">
        <f ca="1">(AE75*c_on*12)+(AE75*(ct_int4+ca_int4)*'Time on treatment'!$G$15)</f>
        <v>0</v>
      </c>
      <c r="AH137" s="87" t="s">
        <v>171</v>
      </c>
      <c r="AI137" s="111"/>
      <c r="AJ137" s="109">
        <f ca="1">(AJ75*c_inicial)+(AJ75*c_on*12)+(AJ75*ci_comp1)+(AJ75*(ct_comp1+ca_comp1)*'Time on treatment'!$D$19)</f>
        <v>0</v>
      </c>
      <c r="AK137" s="109">
        <f ca="1">(AK75*c_on*12)+(AK75*(ct_comp1+ca_comp1)*'Time on treatment'!$E$19)</f>
        <v>0</v>
      </c>
      <c r="AL137" s="109">
        <f ca="1">(AL75*c_on*12)+(AL75*(ct_comp1+ca_comp1)*'Time on treatment'!$F$19)</f>
        <v>0</v>
      </c>
      <c r="AM137" s="110">
        <f ca="1">(AM75*c_on*12)+(AM75*(ct_comp1+ca_comp1)*'Time on treatment'!$G$19)</f>
        <v>0</v>
      </c>
      <c r="AP137" s="87" t="s">
        <v>171</v>
      </c>
      <c r="AQ137" s="111"/>
      <c r="AR137" s="109">
        <f ca="1">(AR75*c_inicial)+(AR75*c_on*12)+(AR75*ci_comp2)+(AR75*(ct_comp2+ca_comp2)*'Time on treatment'!$D$20)</f>
        <v>0</v>
      </c>
      <c r="AS137" s="109">
        <f ca="1">(AS75*c_on*12)+(AS75*(ct_comp2+ca_comp2)*'Time on treatment'!$E$20)</f>
        <v>0</v>
      </c>
      <c r="AT137" s="109">
        <f ca="1">(AT75*c_on*12)+(AT75*(ct_comp2+ca_comp2)*'Time on treatment'!$F$20)</f>
        <v>0</v>
      </c>
      <c r="AU137" s="110">
        <f ca="1">(AU75*c_on*12)+(AU75*(ct_comp2+ca_comp2)*'Time on treatment'!$G$20)</f>
        <v>0</v>
      </c>
      <c r="AX137" s="87" t="s">
        <v>171</v>
      </c>
      <c r="AY137" s="111"/>
      <c r="AZ137" s="109">
        <f ca="1">(AZ75*c_inicial)+(AZ75*c_on*12)+(AZ75*ci_comp3)+(AZ75*(ct_comp3+ca_comp3)*'Time on treatment'!$D$21)</f>
        <v>0</v>
      </c>
      <c r="BA137" s="109">
        <f ca="1">(BA75*c_on*12)+(BA75*(ct_comp3+ca_comp3)*'Time on treatment'!$E$21)</f>
        <v>0</v>
      </c>
      <c r="BB137" s="109">
        <f ca="1">(BB75*c_on*12)+(BB75*(ct_comp3+ca_comp3)*'Time on treatment'!$F$21)</f>
        <v>0</v>
      </c>
      <c r="BC137" s="110">
        <f ca="1">(BC75*c_on*12)+(BC75*(ct_comp3+ca_comp3)*'Time on treatment'!$G$21)</f>
        <v>0</v>
      </c>
      <c r="BF137" s="87" t="s">
        <v>171</v>
      </c>
      <c r="BG137" s="111"/>
      <c r="BH137" s="109">
        <f ca="1">(BH75*c_inicial)+(BH75*c_on*12)+(BH75*ci_comp4)+(BH75*(ct_comp4+ca_comp4)*'Time on treatment'!$D$22)</f>
        <v>0</v>
      </c>
      <c r="BI137" s="109">
        <f ca="1">(BI75*c_on*12)+(BI75*(ct_comp4+ca_comp4)*'Time on treatment'!$E$22)</f>
        <v>0</v>
      </c>
      <c r="BJ137" s="109">
        <f ca="1">(BJ75*c_on*12)+(BJ75*(ct_comp4+ca_comp4)*'Time on treatment'!$F$22)</f>
        <v>0</v>
      </c>
      <c r="BK137" s="110">
        <f ca="1">(BK75*c_on*12)+(BK75*(ct_comp4+ca_comp4)*'Time on treatment'!$G$22)</f>
        <v>0</v>
      </c>
      <c r="BN137" s="87" t="s">
        <v>171</v>
      </c>
      <c r="BO137" s="111"/>
      <c r="BP137" s="109">
        <f ca="1">(BP75*c_inicial)+(BP75*c_on*12)+(BP75*ci_comp5)+(BP75*(ct_comp5+ca_comp5)*'Time on treatment'!$D$23)</f>
        <v>0</v>
      </c>
      <c r="BQ137" s="109">
        <f ca="1">(BQ75*c_on*12)+(BQ75*(ct_comp5+ca_comp5)*'Time on treatment'!$E$23)</f>
        <v>0</v>
      </c>
      <c r="BR137" s="109">
        <f ca="1">(BR75*c_on*12)+(BR75*(ct_comp5+ca_comp5)*'Time on treatment'!$F$23)</f>
        <v>0</v>
      </c>
      <c r="BS137" s="110">
        <f ca="1">(BS75*c_on*12)+(BS75*(ct_comp5+ca_comp5)*'Time on treatment'!$G$23)</f>
        <v>0</v>
      </c>
      <c r="BV137" s="87" t="s">
        <v>171</v>
      </c>
      <c r="BW137" s="111"/>
      <c r="BX137" s="109">
        <f ca="1">(BX75*c_inicial)+(BX75*c_on*12)+(BX75*ci_comp6)+(BX75*(ct_comp6+ca_comp6)*'Time on treatment'!$D$24)</f>
        <v>0</v>
      </c>
      <c r="BY137" s="109">
        <f ca="1">(BY75*c_on*12)+(BY75*(ct_comp6+ca_comp6)*'Time on treatment'!$E$24)</f>
        <v>0</v>
      </c>
      <c r="BZ137" s="109">
        <f ca="1">(BZ75*c_on*12)+(BZ75*(ct_comp6+ca_comp6)*'Time on treatment'!$F$24)</f>
        <v>0</v>
      </c>
      <c r="CA137" s="110">
        <f ca="1">(CA75*c_on*12)+(CA75*(ct_comp6+ca_comp6)*'Time on treatment'!$G$24)</f>
        <v>0</v>
      </c>
      <c r="CD137" s="87" t="s">
        <v>171</v>
      </c>
      <c r="CE137" s="111"/>
      <c r="CF137" s="109">
        <f ca="1">(CF75*c_inicial)+(CF75*c_on*12)+(CF75*ci_comp7)+(CF75*(ct_comp7+ca_comp7)*'Time on treatment'!$D$25)</f>
        <v>0</v>
      </c>
      <c r="CG137" s="109">
        <f ca="1">(CG75*c_on*12)+(CG75*(ct_comp7+ca_comp7)*'Time on treatment'!$E$25)</f>
        <v>0</v>
      </c>
      <c r="CH137" s="109">
        <f ca="1">(CH75*c_on*12)+(CH75*(ct_comp7+ca_comp7)*'Time on treatment'!$F$25)</f>
        <v>0</v>
      </c>
      <c r="CI137" s="110">
        <f ca="1">(CI75*c_on*12)+(CI75*(ct_comp7+ca_comp7)*'Time on treatment'!$G$25)</f>
        <v>0</v>
      </c>
      <c r="CL137" s="87" t="s">
        <v>171</v>
      </c>
      <c r="CM137" s="111"/>
      <c r="CN137" s="109">
        <f ca="1">(CN75*c_inicial)+(CN75*c_on*12)+(CN75*ci_comp8)+(CN75*(ct_comp8+ca_comp8)*'Time on treatment'!$D$26)</f>
        <v>0</v>
      </c>
      <c r="CO137" s="109">
        <f ca="1">(CO75*c_on*12)+(CO75*(ct_comp8+ca_comp8)*'Time on treatment'!$E$26)</f>
        <v>0</v>
      </c>
      <c r="CP137" s="109">
        <f ca="1">(CP75*c_on*12)+(CP75*(ct_comp8+ca_comp8)*'Time on treatment'!$F$26)</f>
        <v>0</v>
      </c>
      <c r="CQ137" s="110">
        <f ca="1">(CQ75*c_on*12)+(CQ75*(ct_comp8+ca_comp8)*'Time on treatment'!$G$26)</f>
        <v>0</v>
      </c>
      <c r="CT137" s="87" t="s">
        <v>171</v>
      </c>
      <c r="CU137" s="111"/>
      <c r="CV137" s="109">
        <f ca="1">(CV75*c_inicial)+(CV75*c_on*12)+(CV75*ci_comp9)+(CV75*(ct_comp9+ca_comp9)*'Time on treatment'!$D$27)</f>
        <v>0</v>
      </c>
      <c r="CW137" s="109">
        <f ca="1">(CW75*c_on*12)+(CW75*(ct_comp9+ca_comp9)*'Time on treatment'!$E$27)</f>
        <v>0</v>
      </c>
      <c r="CX137" s="109">
        <f ca="1">(CX75*c_on*12)+(CX75*(ct_comp9+ca_comp9)*'Time on treatment'!$F$27)</f>
        <v>0</v>
      </c>
      <c r="CY137" s="110">
        <f ca="1">(CY75*c_on*12)+(CY75*(ct_comp9+ca_comp9)*'Time on treatment'!$G$27)</f>
        <v>0</v>
      </c>
      <c r="DB137" s="87" t="s">
        <v>171</v>
      </c>
      <c r="DC137" s="111"/>
      <c r="DD137" s="109">
        <f ca="1">(DD75*c_inicial)+(DD75*c_on*12)+(DD75*ci_comp10)+(DD75*(ct_comp10+ca_comp10)*'Time on treatment'!$D$28)</f>
        <v>0</v>
      </c>
      <c r="DE137" s="109">
        <f ca="1">(DE75*c_on*12)+(DE75*(ct_comp10+ca_comp10)*'Time on treatment'!$E$28)</f>
        <v>0</v>
      </c>
      <c r="DF137" s="109">
        <f ca="1">(DF75*c_on*12)+(DF75*(ct_comp10+ca_comp10)*'Time on treatment'!$F$28)</f>
        <v>0</v>
      </c>
      <c r="DG137" s="110">
        <f ca="1">(DG75*c_on*12)+(DG75*(ct_comp10+ca_comp10)*'Time on treatment'!$G$28)</f>
        <v>0</v>
      </c>
    </row>
    <row r="138" spans="2:111">
      <c r="B138" s="87" t="s">
        <v>176</v>
      </c>
      <c r="C138" s="111"/>
      <c r="D138" s="109">
        <f>D76*c_off</f>
        <v>0</v>
      </c>
      <c r="E138" s="109">
        <f>E76*c_off</f>
        <v>0</v>
      </c>
      <c r="F138" s="109">
        <f>F76*c_off</f>
        <v>0</v>
      </c>
      <c r="G138" s="110">
        <f>G76*c_off</f>
        <v>0</v>
      </c>
      <c r="J138" s="87" t="s">
        <v>176</v>
      </c>
      <c r="K138" s="111"/>
      <c r="L138" s="109">
        <f>L76*c_off</f>
        <v>0</v>
      </c>
      <c r="M138" s="109">
        <f>M76*c_off</f>
        <v>0</v>
      </c>
      <c r="N138" s="109">
        <f>N76*c_off</f>
        <v>0</v>
      </c>
      <c r="O138" s="110">
        <f>O76*c_off</f>
        <v>0</v>
      </c>
      <c r="R138" s="87" t="s">
        <v>176</v>
      </c>
      <c r="S138" s="111"/>
      <c r="T138" s="109">
        <f>T76*c_off</f>
        <v>0</v>
      </c>
      <c r="U138" s="109">
        <f>U76*c_off</f>
        <v>0</v>
      </c>
      <c r="V138" s="109">
        <f>V76*c_off</f>
        <v>0</v>
      </c>
      <c r="W138" s="110">
        <f>W76*c_off</f>
        <v>0</v>
      </c>
      <c r="Z138" s="87" t="s">
        <v>176</v>
      </c>
      <c r="AA138" s="111"/>
      <c r="AB138" s="109">
        <f>AB76*c_off</f>
        <v>0</v>
      </c>
      <c r="AC138" s="109">
        <f>AC76*c_off</f>
        <v>0</v>
      </c>
      <c r="AD138" s="109">
        <f>AD76*c_off</f>
        <v>0</v>
      </c>
      <c r="AE138" s="110">
        <f>AE76*c_off</f>
        <v>0</v>
      </c>
      <c r="AH138" s="87" t="s">
        <v>176</v>
      </c>
      <c r="AI138" s="111"/>
      <c r="AJ138" s="109">
        <f>AJ76*c_off</f>
        <v>0</v>
      </c>
      <c r="AK138" s="109">
        <f>AK76*c_off</f>
        <v>0</v>
      </c>
      <c r="AL138" s="109">
        <f>AL76*c_off</f>
        <v>0</v>
      </c>
      <c r="AM138" s="110">
        <f>AM76*c_off</f>
        <v>0</v>
      </c>
      <c r="AP138" s="87" t="s">
        <v>176</v>
      </c>
      <c r="AQ138" s="111"/>
      <c r="AR138" s="109">
        <f>AR76*c_off</f>
        <v>0</v>
      </c>
      <c r="AS138" s="109">
        <f>AS76*c_off</f>
        <v>0</v>
      </c>
      <c r="AT138" s="109">
        <f>AT76*c_off</f>
        <v>0</v>
      </c>
      <c r="AU138" s="110">
        <f>AU76*c_off</f>
        <v>0</v>
      </c>
      <c r="AX138" s="87" t="s">
        <v>176</v>
      </c>
      <c r="AY138" s="111"/>
      <c r="AZ138" s="109">
        <f>AZ76*c_off</f>
        <v>0</v>
      </c>
      <c r="BA138" s="109">
        <f>BA76*c_off</f>
        <v>0</v>
      </c>
      <c r="BB138" s="109">
        <f>BB76*c_off</f>
        <v>0</v>
      </c>
      <c r="BC138" s="110">
        <f>BC76*c_off</f>
        <v>0</v>
      </c>
      <c r="BF138" s="87" t="s">
        <v>176</v>
      </c>
      <c r="BG138" s="111"/>
      <c r="BH138" s="109">
        <f>BH76*c_off</f>
        <v>0</v>
      </c>
      <c r="BI138" s="109">
        <f>BI76*c_off</f>
        <v>0</v>
      </c>
      <c r="BJ138" s="109">
        <f>BJ76*c_off</f>
        <v>0</v>
      </c>
      <c r="BK138" s="110">
        <f>BK76*c_off</f>
        <v>0</v>
      </c>
      <c r="BN138" s="87" t="s">
        <v>176</v>
      </c>
      <c r="BO138" s="111"/>
      <c r="BP138" s="109">
        <f>BP76*c_off</f>
        <v>0</v>
      </c>
      <c r="BQ138" s="109">
        <f>BQ76*c_off</f>
        <v>0</v>
      </c>
      <c r="BR138" s="109">
        <f>BR76*c_off</f>
        <v>0</v>
      </c>
      <c r="BS138" s="110">
        <f>BS76*c_off</f>
        <v>0</v>
      </c>
      <c r="BV138" s="87" t="s">
        <v>176</v>
      </c>
      <c r="BW138" s="111"/>
      <c r="BX138" s="109">
        <f>BX76*c_off</f>
        <v>0</v>
      </c>
      <c r="BY138" s="109">
        <f>BY76*c_off</f>
        <v>0</v>
      </c>
      <c r="BZ138" s="109">
        <f>BZ76*c_off</f>
        <v>0</v>
      </c>
      <c r="CA138" s="110">
        <f>CA76*c_off</f>
        <v>0</v>
      </c>
      <c r="CD138" s="87" t="s">
        <v>176</v>
      </c>
      <c r="CE138" s="111"/>
      <c r="CF138" s="109">
        <f>CF76*c_off</f>
        <v>0</v>
      </c>
      <c r="CG138" s="109">
        <f>CG76*c_off</f>
        <v>0</v>
      </c>
      <c r="CH138" s="109">
        <f>CH76*c_off</f>
        <v>0</v>
      </c>
      <c r="CI138" s="110">
        <f>CI76*c_off</f>
        <v>0</v>
      </c>
      <c r="CL138" s="87" t="s">
        <v>176</v>
      </c>
      <c r="CM138" s="111"/>
      <c r="CN138" s="109">
        <f>CN76*c_off</f>
        <v>0</v>
      </c>
      <c r="CO138" s="109">
        <f>CO76*c_off</f>
        <v>0</v>
      </c>
      <c r="CP138" s="109">
        <f>CP76*c_off</f>
        <v>0</v>
      </c>
      <c r="CQ138" s="110">
        <f>CQ76*c_off</f>
        <v>0</v>
      </c>
      <c r="CT138" s="87" t="s">
        <v>176</v>
      </c>
      <c r="CU138" s="111"/>
      <c r="CV138" s="109">
        <f>CV76*c_off</f>
        <v>0</v>
      </c>
      <c r="CW138" s="109">
        <f>CW76*c_off</f>
        <v>0</v>
      </c>
      <c r="CX138" s="109">
        <f>CX76*c_off</f>
        <v>0</v>
      </c>
      <c r="CY138" s="110">
        <f>CY76*c_off</f>
        <v>0</v>
      </c>
      <c r="DB138" s="87" t="s">
        <v>176</v>
      </c>
      <c r="DC138" s="111"/>
      <c r="DD138" s="109">
        <f>DD76*c_off</f>
        <v>0</v>
      </c>
      <c r="DE138" s="109">
        <f>DE76*c_off</f>
        <v>0</v>
      </c>
      <c r="DF138" s="109">
        <f>DF76*c_off</f>
        <v>0</v>
      </c>
      <c r="DG138" s="110">
        <f>DG76*c_off</f>
        <v>0</v>
      </c>
    </row>
    <row r="139" spans="2:111">
      <c r="B139" s="87" t="s">
        <v>172</v>
      </c>
      <c r="C139" s="111"/>
      <c r="D139" s="111"/>
      <c r="E139" s="109">
        <f ca="1">(E77*c_inicial)+(E77*c_on*12)+(E77*ci_int1)+(E77*(ct_int1+ca_int1)*'Time on treatment'!$D$12)</f>
        <v>0</v>
      </c>
      <c r="F139" s="109">
        <f ca="1">(F77*c_on*12)+(F77*(ct_int1+ca_int1)*'Time on treatment'!$E$12)</f>
        <v>0</v>
      </c>
      <c r="G139" s="110">
        <f ca="1">(G77*c_on*12)+(G77*(ct_int1+ca_int1)*'Time on treatment'!$F$12)</f>
        <v>0</v>
      </c>
      <c r="J139" s="87" t="s">
        <v>172</v>
      </c>
      <c r="K139" s="111"/>
      <c r="L139" s="111"/>
      <c r="M139" s="109">
        <f ca="1">(M77*c_inicial)+(M77*c_on*12)+(M77*ci_int2)+(M77*(ct_int2+ca_int2)*'Time on treatment'!$D$13)</f>
        <v>0</v>
      </c>
      <c r="N139" s="109">
        <f ca="1">(N77*c_on*12)+(N77*(ct_int2+ca_int2)*'Time on treatment'!$E$13)</f>
        <v>0</v>
      </c>
      <c r="O139" s="110">
        <f ca="1">(O77*c_on*12)+(O77*(ct_int2+ca_int2)*'Time on treatment'!$F$13)</f>
        <v>0</v>
      </c>
      <c r="R139" s="87" t="s">
        <v>172</v>
      </c>
      <c r="S139" s="111"/>
      <c r="T139" s="111"/>
      <c r="U139" s="109">
        <f ca="1">(U77*c_inicial)+(U77*c_on*12)+(U77*ci_int3)+(U77*(ct_int3+ca_int3)*'Time on treatment'!$D$14)</f>
        <v>0</v>
      </c>
      <c r="V139" s="109">
        <f ca="1">(V77*c_on*12)+(V77*(ct_int3+ca_int3)*'Time on treatment'!$E$14)</f>
        <v>0</v>
      </c>
      <c r="W139" s="110">
        <f ca="1">(W77*c_on*12)+(W77*(ct_int3+ca_int3)*'Time on treatment'!$F$14)</f>
        <v>0</v>
      </c>
      <c r="Z139" s="87" t="s">
        <v>172</v>
      </c>
      <c r="AA139" s="111"/>
      <c r="AB139" s="111"/>
      <c r="AC139" s="109">
        <f ca="1">(AC77*c_inicial)+(AC77*c_on*12)+(AC77*ci_int4)+(AC77*(ct_int4+ca_int4)*'Time on treatment'!$D$15)</f>
        <v>0</v>
      </c>
      <c r="AD139" s="109">
        <f ca="1">(AD77*c_on*12)+(AD77*(ct_int4+ca_int4)*'Time on treatment'!$E$15)</f>
        <v>0</v>
      </c>
      <c r="AE139" s="110">
        <f ca="1">(AE77*c_on*12)+(AE77*(ct_int4+ca_int4)*'Time on treatment'!$F$15)</f>
        <v>0</v>
      </c>
      <c r="AH139" s="87" t="s">
        <v>172</v>
      </c>
      <c r="AI139" s="111"/>
      <c r="AJ139" s="111"/>
      <c r="AK139" s="109">
        <f ca="1">(AK77*c_inicial)+(AK77*c_on*12)+(AK77*ci_comp1)+(AK77*(ct_comp1+ca_comp1)*'Time on treatment'!$D$19)</f>
        <v>0</v>
      </c>
      <c r="AL139" s="109">
        <f ca="1">(AL77*c_on*12)+(AL77*(ct_comp1+ca_comp1)*'Time on treatment'!$E$19)</f>
        <v>0</v>
      </c>
      <c r="AM139" s="110">
        <f ca="1">(AM77*c_on*12)+(AM77*(ct_comp1+ca_comp1)*'Time on treatment'!$F$19)</f>
        <v>0</v>
      </c>
      <c r="AP139" s="87" t="s">
        <v>172</v>
      </c>
      <c r="AQ139" s="111"/>
      <c r="AR139" s="111"/>
      <c r="AS139" s="109">
        <f ca="1">(AS77*c_inicial)+(AS77*c_on*12)+(AS77*ci_comp2)+(AS77*(ct_comp2+ca_comp2)*'Time on treatment'!$D$20)</f>
        <v>0</v>
      </c>
      <c r="AT139" s="109">
        <f ca="1">(AT77*c_on*12)+(AT77*(ct_comp2+ca_comp2)*'Time on treatment'!$E$20)</f>
        <v>0</v>
      </c>
      <c r="AU139" s="110">
        <f ca="1">(AU77*c_on*12)+(AU77*(ct_comp2+ca_comp2)*'Time on treatment'!$F$20)</f>
        <v>0</v>
      </c>
      <c r="AX139" s="87" t="s">
        <v>172</v>
      </c>
      <c r="AY139" s="111"/>
      <c r="AZ139" s="111"/>
      <c r="BA139" s="109">
        <f ca="1">(BA77*c_inicial)+(BA77*c_on*12)+(BA77*ci_comp3)+(BA77*(ct_comp3+ca_comp3)*'Time on treatment'!$D$21)</f>
        <v>0</v>
      </c>
      <c r="BB139" s="109">
        <f ca="1">(BB77*c_on*12)+(BB77*(ct_comp3+ca_comp3)*'Time on treatment'!$E$21)</f>
        <v>0</v>
      </c>
      <c r="BC139" s="110">
        <f ca="1">(BC77*c_on*12)+(BC77*(ct_comp3+ca_comp3)*'Time on treatment'!$F$21)</f>
        <v>0</v>
      </c>
      <c r="BF139" s="87" t="s">
        <v>172</v>
      </c>
      <c r="BG139" s="111"/>
      <c r="BH139" s="111"/>
      <c r="BI139" s="109">
        <f ca="1">(BI77*c_inicial)+(BI77*c_on*12)+(BI77*ci_comp4)+(BI77*(ct_comp4+ca_comp4)*'Time on treatment'!$D$22)</f>
        <v>0</v>
      </c>
      <c r="BJ139" s="109">
        <f ca="1">(BJ77*c_on*12)+(BJ77*(ct_comp4+ca_comp4)*'Time on treatment'!$E$22)</f>
        <v>0</v>
      </c>
      <c r="BK139" s="110">
        <f ca="1">(BK77*c_on*12)+(BK77*(ct_comp4+ca_comp4)*'Time on treatment'!$F$22)</f>
        <v>0</v>
      </c>
      <c r="BN139" s="87" t="s">
        <v>172</v>
      </c>
      <c r="BO139" s="111"/>
      <c r="BP139" s="111"/>
      <c r="BQ139" s="109">
        <f ca="1">(BQ77*c_inicial)+(BQ77*c_on*12)+(BQ77*ci_comp5)+(BQ77*(ct_comp5+ca_comp5)*'Time on treatment'!$D$23)</f>
        <v>0</v>
      </c>
      <c r="BR139" s="109">
        <f ca="1">(BR77*c_on*12)+(BR77*(ct_comp5+ca_comp5)*'Time on treatment'!$E$23)</f>
        <v>0</v>
      </c>
      <c r="BS139" s="110">
        <f ca="1">(BS77*c_on*12)+(BS77*(ct_comp5+ca_comp5)*'Time on treatment'!$F$23)</f>
        <v>0</v>
      </c>
      <c r="BV139" s="87" t="s">
        <v>172</v>
      </c>
      <c r="BW139" s="111"/>
      <c r="BX139" s="111"/>
      <c r="BY139" s="109">
        <f ca="1">(BY77*c_inicial)+(BY77*c_on*12)+(BY77*ci_comp6)+(BY77*(ct_comp6+ca_comp6)*'Time on treatment'!$D$24)</f>
        <v>0</v>
      </c>
      <c r="BZ139" s="109">
        <f ca="1">(BZ77*c_on*12)+(BZ77*(ct_comp6+ca_comp6)*'Time on treatment'!$E$24)</f>
        <v>0</v>
      </c>
      <c r="CA139" s="110">
        <f ca="1">(CA77*c_on*12)+(CA77*(ct_comp6+ca_comp6)*'Time on treatment'!$F$24)</f>
        <v>0</v>
      </c>
      <c r="CD139" s="87" t="s">
        <v>172</v>
      </c>
      <c r="CE139" s="111"/>
      <c r="CF139" s="111"/>
      <c r="CG139" s="109">
        <f ca="1">(CG77*c_inicial)+(CG77*c_on*12)+(CG77*ci_comp7)+(CG77*(ct_comp7+ca_comp7)*'Time on treatment'!$D$25)</f>
        <v>0</v>
      </c>
      <c r="CH139" s="109">
        <f ca="1">(CH77*c_on*12)+(CH77*(ct_comp7+ca_comp7)*'Time on treatment'!$E$25)</f>
        <v>0</v>
      </c>
      <c r="CI139" s="110">
        <f ca="1">(CI77*c_on*12)+(CI77*(ct_comp7+ca_comp7)*'Time on treatment'!$F$25)</f>
        <v>0</v>
      </c>
      <c r="CL139" s="87" t="s">
        <v>172</v>
      </c>
      <c r="CM139" s="111"/>
      <c r="CN139" s="111"/>
      <c r="CO139" s="109">
        <f ca="1">(CO77*c_inicial)+(CO77*c_on*12)+(CO77*ci_comp8)+(CO77*(ct_comp8+ca_comp8)*'Time on treatment'!$D$26)</f>
        <v>0</v>
      </c>
      <c r="CP139" s="109">
        <f ca="1">(CP77*c_on*12)+(CP77*(ct_comp8+ca_comp8)*'Time on treatment'!$E$26)</f>
        <v>0</v>
      </c>
      <c r="CQ139" s="110">
        <f ca="1">(CQ77*c_on*12)+(CQ77*(ct_comp8+ca_comp8)*'Time on treatment'!$F$26)</f>
        <v>0</v>
      </c>
      <c r="CT139" s="87" t="s">
        <v>172</v>
      </c>
      <c r="CU139" s="111"/>
      <c r="CV139" s="111"/>
      <c r="CW139" s="109">
        <f ca="1">(CW77*c_inicial)+(CW77*c_on*12)+(CW77*ci_comp9)+(CW77*(ct_comp9+ca_comp9)*'Time on treatment'!$D$27)</f>
        <v>0</v>
      </c>
      <c r="CX139" s="109">
        <f ca="1">(CX77*c_on*12)+(CX77*(ct_comp9+ca_comp9)*'Time on treatment'!$E$27)</f>
        <v>0</v>
      </c>
      <c r="CY139" s="110">
        <f ca="1">(CY77*c_on*12)+(CY77*(ct_comp9+ca_comp9)*'Time on treatment'!$F$27)</f>
        <v>0</v>
      </c>
      <c r="DB139" s="87" t="s">
        <v>172</v>
      </c>
      <c r="DC139" s="111"/>
      <c r="DD139" s="111"/>
      <c r="DE139" s="109">
        <f ca="1">(DE77*c_inicial)+(DE77*c_on*12)+(DE77*ci_comp10)+(DE77*(ct_comp10+ca_comp10)*'Time on treatment'!$D$28)</f>
        <v>0</v>
      </c>
      <c r="DF139" s="109">
        <f ca="1">(DF77*c_on*12)+(DF77*(ct_comp10+ca_comp10)*'Time on treatment'!$E$28)</f>
        <v>0</v>
      </c>
      <c r="DG139" s="110">
        <f ca="1">(DG77*c_on*12)+(DG77*(ct_comp10+ca_comp10)*'Time on treatment'!$F$28)</f>
        <v>0</v>
      </c>
    </row>
    <row r="140" spans="2:111">
      <c r="B140" s="87" t="s">
        <v>177</v>
      </c>
      <c r="C140" s="111"/>
      <c r="D140" s="111"/>
      <c r="E140" s="109">
        <f>E78*c_off</f>
        <v>0</v>
      </c>
      <c r="F140" s="109">
        <f>F78*c_off</f>
        <v>0</v>
      </c>
      <c r="G140" s="110">
        <f>G78*c_off</f>
        <v>0</v>
      </c>
      <c r="J140" s="87" t="s">
        <v>177</v>
      </c>
      <c r="K140" s="111"/>
      <c r="L140" s="111"/>
      <c r="M140" s="109">
        <f>M78*c_off</f>
        <v>0</v>
      </c>
      <c r="N140" s="109">
        <f>N78*c_off</f>
        <v>0</v>
      </c>
      <c r="O140" s="110">
        <f>O78*c_off</f>
        <v>0</v>
      </c>
      <c r="R140" s="87" t="s">
        <v>177</v>
      </c>
      <c r="S140" s="111"/>
      <c r="T140" s="111"/>
      <c r="U140" s="109">
        <f>U78*c_off</f>
        <v>0</v>
      </c>
      <c r="V140" s="109">
        <f>V78*c_off</f>
        <v>0</v>
      </c>
      <c r="W140" s="110">
        <f>W78*c_off</f>
        <v>0</v>
      </c>
      <c r="Z140" s="87" t="s">
        <v>177</v>
      </c>
      <c r="AA140" s="111"/>
      <c r="AB140" s="111"/>
      <c r="AC140" s="109">
        <f>AC78*c_off</f>
        <v>0</v>
      </c>
      <c r="AD140" s="109">
        <f>AD78*c_off</f>
        <v>0</v>
      </c>
      <c r="AE140" s="110">
        <f>AE78*c_off</f>
        <v>0</v>
      </c>
      <c r="AH140" s="87" t="s">
        <v>177</v>
      </c>
      <c r="AI140" s="111"/>
      <c r="AJ140" s="111"/>
      <c r="AK140" s="109">
        <f>AK78*c_off</f>
        <v>0</v>
      </c>
      <c r="AL140" s="109">
        <f>AL78*c_off</f>
        <v>0</v>
      </c>
      <c r="AM140" s="110">
        <f>AM78*c_off</f>
        <v>0</v>
      </c>
      <c r="AP140" s="87" t="s">
        <v>177</v>
      </c>
      <c r="AQ140" s="111"/>
      <c r="AR140" s="111"/>
      <c r="AS140" s="109">
        <f>AS78*c_off</f>
        <v>0</v>
      </c>
      <c r="AT140" s="109">
        <f>AT78*c_off</f>
        <v>0</v>
      </c>
      <c r="AU140" s="110">
        <f>AU78*c_off</f>
        <v>0</v>
      </c>
      <c r="AX140" s="87" t="s">
        <v>177</v>
      </c>
      <c r="AY140" s="111"/>
      <c r="AZ140" s="111"/>
      <c r="BA140" s="109">
        <f>BA78*c_off</f>
        <v>0</v>
      </c>
      <c r="BB140" s="109">
        <f>BB78*c_off</f>
        <v>0</v>
      </c>
      <c r="BC140" s="110">
        <f>BC78*c_off</f>
        <v>0</v>
      </c>
      <c r="BF140" s="87" t="s">
        <v>177</v>
      </c>
      <c r="BG140" s="111"/>
      <c r="BH140" s="111"/>
      <c r="BI140" s="109">
        <f>BI78*c_off</f>
        <v>0</v>
      </c>
      <c r="BJ140" s="109">
        <f>BJ78*c_off</f>
        <v>0</v>
      </c>
      <c r="BK140" s="110">
        <f>BK78*c_off</f>
        <v>0</v>
      </c>
      <c r="BN140" s="87" t="s">
        <v>177</v>
      </c>
      <c r="BO140" s="111"/>
      <c r="BP140" s="111"/>
      <c r="BQ140" s="109">
        <f>BQ78*c_off</f>
        <v>0</v>
      </c>
      <c r="BR140" s="109">
        <f>BR78*c_off</f>
        <v>0</v>
      </c>
      <c r="BS140" s="110">
        <f>BS78*c_off</f>
        <v>0</v>
      </c>
      <c r="BV140" s="87" t="s">
        <v>177</v>
      </c>
      <c r="BW140" s="111"/>
      <c r="BX140" s="111"/>
      <c r="BY140" s="109">
        <f>BY78*c_off</f>
        <v>0</v>
      </c>
      <c r="BZ140" s="109">
        <f>BZ78*c_off</f>
        <v>0</v>
      </c>
      <c r="CA140" s="110">
        <f>CA78*c_off</f>
        <v>0</v>
      </c>
      <c r="CD140" s="87" t="s">
        <v>177</v>
      </c>
      <c r="CE140" s="111"/>
      <c r="CF140" s="111"/>
      <c r="CG140" s="109">
        <f>CG78*c_off</f>
        <v>0</v>
      </c>
      <c r="CH140" s="109">
        <f>CH78*c_off</f>
        <v>0</v>
      </c>
      <c r="CI140" s="110">
        <f>CI78*c_off</f>
        <v>0</v>
      </c>
      <c r="CL140" s="87" t="s">
        <v>177</v>
      </c>
      <c r="CM140" s="111"/>
      <c r="CN140" s="111"/>
      <c r="CO140" s="109">
        <f>CO78*c_off</f>
        <v>0</v>
      </c>
      <c r="CP140" s="109">
        <f>CP78*c_off</f>
        <v>0</v>
      </c>
      <c r="CQ140" s="110">
        <f>CQ78*c_off</f>
        <v>0</v>
      </c>
      <c r="CT140" s="87" t="s">
        <v>177</v>
      </c>
      <c r="CU140" s="111"/>
      <c r="CV140" s="111"/>
      <c r="CW140" s="109">
        <f>CW78*c_off</f>
        <v>0</v>
      </c>
      <c r="CX140" s="109">
        <f>CX78*c_off</f>
        <v>0</v>
      </c>
      <c r="CY140" s="110">
        <f>CY78*c_off</f>
        <v>0</v>
      </c>
      <c r="DB140" s="87" t="s">
        <v>177</v>
      </c>
      <c r="DC140" s="111"/>
      <c r="DD140" s="111"/>
      <c r="DE140" s="109">
        <f>DE78*c_off</f>
        <v>0</v>
      </c>
      <c r="DF140" s="109">
        <f>DF78*c_off</f>
        <v>0</v>
      </c>
      <c r="DG140" s="110">
        <f>DG78*c_off</f>
        <v>0</v>
      </c>
    </row>
    <row r="141" spans="2:111">
      <c r="B141" s="87" t="s">
        <v>173</v>
      </c>
      <c r="C141" s="111"/>
      <c r="D141" s="111"/>
      <c r="E141" s="111"/>
      <c r="F141" s="109">
        <f ca="1">(F79*c_inicial)+(F79*c_on*12)+(F79*ci_int1)+(F79*(ct_int1+ca_int1)*'Time on treatment'!$D$12)</f>
        <v>0</v>
      </c>
      <c r="G141" s="110">
        <f ca="1">(G79*c_on*12)+(G79*(ct_int1+ca_int1)*'Time on treatment'!$E$12)</f>
        <v>0</v>
      </c>
      <c r="J141" s="87" t="s">
        <v>173</v>
      </c>
      <c r="K141" s="111"/>
      <c r="L141" s="111"/>
      <c r="M141" s="111"/>
      <c r="N141" s="109">
        <f ca="1">(N79*c_inicial)+(N79*c_on*12)+(N79*ci_int2)+(N79*(ct_int2+ca_int2)*'Time on treatment'!$D$13)</f>
        <v>0</v>
      </c>
      <c r="O141" s="110">
        <f ca="1">(O79*c_on*12)+(O79*(ct_int2+ca_int2)*'Time on treatment'!$E$13)</f>
        <v>0</v>
      </c>
      <c r="R141" s="87" t="s">
        <v>173</v>
      </c>
      <c r="S141" s="111"/>
      <c r="T141" s="111"/>
      <c r="U141" s="111"/>
      <c r="V141" s="109">
        <f ca="1">(V79*c_inicial)+(V79*c_on*12)+(V79*ci_int3)+(V79*(ct_int3+ca_int3)*'Time on treatment'!$D$14)</f>
        <v>0</v>
      </c>
      <c r="W141" s="110">
        <f ca="1">(W79*c_on*12)+(W79*(ct_int3+ca_int3)*'Time on treatment'!$E$14)</f>
        <v>0</v>
      </c>
      <c r="Z141" s="87" t="s">
        <v>173</v>
      </c>
      <c r="AA141" s="111"/>
      <c r="AB141" s="111"/>
      <c r="AC141" s="111"/>
      <c r="AD141" s="109">
        <f ca="1">(AD79*c_inicial)+(AD79*c_on*12)+(AD79*ci_int4)+(AD79*(ct_int4+ca_int4)*'Time on treatment'!$D$15)</f>
        <v>0</v>
      </c>
      <c r="AE141" s="110">
        <f ca="1">(AE79*c_on*12)+(AE79*(ct_int4+ca_int4)*'Time on treatment'!$E$15)</f>
        <v>0</v>
      </c>
      <c r="AH141" s="87" t="s">
        <v>173</v>
      </c>
      <c r="AI141" s="111"/>
      <c r="AJ141" s="111"/>
      <c r="AK141" s="111"/>
      <c r="AL141" s="109">
        <f ca="1">(AL79*c_inicial)+(AL79*c_on*12)+(AL79*ci_comp1)+(AL79*(ct_comp1+ca_comp1)*'Time on treatment'!$D$19)</f>
        <v>0</v>
      </c>
      <c r="AM141" s="110">
        <f ca="1">(AM79*c_on*12)+(AM79*(ct_comp1+ca_comp1)*'Time on treatment'!$E$19)</f>
        <v>0</v>
      </c>
      <c r="AP141" s="87" t="s">
        <v>173</v>
      </c>
      <c r="AQ141" s="111"/>
      <c r="AR141" s="111"/>
      <c r="AS141" s="111"/>
      <c r="AT141" s="109">
        <f ca="1">(AT79*c_inicial)+(AT79*c_on*12)+(AT79*ci_comp2)+(AT79*(ct_comp2+ca_comp2)*'Time on treatment'!$D$20)</f>
        <v>0</v>
      </c>
      <c r="AU141" s="110">
        <f ca="1">(AU79*c_on*12)+(AU79*(ct_comp2+ca_comp2)*'Time on treatment'!$E$20)</f>
        <v>0</v>
      </c>
      <c r="AX141" s="87" t="s">
        <v>173</v>
      </c>
      <c r="AY141" s="111"/>
      <c r="AZ141" s="111"/>
      <c r="BA141" s="111"/>
      <c r="BB141" s="109">
        <f ca="1">(BB79*c_inicial)+(BB79*c_on*12)+(BB79*ci_comp3)+(BB79*(ct_comp3+ca_comp3)*'Time on treatment'!$D$21)</f>
        <v>0</v>
      </c>
      <c r="BC141" s="110">
        <f ca="1">(BC79*c_on*12)+(BC79*(ct_comp3+ca_comp3)*'Time on treatment'!$E$21)</f>
        <v>0</v>
      </c>
      <c r="BF141" s="87" t="s">
        <v>173</v>
      </c>
      <c r="BG141" s="111"/>
      <c r="BH141" s="111"/>
      <c r="BI141" s="111"/>
      <c r="BJ141" s="109">
        <f ca="1">(BJ79*c_inicial)+(BJ79*c_on*12)+(BJ79*ci_comp4)+(BJ79*(ct_comp4+ca_comp4)*'Time on treatment'!$D$22)</f>
        <v>0</v>
      </c>
      <c r="BK141" s="110">
        <f ca="1">(BK79*c_on*12)+(BK79*(ct_comp4+ca_comp4)*'Time on treatment'!$E$22)</f>
        <v>0</v>
      </c>
      <c r="BN141" s="87" t="s">
        <v>173</v>
      </c>
      <c r="BO141" s="111"/>
      <c r="BP141" s="111"/>
      <c r="BQ141" s="111"/>
      <c r="BR141" s="109">
        <f ca="1">(BR79*c_inicial)+(BR79*c_on*12)+(BR79*ci_comp5)+(BR79*(ct_comp5+ca_comp5)*'Time on treatment'!$D$23)</f>
        <v>0</v>
      </c>
      <c r="BS141" s="110">
        <f ca="1">(BS79*c_on*12)+(BS79*(ct_comp5+ca_comp5)*'Time on treatment'!$E$23)</f>
        <v>0</v>
      </c>
      <c r="BV141" s="87" t="s">
        <v>173</v>
      </c>
      <c r="BW141" s="111"/>
      <c r="BX141" s="111"/>
      <c r="BY141" s="111"/>
      <c r="BZ141" s="109">
        <f ca="1">(BZ79*c_inicial)+(BZ79*c_on*12)+(BZ79*ci_comp6)+(BZ79*(ct_comp6+ca_comp6)*'Time on treatment'!$D$24)</f>
        <v>0</v>
      </c>
      <c r="CA141" s="110">
        <f ca="1">(CA79*c_on*12)+(CA79*(ct_comp6+ca_comp6)*'Time on treatment'!$E$24)</f>
        <v>0</v>
      </c>
      <c r="CD141" s="87" t="s">
        <v>173</v>
      </c>
      <c r="CE141" s="111"/>
      <c r="CF141" s="111"/>
      <c r="CG141" s="111"/>
      <c r="CH141" s="109">
        <f ca="1">(CH79*c_inicial)+(CH79*c_on*12)+(CH79*ci_comp7)+(CH79*(ct_comp7+ca_comp7)*'Time on treatment'!$D$25)</f>
        <v>0</v>
      </c>
      <c r="CI141" s="110">
        <f ca="1">(CI79*c_on*12)+(CI79*(ct_comp7+ca_comp7)*'Time on treatment'!$E$25)</f>
        <v>0</v>
      </c>
      <c r="CL141" s="87" t="s">
        <v>173</v>
      </c>
      <c r="CM141" s="111"/>
      <c r="CN141" s="111"/>
      <c r="CO141" s="111"/>
      <c r="CP141" s="109">
        <f ca="1">(CP79*c_inicial)+(CP79*c_on*12)+(CP79*ci_comp8)+(CP79*(ct_comp8+ca_comp8)*'Time on treatment'!$D$26)</f>
        <v>0</v>
      </c>
      <c r="CQ141" s="110">
        <f ca="1">(CQ79*c_on*12)+(CQ79*(ct_comp8+ca_comp8)*'Time on treatment'!$E$26)</f>
        <v>0</v>
      </c>
      <c r="CT141" s="87" t="s">
        <v>173</v>
      </c>
      <c r="CU141" s="111"/>
      <c r="CV141" s="111"/>
      <c r="CW141" s="111"/>
      <c r="CX141" s="109">
        <f ca="1">(CX79*c_inicial)+(CX79*c_on*12)+(CX79*ci_comp9)+(CX79*(ct_comp9+ca_comp9)*'Time on treatment'!$D$27)</f>
        <v>0</v>
      </c>
      <c r="CY141" s="110">
        <f ca="1">(CY79*c_on*12)+(CY79*(ct_comp9+ca_comp9)*'Time on treatment'!$E$27)</f>
        <v>0</v>
      </c>
      <c r="DB141" s="87" t="s">
        <v>173</v>
      </c>
      <c r="DC141" s="111"/>
      <c r="DD141" s="111"/>
      <c r="DE141" s="111"/>
      <c r="DF141" s="109">
        <f ca="1">(DF79*c_inicial)+(DF79*c_on*12)+(DF79*ci_comp10)+(DF79*(ct_comp10+ca_comp10)*'Time on treatment'!$D$28)</f>
        <v>0</v>
      </c>
      <c r="DG141" s="110">
        <f ca="1">(DG79*c_on*12)+(DG79*(ct_comp10+ca_comp10)*'Time on treatment'!$E$28)</f>
        <v>0</v>
      </c>
    </row>
    <row r="142" spans="2:111">
      <c r="B142" s="87" t="s">
        <v>178</v>
      </c>
      <c r="C142" s="111"/>
      <c r="D142" s="111"/>
      <c r="E142" s="111"/>
      <c r="F142" s="109">
        <f>F80*c_off</f>
        <v>0</v>
      </c>
      <c r="G142" s="110">
        <f>G80*c_off</f>
        <v>0</v>
      </c>
      <c r="J142" s="87" t="s">
        <v>178</v>
      </c>
      <c r="K142" s="111"/>
      <c r="L142" s="111"/>
      <c r="M142" s="111"/>
      <c r="N142" s="109">
        <f>N80*c_off</f>
        <v>0</v>
      </c>
      <c r="O142" s="110">
        <f>O80*c_off</f>
        <v>0</v>
      </c>
      <c r="R142" s="87" t="s">
        <v>178</v>
      </c>
      <c r="S142" s="111"/>
      <c r="T142" s="111"/>
      <c r="U142" s="111"/>
      <c r="V142" s="109">
        <f>V80*c_off</f>
        <v>0</v>
      </c>
      <c r="W142" s="110">
        <f>W80*c_off</f>
        <v>0</v>
      </c>
      <c r="Z142" s="87" t="s">
        <v>178</v>
      </c>
      <c r="AA142" s="111"/>
      <c r="AB142" s="111"/>
      <c r="AC142" s="111"/>
      <c r="AD142" s="109">
        <f>AD80*c_off</f>
        <v>0</v>
      </c>
      <c r="AE142" s="110">
        <f>AE80*c_off</f>
        <v>0</v>
      </c>
      <c r="AH142" s="87" t="s">
        <v>178</v>
      </c>
      <c r="AI142" s="111"/>
      <c r="AJ142" s="111"/>
      <c r="AK142" s="111"/>
      <c r="AL142" s="109">
        <f>AL80*c_off</f>
        <v>0</v>
      </c>
      <c r="AM142" s="110">
        <f>AM80*c_off</f>
        <v>0</v>
      </c>
      <c r="AP142" s="87" t="s">
        <v>178</v>
      </c>
      <c r="AQ142" s="111"/>
      <c r="AR142" s="111"/>
      <c r="AS142" s="111"/>
      <c r="AT142" s="109">
        <f>AT80*c_off</f>
        <v>0</v>
      </c>
      <c r="AU142" s="110">
        <f>AU80*c_off</f>
        <v>0</v>
      </c>
      <c r="AX142" s="87" t="s">
        <v>178</v>
      </c>
      <c r="AY142" s="111"/>
      <c r="AZ142" s="111"/>
      <c r="BA142" s="111"/>
      <c r="BB142" s="109">
        <f>BB80*c_off</f>
        <v>0</v>
      </c>
      <c r="BC142" s="110">
        <f>BC80*c_off</f>
        <v>0</v>
      </c>
      <c r="BF142" s="87" t="s">
        <v>178</v>
      </c>
      <c r="BG142" s="111"/>
      <c r="BH142" s="111"/>
      <c r="BI142" s="111"/>
      <c r="BJ142" s="109">
        <f>BJ80*c_off</f>
        <v>0</v>
      </c>
      <c r="BK142" s="110">
        <f>BK80*c_off</f>
        <v>0</v>
      </c>
      <c r="BN142" s="87" t="s">
        <v>178</v>
      </c>
      <c r="BO142" s="111"/>
      <c r="BP142" s="111"/>
      <c r="BQ142" s="111"/>
      <c r="BR142" s="109">
        <f>BR80*c_off</f>
        <v>0</v>
      </c>
      <c r="BS142" s="110">
        <f>BS80*c_off</f>
        <v>0</v>
      </c>
      <c r="BV142" s="87" t="s">
        <v>178</v>
      </c>
      <c r="BW142" s="111"/>
      <c r="BX142" s="111"/>
      <c r="BY142" s="111"/>
      <c r="BZ142" s="109">
        <f>BZ80*c_off</f>
        <v>0</v>
      </c>
      <c r="CA142" s="110">
        <f>CA80*c_off</f>
        <v>0</v>
      </c>
      <c r="CD142" s="87" t="s">
        <v>178</v>
      </c>
      <c r="CE142" s="111"/>
      <c r="CF142" s="111"/>
      <c r="CG142" s="111"/>
      <c r="CH142" s="109">
        <f>CH80*c_off</f>
        <v>0</v>
      </c>
      <c r="CI142" s="110">
        <f>CI80*c_off</f>
        <v>0</v>
      </c>
      <c r="CL142" s="87" t="s">
        <v>178</v>
      </c>
      <c r="CM142" s="111"/>
      <c r="CN142" s="111"/>
      <c r="CO142" s="111"/>
      <c r="CP142" s="109">
        <f>CP80*c_off</f>
        <v>0</v>
      </c>
      <c r="CQ142" s="110">
        <f>CQ80*c_off</f>
        <v>0</v>
      </c>
      <c r="CT142" s="87" t="s">
        <v>178</v>
      </c>
      <c r="CU142" s="111"/>
      <c r="CV142" s="111"/>
      <c r="CW142" s="111"/>
      <c r="CX142" s="109">
        <f>CX80*c_off</f>
        <v>0</v>
      </c>
      <c r="CY142" s="110">
        <f>CY80*c_off</f>
        <v>0</v>
      </c>
      <c r="DB142" s="87" t="s">
        <v>178</v>
      </c>
      <c r="DC142" s="111"/>
      <c r="DD142" s="111"/>
      <c r="DE142" s="111"/>
      <c r="DF142" s="109">
        <f>DF80*c_off</f>
        <v>0</v>
      </c>
      <c r="DG142" s="110">
        <f>DG80*c_off</f>
        <v>0</v>
      </c>
    </row>
    <row r="143" spans="2:111">
      <c r="B143" s="87" t="s">
        <v>174</v>
      </c>
      <c r="C143" s="111"/>
      <c r="D143" s="111"/>
      <c r="E143" s="111"/>
      <c r="F143" s="111"/>
      <c r="G143" s="110">
        <f ca="1">(G81*c_inicial)+(G81*c_on*12)+(G81*ci_int1)+(G81*(ct_int1+ca_int1)*'Time on treatment'!$D$12)</f>
        <v>0</v>
      </c>
      <c r="J143" s="87" t="s">
        <v>174</v>
      </c>
      <c r="K143" s="111"/>
      <c r="L143" s="111"/>
      <c r="M143" s="111"/>
      <c r="N143" s="111"/>
      <c r="O143" s="110">
        <f ca="1">(O81*c_inicial)+(O81*c_on*12)+(O81*ci_int2)+(O81*(ct_int2+ca_int2)*'Time on treatment'!$D$13)</f>
        <v>0</v>
      </c>
      <c r="R143" s="87" t="s">
        <v>174</v>
      </c>
      <c r="S143" s="111"/>
      <c r="T143" s="111"/>
      <c r="U143" s="111"/>
      <c r="V143" s="111"/>
      <c r="W143" s="110">
        <f ca="1">(W81*c_inicial)+(W81*c_on*12)+(W81*ci_int3)+(W81*(ct_int3+ca_int3)*'Time on treatment'!$D$14)</f>
        <v>0</v>
      </c>
      <c r="Z143" s="87" t="s">
        <v>174</v>
      </c>
      <c r="AA143" s="111"/>
      <c r="AB143" s="111"/>
      <c r="AC143" s="111"/>
      <c r="AD143" s="111"/>
      <c r="AE143" s="110">
        <f ca="1">(AE81*c_inicial)+(AE81*c_on*12)+(AE81*ci_int4)+(AE81*(ct_int4+ca_int4)*'Time on treatment'!$D$15)</f>
        <v>0</v>
      </c>
      <c r="AH143" s="87" t="s">
        <v>174</v>
      </c>
      <c r="AI143" s="111"/>
      <c r="AJ143" s="111"/>
      <c r="AK143" s="111"/>
      <c r="AL143" s="111"/>
      <c r="AM143" s="110">
        <f ca="1">(AM81*c_inicial)+(AM81*c_on*12)+(AM81*ci_comp1)+(AM81*(ct_comp1+ca_comp1)*'Time on treatment'!$D$19)</f>
        <v>0</v>
      </c>
      <c r="AP143" s="87" t="s">
        <v>174</v>
      </c>
      <c r="AQ143" s="111"/>
      <c r="AR143" s="111"/>
      <c r="AS143" s="111"/>
      <c r="AT143" s="111"/>
      <c r="AU143" s="110">
        <f ca="1">(AU81*c_inicial)+(AU81*c_on*12)+(AU81*ci_comp2)+(AU81*(ct_comp2+ca_comp2)*'Time on treatment'!$D$20)</f>
        <v>0</v>
      </c>
      <c r="AX143" s="87" t="s">
        <v>174</v>
      </c>
      <c r="AY143" s="111"/>
      <c r="AZ143" s="111"/>
      <c r="BA143" s="111"/>
      <c r="BB143" s="111"/>
      <c r="BC143" s="110">
        <f ca="1">(BC81*c_inicial)+(BC81*c_on*12)+(BC81*ci_comp3)+(BC81*(ct_comp3+ca_comp3)*'Time on treatment'!$D$21)</f>
        <v>0</v>
      </c>
      <c r="BF143" s="87" t="s">
        <v>174</v>
      </c>
      <c r="BG143" s="111"/>
      <c r="BH143" s="111"/>
      <c r="BI143" s="111"/>
      <c r="BJ143" s="111"/>
      <c r="BK143" s="110">
        <f ca="1">(BK81*c_inicial)+(BK81*c_on*12)+(BK81*ci_comp4)+(BK81*(ct_comp4+ca_comp4)*'Time on treatment'!$D$22)</f>
        <v>0</v>
      </c>
      <c r="BN143" s="87" t="s">
        <v>174</v>
      </c>
      <c r="BO143" s="111"/>
      <c r="BP143" s="111"/>
      <c r="BQ143" s="111"/>
      <c r="BR143" s="111"/>
      <c r="BS143" s="110">
        <f ca="1">(BS81*c_inicial)+(BS81*c_on*12)+(BS81*ci_comp5)+(BS81*(ct_comp5+ca_comp5)*'Time on treatment'!$D$23)</f>
        <v>0</v>
      </c>
      <c r="BV143" s="87" t="s">
        <v>174</v>
      </c>
      <c r="BW143" s="111"/>
      <c r="BX143" s="111"/>
      <c r="BY143" s="111"/>
      <c r="BZ143" s="111"/>
      <c r="CA143" s="110">
        <f ca="1">(CA81*c_inicial)+(CA81*c_on*12)+(CA81*ci_comp6)+(CA81*(ct_comp6+ca_comp6)*'Time on treatment'!$D$24)</f>
        <v>0</v>
      </c>
      <c r="CD143" s="87" t="s">
        <v>174</v>
      </c>
      <c r="CE143" s="111"/>
      <c r="CF143" s="111"/>
      <c r="CG143" s="111"/>
      <c r="CH143" s="111"/>
      <c r="CI143" s="110">
        <f ca="1">(CI81*c_inicial)+(CI81*c_on*12)+(CI81*ci_comp7)+(CI81*(ct_comp7+ca_comp7)*'Time on treatment'!$D$25)</f>
        <v>0</v>
      </c>
      <c r="CL143" s="87" t="s">
        <v>174</v>
      </c>
      <c r="CM143" s="111"/>
      <c r="CN143" s="111"/>
      <c r="CO143" s="111"/>
      <c r="CP143" s="111"/>
      <c r="CQ143" s="110">
        <f ca="1">(CQ81*c_inicial)+(CQ81*c_on*12)+(CQ81*ci_comp8)+(CQ81*(ct_comp8+ca_comp8)*'Time on treatment'!$D$26)</f>
        <v>0</v>
      </c>
      <c r="CT143" s="87" t="s">
        <v>174</v>
      </c>
      <c r="CU143" s="111"/>
      <c r="CV143" s="111"/>
      <c r="CW143" s="111"/>
      <c r="CX143" s="111"/>
      <c r="CY143" s="110">
        <f ca="1">(CY81*c_inicial)+(CY81*c_on*12)+(CY81*ci_comp9)+(CY81*(ct_comp9+ca_comp9)*'Time on treatment'!$D$27)</f>
        <v>0</v>
      </c>
      <c r="DB143" s="87" t="s">
        <v>174</v>
      </c>
      <c r="DC143" s="111"/>
      <c r="DD143" s="111"/>
      <c r="DE143" s="111"/>
      <c r="DF143" s="111"/>
      <c r="DG143" s="110">
        <f ca="1">(DG81*c_inicial)+(DG81*c_on*12)+(DG81*ci_comp10)+(DG81*(ct_comp10+ca_comp10)*'Time on treatment'!$D$28)</f>
        <v>0</v>
      </c>
    </row>
    <row r="144" spans="2:111" ht="15" thickBot="1">
      <c r="B144" s="87" t="s">
        <v>179</v>
      </c>
      <c r="C144" s="111"/>
      <c r="D144" s="111"/>
      <c r="E144" s="111"/>
      <c r="F144" s="111"/>
      <c r="G144" s="112">
        <v>0</v>
      </c>
      <c r="J144" s="87" t="s">
        <v>179</v>
      </c>
      <c r="K144" s="111"/>
      <c r="L144" s="111"/>
      <c r="M144" s="111"/>
      <c r="N144" s="111"/>
      <c r="O144" s="112">
        <v>0</v>
      </c>
      <c r="R144" s="87" t="s">
        <v>179</v>
      </c>
      <c r="S144" s="111"/>
      <c r="T144" s="111"/>
      <c r="U144" s="111"/>
      <c r="V144" s="111"/>
      <c r="W144" s="112">
        <v>0</v>
      </c>
      <c r="Z144" s="87" t="s">
        <v>179</v>
      </c>
      <c r="AA144" s="111"/>
      <c r="AB144" s="111"/>
      <c r="AC144" s="111"/>
      <c r="AD144" s="111"/>
      <c r="AE144" s="112">
        <v>0</v>
      </c>
      <c r="AH144" s="87" t="s">
        <v>179</v>
      </c>
      <c r="AI144" s="111"/>
      <c r="AJ144" s="111"/>
      <c r="AK144" s="111"/>
      <c r="AL144" s="111"/>
      <c r="AM144" s="112">
        <v>0</v>
      </c>
      <c r="AP144" s="87" t="s">
        <v>179</v>
      </c>
      <c r="AQ144" s="111"/>
      <c r="AR144" s="111"/>
      <c r="AS144" s="111"/>
      <c r="AT144" s="111"/>
      <c r="AU144" s="112">
        <v>0</v>
      </c>
      <c r="AX144" s="87" t="s">
        <v>179</v>
      </c>
      <c r="AY144" s="111"/>
      <c r="AZ144" s="111"/>
      <c r="BA144" s="111"/>
      <c r="BB144" s="111"/>
      <c r="BC144" s="112">
        <v>0</v>
      </c>
      <c r="BF144" s="87" t="s">
        <v>179</v>
      </c>
      <c r="BG144" s="111"/>
      <c r="BH144" s="111"/>
      <c r="BI144" s="111"/>
      <c r="BJ144" s="111"/>
      <c r="BK144" s="112">
        <v>0</v>
      </c>
      <c r="BN144" s="87" t="s">
        <v>179</v>
      </c>
      <c r="BO144" s="111"/>
      <c r="BP144" s="111"/>
      <c r="BQ144" s="111"/>
      <c r="BR144" s="111"/>
      <c r="BS144" s="112">
        <v>0</v>
      </c>
      <c r="BV144" s="87" t="s">
        <v>179</v>
      </c>
      <c r="BW144" s="111"/>
      <c r="BX144" s="111"/>
      <c r="BY144" s="111"/>
      <c r="BZ144" s="111"/>
      <c r="CA144" s="112">
        <v>0</v>
      </c>
      <c r="CD144" s="87" t="s">
        <v>179</v>
      </c>
      <c r="CE144" s="111"/>
      <c r="CF144" s="111"/>
      <c r="CG144" s="111"/>
      <c r="CH144" s="111"/>
      <c r="CI144" s="112">
        <v>0</v>
      </c>
      <c r="CL144" s="87" t="s">
        <v>179</v>
      </c>
      <c r="CM144" s="111"/>
      <c r="CN144" s="111"/>
      <c r="CO144" s="111"/>
      <c r="CP144" s="111"/>
      <c r="CQ144" s="112">
        <v>0</v>
      </c>
      <c r="CT144" s="87" t="s">
        <v>179</v>
      </c>
      <c r="CU144" s="111"/>
      <c r="CV144" s="111"/>
      <c r="CW144" s="111"/>
      <c r="CX144" s="111"/>
      <c r="CY144" s="112">
        <v>0</v>
      </c>
      <c r="DB144" s="87" t="s">
        <v>179</v>
      </c>
      <c r="DC144" s="111"/>
      <c r="DD144" s="111"/>
      <c r="DE144" s="111"/>
      <c r="DF144" s="111"/>
      <c r="DG144" s="112">
        <v>0</v>
      </c>
    </row>
    <row r="145" spans="2:113" ht="15" thickBot="1">
      <c r="B145" s="85" t="str">
        <f>B131</f>
        <v>PET-CT</v>
      </c>
      <c r="C145" s="113">
        <f ca="1">SUM(C135:C143)</f>
        <v>0</v>
      </c>
      <c r="D145" s="113">
        <f ca="1">SUM(D135:D143)</f>
        <v>0</v>
      </c>
      <c r="E145" s="113">
        <f ca="1">SUM(E135:E143)</f>
        <v>0</v>
      </c>
      <c r="F145" s="113">
        <f ca="1">SUM(F135:F143)</f>
        <v>0</v>
      </c>
      <c r="G145" s="114">
        <f ca="1">SUM(G135:G143)</f>
        <v>0</v>
      </c>
      <c r="J145" s="85">
        <f>J131</f>
        <v>0</v>
      </c>
      <c r="K145" s="113">
        <f ca="1">SUM(K135:K143)</f>
        <v>0</v>
      </c>
      <c r="L145" s="113">
        <f ca="1">SUM(L135:L143)</f>
        <v>0</v>
      </c>
      <c r="M145" s="113">
        <f ca="1">SUM(M135:M143)</f>
        <v>0</v>
      </c>
      <c r="N145" s="113">
        <f ca="1">SUM(N135:N143)</f>
        <v>0</v>
      </c>
      <c r="O145" s="114">
        <f ca="1">SUM(O135:O143)</f>
        <v>0</v>
      </c>
      <c r="R145" s="85">
        <f>R131</f>
        <v>0</v>
      </c>
      <c r="S145" s="113">
        <f ca="1">SUM(S135:S143)</f>
        <v>0</v>
      </c>
      <c r="T145" s="113">
        <f ca="1">SUM(T135:T143)</f>
        <v>0</v>
      </c>
      <c r="U145" s="113">
        <f ca="1">SUM(U135:U143)</f>
        <v>0</v>
      </c>
      <c r="V145" s="113">
        <f ca="1">SUM(V135:V143)</f>
        <v>0</v>
      </c>
      <c r="W145" s="114">
        <f ca="1">SUM(W135:W143)</f>
        <v>0</v>
      </c>
      <c r="Z145" s="85">
        <f>Z131</f>
        <v>0</v>
      </c>
      <c r="AA145" s="113">
        <f ca="1">SUM(AA135:AA143)</f>
        <v>0</v>
      </c>
      <c r="AB145" s="113">
        <f ca="1">SUM(AB135:AB143)</f>
        <v>0</v>
      </c>
      <c r="AC145" s="113">
        <f ca="1">SUM(AC135:AC143)</f>
        <v>0</v>
      </c>
      <c r="AD145" s="113">
        <f ca="1">SUM(AD135:AD143)</f>
        <v>0</v>
      </c>
      <c r="AE145" s="114">
        <f ca="1">SUM(AE135:AE143)</f>
        <v>0</v>
      </c>
      <c r="AH145" s="85" t="str">
        <f>AH131</f>
        <v>CT scan + scintigraphy</v>
      </c>
      <c r="AI145" s="113">
        <f ca="1">SUM(AI135:AI143)</f>
        <v>0</v>
      </c>
      <c r="AJ145" s="113">
        <f ca="1">SUM(AJ135:AJ143)</f>
        <v>0</v>
      </c>
      <c r="AK145" s="113">
        <f ca="1">SUM(AK135:AK143)</f>
        <v>0</v>
      </c>
      <c r="AL145" s="113">
        <f ca="1">SUM(AL135:AL143)</f>
        <v>0</v>
      </c>
      <c r="AM145" s="114">
        <f ca="1">SUM(AM135:AM143)</f>
        <v>0</v>
      </c>
      <c r="AP145" s="85">
        <f>AP131</f>
        <v>0</v>
      </c>
      <c r="AQ145" s="113">
        <f ca="1">SUM(AQ135:AQ143)</f>
        <v>0</v>
      </c>
      <c r="AR145" s="113">
        <f ca="1">SUM(AR135:AR143)</f>
        <v>0</v>
      </c>
      <c r="AS145" s="113">
        <f ca="1">SUM(AS135:AS143)</f>
        <v>0</v>
      </c>
      <c r="AT145" s="113">
        <f ca="1">SUM(AT135:AT143)</f>
        <v>0</v>
      </c>
      <c r="AU145" s="114">
        <f ca="1">SUM(AU135:AU143)</f>
        <v>0</v>
      </c>
      <c r="AX145" s="85">
        <f>AX131</f>
        <v>0</v>
      </c>
      <c r="AY145" s="113">
        <f ca="1">SUM(AY135:AY143)</f>
        <v>0</v>
      </c>
      <c r="AZ145" s="113">
        <f ca="1">SUM(AZ135:AZ143)</f>
        <v>0</v>
      </c>
      <c r="BA145" s="113">
        <f ca="1">SUM(BA135:BA143)</f>
        <v>0</v>
      </c>
      <c r="BB145" s="113">
        <f ca="1">SUM(BB135:BB143)</f>
        <v>0</v>
      </c>
      <c r="BC145" s="114">
        <f ca="1">SUM(BC135:BC143)</f>
        <v>0</v>
      </c>
      <c r="BF145" s="85">
        <f>BF131</f>
        <v>0</v>
      </c>
      <c r="BG145" s="113">
        <f ca="1">SUM(BG135:BG143)</f>
        <v>0</v>
      </c>
      <c r="BH145" s="113">
        <f ca="1">SUM(BH135:BH143)</f>
        <v>0</v>
      </c>
      <c r="BI145" s="113">
        <f ca="1">SUM(BI135:BI143)</f>
        <v>0</v>
      </c>
      <c r="BJ145" s="113">
        <f ca="1">SUM(BJ135:BJ143)</f>
        <v>0</v>
      </c>
      <c r="BK145" s="114">
        <f ca="1">SUM(BK135:BK143)</f>
        <v>0</v>
      </c>
      <c r="BN145" s="85">
        <f>BN131</f>
        <v>0</v>
      </c>
      <c r="BO145" s="113">
        <f ca="1">SUM(BO135:BO143)</f>
        <v>0</v>
      </c>
      <c r="BP145" s="113">
        <f ca="1">SUM(BP135:BP143)</f>
        <v>0</v>
      </c>
      <c r="BQ145" s="113">
        <f ca="1">SUM(BQ135:BQ143)</f>
        <v>0</v>
      </c>
      <c r="BR145" s="113">
        <f ca="1">SUM(BR135:BR143)</f>
        <v>0</v>
      </c>
      <c r="BS145" s="114">
        <f ca="1">SUM(BS135:BS143)</f>
        <v>0</v>
      </c>
      <c r="BV145" s="85">
        <f>BV131</f>
        <v>0</v>
      </c>
      <c r="BW145" s="113">
        <f ca="1">SUM(BW135:BW143)</f>
        <v>0</v>
      </c>
      <c r="BX145" s="113">
        <f ca="1">SUM(BX135:BX143)</f>
        <v>0</v>
      </c>
      <c r="BY145" s="113">
        <f ca="1">SUM(BY135:BY143)</f>
        <v>0</v>
      </c>
      <c r="BZ145" s="113">
        <f ca="1">SUM(BZ135:BZ143)</f>
        <v>0</v>
      </c>
      <c r="CA145" s="114">
        <f ca="1">SUM(CA135:CA143)</f>
        <v>0</v>
      </c>
      <c r="CD145" s="85">
        <f>CD131</f>
        <v>0</v>
      </c>
      <c r="CE145" s="113">
        <f ca="1">SUM(CE135:CE143)</f>
        <v>0</v>
      </c>
      <c r="CF145" s="113">
        <f ca="1">SUM(CF135:CF143)</f>
        <v>0</v>
      </c>
      <c r="CG145" s="113">
        <f ca="1">SUM(CG135:CG143)</f>
        <v>0</v>
      </c>
      <c r="CH145" s="113">
        <f ca="1">SUM(CH135:CH143)</f>
        <v>0</v>
      </c>
      <c r="CI145" s="114">
        <f ca="1">SUM(CI135:CI143)</f>
        <v>0</v>
      </c>
      <c r="CL145" s="85">
        <f>CL131</f>
        <v>0</v>
      </c>
      <c r="CM145" s="113">
        <f ca="1">SUM(CM135:CM143)</f>
        <v>0</v>
      </c>
      <c r="CN145" s="113">
        <f ca="1">SUM(CN135:CN143)</f>
        <v>0</v>
      </c>
      <c r="CO145" s="113">
        <f ca="1">SUM(CO135:CO143)</f>
        <v>0</v>
      </c>
      <c r="CP145" s="113">
        <f ca="1">SUM(CP135:CP143)</f>
        <v>0</v>
      </c>
      <c r="CQ145" s="114">
        <f ca="1">SUM(CQ135:CQ143)</f>
        <v>0</v>
      </c>
      <c r="CT145" s="85">
        <f>CT131</f>
        <v>0</v>
      </c>
      <c r="CU145" s="113">
        <f ca="1">SUM(CU135:CU143)</f>
        <v>0</v>
      </c>
      <c r="CV145" s="113">
        <f ca="1">SUM(CV135:CV143)</f>
        <v>0</v>
      </c>
      <c r="CW145" s="113">
        <f ca="1">SUM(CW135:CW143)</f>
        <v>0</v>
      </c>
      <c r="CX145" s="113">
        <f ca="1">SUM(CX135:CX143)</f>
        <v>0</v>
      </c>
      <c r="CY145" s="114">
        <f ca="1">SUM(CY135:CY143)</f>
        <v>0</v>
      </c>
      <c r="DB145" s="85">
        <f>DB131</f>
        <v>0</v>
      </c>
      <c r="DC145" s="113">
        <f ca="1">SUM(DC135:DC143)</f>
        <v>0</v>
      </c>
      <c r="DD145" s="113">
        <f ca="1">SUM(DD135:DD143)</f>
        <v>0</v>
      </c>
      <c r="DE145" s="113">
        <f ca="1">SUM(DE135:DE143)</f>
        <v>0</v>
      </c>
      <c r="DF145" s="113">
        <f ca="1">SUM(DF135:DF143)</f>
        <v>0</v>
      </c>
      <c r="DG145" s="114">
        <f ca="1">SUM(DG135:DG143)</f>
        <v>0</v>
      </c>
    </row>
    <row r="148" spans="2:113" s="81" customFormat="1">
      <c r="B148" s="120"/>
      <c r="C148" s="120"/>
      <c r="D148" s="120"/>
      <c r="E148" s="120"/>
      <c r="F148" s="120"/>
      <c r="G148" s="120"/>
      <c r="H148" s="82"/>
      <c r="I148" s="82"/>
      <c r="J148" s="120"/>
      <c r="K148" s="120"/>
      <c r="L148" s="120"/>
      <c r="M148" s="120"/>
      <c r="N148" s="120"/>
      <c r="O148" s="120"/>
      <c r="P148" s="82"/>
      <c r="Q148" s="82"/>
      <c r="R148" s="120"/>
      <c r="S148" s="120"/>
      <c r="T148" s="120"/>
      <c r="U148" s="120"/>
      <c r="V148" s="120"/>
      <c r="W148" s="120"/>
      <c r="X148" s="82"/>
      <c r="Y148" s="82"/>
      <c r="Z148" s="120"/>
      <c r="AA148" s="120"/>
      <c r="AB148" s="120"/>
      <c r="AC148" s="120"/>
      <c r="AD148" s="120"/>
      <c r="AE148" s="120"/>
      <c r="AF148" s="82"/>
      <c r="AG148" s="82"/>
      <c r="AH148" s="120"/>
      <c r="AI148" s="120"/>
      <c r="AJ148" s="120"/>
      <c r="AK148" s="120"/>
      <c r="AL148" s="120"/>
      <c r="AM148" s="120"/>
      <c r="AN148" s="82"/>
      <c r="AO148" s="82"/>
      <c r="AP148" s="120"/>
      <c r="AQ148" s="120"/>
      <c r="AR148" s="120"/>
      <c r="AS148" s="120"/>
      <c r="AT148" s="120"/>
      <c r="AU148" s="120"/>
      <c r="AV148" s="82"/>
      <c r="AW148" s="82"/>
      <c r="AX148" s="120"/>
      <c r="AY148" s="120"/>
      <c r="AZ148" s="120"/>
      <c r="BA148" s="120"/>
      <c r="BB148" s="120"/>
      <c r="BC148" s="120"/>
      <c r="BD148" s="82"/>
      <c r="BE148" s="82"/>
      <c r="BF148" s="120"/>
      <c r="BG148" s="120"/>
      <c r="BH148" s="120"/>
      <c r="BI148" s="120"/>
      <c r="BJ148" s="120"/>
      <c r="BK148" s="120"/>
      <c r="BL148" s="82"/>
      <c r="BM148" s="82"/>
      <c r="BN148" s="120"/>
      <c r="BO148" s="120"/>
      <c r="BP148" s="120"/>
      <c r="BQ148" s="120"/>
      <c r="BR148" s="120"/>
      <c r="BS148" s="120"/>
      <c r="BT148" s="82"/>
      <c r="BU148" s="82"/>
      <c r="BV148" s="120"/>
      <c r="BW148" s="120"/>
      <c r="BX148" s="120"/>
      <c r="BY148" s="120"/>
      <c r="BZ148" s="120"/>
      <c r="CA148" s="120"/>
      <c r="CB148" s="82"/>
      <c r="CC148" s="82"/>
      <c r="CD148" s="120"/>
      <c r="CE148" s="120"/>
      <c r="CF148" s="120"/>
      <c r="CG148" s="120"/>
      <c r="CH148" s="120"/>
      <c r="CI148" s="120"/>
      <c r="CJ148" s="82"/>
      <c r="CK148" s="82"/>
      <c r="CL148" s="120"/>
      <c r="CM148" s="120"/>
      <c r="CN148" s="120"/>
      <c r="CO148" s="120"/>
      <c r="CP148" s="120"/>
      <c r="CQ148" s="120"/>
      <c r="CR148" s="82"/>
      <c r="CS148" s="82"/>
      <c r="CT148" s="120"/>
      <c r="CU148" s="120"/>
      <c r="CV148" s="120"/>
      <c r="CW148" s="120"/>
      <c r="CX148" s="120"/>
      <c r="CY148" s="120"/>
      <c r="CZ148" s="82"/>
      <c r="DA148" s="82"/>
      <c r="DB148" s="120"/>
      <c r="DC148" s="120"/>
      <c r="DD148" s="120"/>
      <c r="DE148" s="120"/>
      <c r="DF148" s="120"/>
      <c r="DG148" s="120"/>
      <c r="DH148" s="82"/>
      <c r="DI148" s="82"/>
    </row>
    <row r="149" spans="2:113" s="76" customFormat="1" ht="21">
      <c r="B149" s="502" t="str">
        <f>intervencao1</f>
        <v>PET-CT</v>
      </c>
      <c r="C149" s="502"/>
      <c r="D149" s="502"/>
      <c r="E149" s="502"/>
      <c r="F149" s="502"/>
      <c r="G149" s="502"/>
      <c r="H149" s="502"/>
      <c r="I149" s="77"/>
      <c r="J149" s="502">
        <f>intervencao2</f>
        <v>0</v>
      </c>
      <c r="K149" s="502"/>
      <c r="L149" s="502"/>
      <c r="M149" s="502"/>
      <c r="N149" s="502"/>
      <c r="O149" s="502"/>
      <c r="P149" s="502"/>
      <c r="Q149" s="77"/>
      <c r="R149" s="502">
        <f>intervencao3</f>
        <v>0</v>
      </c>
      <c r="S149" s="502"/>
      <c r="T149" s="502"/>
      <c r="U149" s="502"/>
      <c r="V149" s="502"/>
      <c r="W149" s="502"/>
      <c r="X149" s="502"/>
      <c r="Y149" s="77"/>
      <c r="Z149" s="502">
        <f>intervencao4</f>
        <v>0</v>
      </c>
      <c r="AA149" s="502"/>
      <c r="AB149" s="502"/>
      <c r="AC149" s="502"/>
      <c r="AD149" s="502"/>
      <c r="AE149" s="502"/>
      <c r="AF149" s="502"/>
      <c r="AG149" s="77"/>
      <c r="AH149" s="502" t="str">
        <f>comparador1</f>
        <v>CT scan + scintigraphy</v>
      </c>
      <c r="AI149" s="502"/>
      <c r="AJ149" s="502"/>
      <c r="AK149" s="502"/>
      <c r="AL149" s="502"/>
      <c r="AM149" s="502"/>
      <c r="AN149" s="502"/>
      <c r="AO149" s="77"/>
      <c r="AP149" s="502">
        <f>comparador2</f>
        <v>0</v>
      </c>
      <c r="AQ149" s="502"/>
      <c r="AR149" s="502"/>
      <c r="AS149" s="502"/>
      <c r="AT149" s="502"/>
      <c r="AU149" s="502"/>
      <c r="AV149" s="502"/>
      <c r="AW149" s="77"/>
      <c r="AX149" s="502">
        <f>comparador3</f>
        <v>0</v>
      </c>
      <c r="AY149" s="502"/>
      <c r="AZ149" s="502"/>
      <c r="BA149" s="502"/>
      <c r="BB149" s="502"/>
      <c r="BC149" s="502"/>
      <c r="BD149" s="502"/>
      <c r="BE149" s="77"/>
      <c r="BF149" s="502">
        <f>comparador4</f>
        <v>0</v>
      </c>
      <c r="BG149" s="502"/>
      <c r="BH149" s="502"/>
      <c r="BI149" s="502"/>
      <c r="BJ149" s="502"/>
      <c r="BK149" s="502"/>
      <c r="BL149" s="502"/>
      <c r="BM149" s="77"/>
      <c r="BN149" s="502">
        <f>comparador5</f>
        <v>0</v>
      </c>
      <c r="BO149" s="502"/>
      <c r="BP149" s="502"/>
      <c r="BQ149" s="502"/>
      <c r="BR149" s="502"/>
      <c r="BS149" s="502"/>
      <c r="BT149" s="502"/>
      <c r="BU149" s="77"/>
      <c r="BV149" s="502">
        <f>comparador6</f>
        <v>0</v>
      </c>
      <c r="BW149" s="502"/>
      <c r="BX149" s="502"/>
      <c r="BY149" s="502"/>
      <c r="BZ149" s="502"/>
      <c r="CA149" s="502"/>
      <c r="CB149" s="502"/>
      <c r="CC149" s="77"/>
      <c r="CD149" s="502">
        <f>comparador7</f>
        <v>0</v>
      </c>
      <c r="CE149" s="502"/>
      <c r="CF149" s="502"/>
      <c r="CG149" s="502"/>
      <c r="CH149" s="502"/>
      <c r="CI149" s="502"/>
      <c r="CJ149" s="502"/>
      <c r="CK149" s="77"/>
      <c r="CL149" s="502">
        <f>comparador8</f>
        <v>0</v>
      </c>
      <c r="CM149" s="502"/>
      <c r="CN149" s="502"/>
      <c r="CO149" s="502"/>
      <c r="CP149" s="502"/>
      <c r="CQ149" s="502"/>
      <c r="CR149" s="502"/>
      <c r="CS149" s="77"/>
      <c r="CT149" s="502">
        <f>comparador9</f>
        <v>0</v>
      </c>
      <c r="CU149" s="502"/>
      <c r="CV149" s="502"/>
      <c r="CW149" s="502"/>
      <c r="CX149" s="502"/>
      <c r="CY149" s="502"/>
      <c r="CZ149" s="502"/>
      <c r="DA149" s="77"/>
      <c r="DB149" s="502">
        <f>comparador10</f>
        <v>0</v>
      </c>
      <c r="DC149" s="502"/>
      <c r="DD149" s="502"/>
      <c r="DE149" s="502"/>
      <c r="DF149" s="502"/>
      <c r="DG149" s="502"/>
      <c r="DH149" s="502"/>
      <c r="DI149" s="77"/>
    </row>
    <row r="150" spans="2:113" ht="18">
      <c r="B150" s="503" t="s">
        <v>182</v>
      </c>
      <c r="C150" s="503"/>
      <c r="D150" s="503"/>
      <c r="E150" s="503"/>
      <c r="F150" s="503"/>
      <c r="G150" s="503"/>
      <c r="H150" s="71"/>
      <c r="I150" s="71"/>
      <c r="J150" s="503" t="s">
        <v>182</v>
      </c>
      <c r="K150" s="503"/>
      <c r="L150" s="503"/>
      <c r="M150" s="503"/>
      <c r="N150" s="503"/>
      <c r="O150" s="503"/>
      <c r="P150" s="71"/>
      <c r="Q150" s="71"/>
      <c r="R150" s="503" t="s">
        <v>182</v>
      </c>
      <c r="S150" s="503"/>
      <c r="T150" s="503"/>
      <c r="U150" s="503"/>
      <c r="V150" s="503"/>
      <c r="W150" s="503"/>
      <c r="X150" s="71"/>
      <c r="Y150" s="71"/>
      <c r="Z150" s="503" t="s">
        <v>182</v>
      </c>
      <c r="AA150" s="503"/>
      <c r="AB150" s="503"/>
      <c r="AC150" s="503"/>
      <c r="AD150" s="503"/>
      <c r="AE150" s="503"/>
      <c r="AF150" s="71"/>
      <c r="AG150" s="71"/>
      <c r="AH150" s="503" t="s">
        <v>182</v>
      </c>
      <c r="AI150" s="503"/>
      <c r="AJ150" s="503"/>
      <c r="AK150" s="503"/>
      <c r="AL150" s="503"/>
      <c r="AM150" s="503"/>
      <c r="AN150" s="71"/>
      <c r="AO150" s="71"/>
      <c r="AP150" s="503" t="s">
        <v>182</v>
      </c>
      <c r="AQ150" s="503"/>
      <c r="AR150" s="503"/>
      <c r="AS150" s="503"/>
      <c r="AT150" s="503"/>
      <c r="AU150" s="503"/>
      <c r="AV150" s="71"/>
      <c r="AW150" s="71"/>
      <c r="AX150" s="503" t="s">
        <v>182</v>
      </c>
      <c r="AY150" s="503"/>
      <c r="AZ150" s="503"/>
      <c r="BA150" s="503"/>
      <c r="BB150" s="503"/>
      <c r="BC150" s="503"/>
      <c r="BD150" s="71"/>
      <c r="BE150" s="71"/>
      <c r="BF150" s="503" t="s">
        <v>182</v>
      </c>
      <c r="BG150" s="503"/>
      <c r="BH150" s="503"/>
      <c r="BI150" s="503"/>
      <c r="BJ150" s="503"/>
      <c r="BK150" s="503"/>
      <c r="BL150" s="71"/>
      <c r="BM150" s="71"/>
      <c r="BN150" s="503" t="s">
        <v>182</v>
      </c>
      <c r="BO150" s="503"/>
      <c r="BP150" s="503"/>
      <c r="BQ150" s="503"/>
      <c r="BR150" s="503"/>
      <c r="BS150" s="503"/>
      <c r="BT150" s="71"/>
      <c r="BU150" s="71"/>
      <c r="BV150" s="503" t="s">
        <v>182</v>
      </c>
      <c r="BW150" s="503"/>
      <c r="BX150" s="503"/>
      <c r="BY150" s="503"/>
      <c r="BZ150" s="503"/>
      <c r="CA150" s="503"/>
      <c r="CB150" s="71"/>
      <c r="CC150" s="71"/>
      <c r="CD150" s="503" t="s">
        <v>182</v>
      </c>
      <c r="CE150" s="503"/>
      <c r="CF150" s="503"/>
      <c r="CG150" s="503"/>
      <c r="CH150" s="503"/>
      <c r="CI150" s="503"/>
      <c r="CJ150" s="71"/>
      <c r="CK150" s="71"/>
      <c r="CL150" s="503" t="s">
        <v>182</v>
      </c>
      <c r="CM150" s="503"/>
      <c r="CN150" s="503"/>
      <c r="CO150" s="503"/>
      <c r="CP150" s="503"/>
      <c r="CQ150" s="503"/>
      <c r="CR150" s="71"/>
      <c r="CS150" s="71"/>
      <c r="CT150" s="503" t="s">
        <v>182</v>
      </c>
      <c r="CU150" s="503"/>
      <c r="CV150" s="503"/>
      <c r="CW150" s="503"/>
      <c r="CX150" s="503"/>
      <c r="CY150" s="503"/>
      <c r="CZ150" s="71"/>
      <c r="DA150" s="71"/>
      <c r="DB150" s="503" t="s">
        <v>182</v>
      </c>
      <c r="DC150" s="503"/>
      <c r="DD150" s="503"/>
      <c r="DE150" s="503"/>
      <c r="DF150" s="503"/>
      <c r="DG150" s="503"/>
      <c r="DH150" s="71"/>
    </row>
    <row r="151" spans="2:113" ht="15" thickBot="1">
      <c r="B151" s="83"/>
      <c r="C151" s="83"/>
      <c r="D151" s="83"/>
      <c r="E151" s="83"/>
      <c r="F151" s="83"/>
      <c r="G151" s="83"/>
      <c r="J151" s="83"/>
      <c r="K151" s="83"/>
      <c r="L151" s="83"/>
      <c r="M151" s="83"/>
      <c r="N151" s="83"/>
      <c r="O151" s="83"/>
      <c r="R151" s="83"/>
      <c r="S151" s="83"/>
      <c r="T151" s="83"/>
      <c r="U151" s="83"/>
      <c r="V151" s="83"/>
      <c r="W151" s="83"/>
      <c r="Z151" s="83"/>
      <c r="AA151" s="83"/>
      <c r="AB151" s="83"/>
      <c r="AC151" s="83"/>
      <c r="AD151" s="83"/>
      <c r="AE151" s="83"/>
      <c r="AH151" s="83"/>
      <c r="AI151" s="83"/>
      <c r="AJ151" s="83"/>
      <c r="AK151" s="83"/>
      <c r="AL151" s="83"/>
      <c r="AM151" s="83"/>
      <c r="AP151" s="83"/>
      <c r="AQ151" s="83"/>
      <c r="AR151" s="83"/>
      <c r="AS151" s="83"/>
      <c r="AT151" s="83"/>
      <c r="AU151" s="83"/>
      <c r="AX151" s="83"/>
      <c r="AY151" s="83"/>
      <c r="AZ151" s="83"/>
      <c r="BA151" s="83"/>
      <c r="BB151" s="83"/>
      <c r="BC151" s="83"/>
      <c r="BF151" s="83"/>
      <c r="BG151" s="83"/>
      <c r="BH151" s="83"/>
      <c r="BI151" s="83"/>
      <c r="BJ151" s="83"/>
      <c r="BK151" s="83"/>
      <c r="BN151" s="83"/>
      <c r="BO151" s="83"/>
      <c r="BP151" s="83"/>
      <c r="BQ151" s="83"/>
      <c r="BR151" s="83"/>
      <c r="BS151" s="83"/>
      <c r="BV151" s="83"/>
      <c r="BW151" s="83"/>
      <c r="BX151" s="83"/>
      <c r="BY151" s="83"/>
      <c r="BZ151" s="83"/>
      <c r="CA151" s="83"/>
      <c r="CD151" s="83"/>
      <c r="CE151" s="83"/>
      <c r="CF151" s="83"/>
      <c r="CG151" s="83"/>
      <c r="CH151" s="83"/>
      <c r="CI151" s="83"/>
      <c r="CL151" s="83"/>
      <c r="CM151" s="83"/>
      <c r="CN151" s="83"/>
      <c r="CO151" s="83"/>
      <c r="CP151" s="83"/>
      <c r="CQ151" s="83"/>
      <c r="CT151" s="83"/>
      <c r="CU151" s="83"/>
      <c r="CV151" s="83"/>
      <c r="CW151" s="83"/>
      <c r="CX151" s="83"/>
      <c r="CY151" s="83"/>
      <c r="DB151" s="83"/>
      <c r="DC151" s="83"/>
      <c r="DD151" s="83"/>
      <c r="DE151" s="83"/>
      <c r="DF151" s="83"/>
      <c r="DG151" s="83"/>
    </row>
    <row r="152" spans="2:113" ht="15" thickBot="1">
      <c r="B152" s="504" t="str">
        <f>B91</f>
        <v>Without PET-CT</v>
      </c>
      <c r="C152" s="505"/>
      <c r="D152" s="505"/>
      <c r="E152" s="505"/>
      <c r="F152" s="505"/>
      <c r="G152" s="506"/>
      <c r="J152" s="504" t="str">
        <f>J91</f>
        <v>Without PET-CT</v>
      </c>
      <c r="K152" s="505"/>
      <c r="L152" s="505"/>
      <c r="M152" s="505"/>
      <c r="N152" s="505"/>
      <c r="O152" s="506"/>
      <c r="R152" s="504" t="str">
        <f>R91</f>
        <v>Without PET-CT</v>
      </c>
      <c r="S152" s="505"/>
      <c r="T152" s="505"/>
      <c r="U152" s="505"/>
      <c r="V152" s="505"/>
      <c r="W152" s="506"/>
      <c r="Z152" s="504" t="str">
        <f>Z91</f>
        <v>Without PET-CT</v>
      </c>
      <c r="AA152" s="505"/>
      <c r="AB152" s="505"/>
      <c r="AC152" s="505"/>
      <c r="AD152" s="505"/>
      <c r="AE152" s="506"/>
      <c r="AH152" s="504" t="str">
        <f>AH91</f>
        <v>Without PET-CT</v>
      </c>
      <c r="AI152" s="505"/>
      <c r="AJ152" s="505"/>
      <c r="AK152" s="505"/>
      <c r="AL152" s="505"/>
      <c r="AM152" s="506"/>
      <c r="AP152" s="504" t="str">
        <f>AP91</f>
        <v>Without PET-CT</v>
      </c>
      <c r="AQ152" s="505"/>
      <c r="AR152" s="505"/>
      <c r="AS152" s="505"/>
      <c r="AT152" s="505"/>
      <c r="AU152" s="506"/>
      <c r="AX152" s="504" t="str">
        <f>AX91</f>
        <v>Without PET-CT</v>
      </c>
      <c r="AY152" s="505"/>
      <c r="AZ152" s="505"/>
      <c r="BA152" s="505"/>
      <c r="BB152" s="505"/>
      <c r="BC152" s="506"/>
      <c r="BF152" s="504" t="str">
        <f>BF91</f>
        <v>Without PET-CT</v>
      </c>
      <c r="BG152" s="505"/>
      <c r="BH152" s="505"/>
      <c r="BI152" s="505"/>
      <c r="BJ152" s="505"/>
      <c r="BK152" s="506"/>
      <c r="BN152" s="504" t="str">
        <f>BN91</f>
        <v>Without PET-CT</v>
      </c>
      <c r="BO152" s="505"/>
      <c r="BP152" s="505"/>
      <c r="BQ152" s="505"/>
      <c r="BR152" s="505"/>
      <c r="BS152" s="506"/>
      <c r="BV152" s="504" t="str">
        <f>BV91</f>
        <v>Without PET-CT</v>
      </c>
      <c r="BW152" s="505"/>
      <c r="BX152" s="505"/>
      <c r="BY152" s="505"/>
      <c r="BZ152" s="505"/>
      <c r="CA152" s="506"/>
      <c r="CD152" s="504" t="str">
        <f>CD91</f>
        <v>Without PET-CT</v>
      </c>
      <c r="CE152" s="505"/>
      <c r="CF152" s="505"/>
      <c r="CG152" s="505"/>
      <c r="CH152" s="505"/>
      <c r="CI152" s="506"/>
      <c r="CL152" s="504" t="str">
        <f>CL91</f>
        <v>Without PET-CT</v>
      </c>
      <c r="CM152" s="505"/>
      <c r="CN152" s="505"/>
      <c r="CO152" s="505"/>
      <c r="CP152" s="505"/>
      <c r="CQ152" s="506"/>
      <c r="CT152" s="504" t="str">
        <f>CT91</f>
        <v>Without PET-CT</v>
      </c>
      <c r="CU152" s="505"/>
      <c r="CV152" s="505"/>
      <c r="CW152" s="505"/>
      <c r="CX152" s="505"/>
      <c r="CY152" s="506"/>
      <c r="DB152" s="504" t="str">
        <f>DB91</f>
        <v>Without PET-CT</v>
      </c>
      <c r="DC152" s="505"/>
      <c r="DD152" s="505"/>
      <c r="DE152" s="505"/>
      <c r="DF152" s="505"/>
      <c r="DG152" s="506"/>
    </row>
    <row r="153" spans="2:113">
      <c r="B153" s="84"/>
      <c r="C153" s="101">
        <f>C92</f>
        <v>2024</v>
      </c>
      <c r="D153" s="101">
        <f t="shared" ref="D153:F153" si="328">D92</f>
        <v>2025</v>
      </c>
      <c r="E153" s="101">
        <f t="shared" si="328"/>
        <v>2026</v>
      </c>
      <c r="F153" s="101">
        <f t="shared" si="328"/>
        <v>2027</v>
      </c>
      <c r="G153" s="102">
        <f>G92</f>
        <v>2028</v>
      </c>
      <c r="J153" s="84"/>
      <c r="K153" s="101">
        <f>K92</f>
        <v>2024</v>
      </c>
      <c r="L153" s="101">
        <f t="shared" ref="L153:N153" si="329">L92</f>
        <v>2025</v>
      </c>
      <c r="M153" s="101">
        <f t="shared" si="329"/>
        <v>2026</v>
      </c>
      <c r="N153" s="101">
        <f t="shared" si="329"/>
        <v>2027</v>
      </c>
      <c r="O153" s="102">
        <f>O92</f>
        <v>2028</v>
      </c>
      <c r="R153" s="84"/>
      <c r="S153" s="101">
        <f>S92</f>
        <v>2024</v>
      </c>
      <c r="T153" s="101">
        <f t="shared" ref="T153:V153" si="330">T92</f>
        <v>2025</v>
      </c>
      <c r="U153" s="101">
        <f t="shared" si="330"/>
        <v>2026</v>
      </c>
      <c r="V153" s="101">
        <f t="shared" si="330"/>
        <v>2027</v>
      </c>
      <c r="W153" s="102">
        <f>W92</f>
        <v>2028</v>
      </c>
      <c r="Z153" s="84"/>
      <c r="AA153" s="101">
        <f>AA92</f>
        <v>2024</v>
      </c>
      <c r="AB153" s="101">
        <f t="shared" ref="AB153:AD153" si="331">AB92</f>
        <v>2025</v>
      </c>
      <c r="AC153" s="101">
        <f t="shared" si="331"/>
        <v>2026</v>
      </c>
      <c r="AD153" s="101">
        <f t="shared" si="331"/>
        <v>2027</v>
      </c>
      <c r="AE153" s="102">
        <f>AE92</f>
        <v>2028</v>
      </c>
      <c r="AH153" s="84"/>
      <c r="AI153" s="101">
        <f>AI92</f>
        <v>2024</v>
      </c>
      <c r="AJ153" s="101">
        <f t="shared" ref="AJ153:AL153" si="332">AJ92</f>
        <v>2025</v>
      </c>
      <c r="AK153" s="101">
        <f t="shared" si="332"/>
        <v>2026</v>
      </c>
      <c r="AL153" s="101">
        <f t="shared" si="332"/>
        <v>2027</v>
      </c>
      <c r="AM153" s="102">
        <f>AM92</f>
        <v>2028</v>
      </c>
      <c r="AP153" s="84"/>
      <c r="AQ153" s="101">
        <f>AQ92</f>
        <v>2024</v>
      </c>
      <c r="AR153" s="101">
        <f t="shared" ref="AR153:AT153" si="333">AR92</f>
        <v>2025</v>
      </c>
      <c r="AS153" s="101">
        <f t="shared" si="333"/>
        <v>2026</v>
      </c>
      <c r="AT153" s="101">
        <f t="shared" si="333"/>
        <v>2027</v>
      </c>
      <c r="AU153" s="102">
        <f>AU92</f>
        <v>2028</v>
      </c>
      <c r="AX153" s="84"/>
      <c r="AY153" s="101">
        <f>AY92</f>
        <v>2024</v>
      </c>
      <c r="AZ153" s="101">
        <f t="shared" ref="AZ153:BB153" si="334">AZ92</f>
        <v>2025</v>
      </c>
      <c r="BA153" s="101">
        <f t="shared" si="334"/>
        <v>2026</v>
      </c>
      <c r="BB153" s="101">
        <f t="shared" si="334"/>
        <v>2027</v>
      </c>
      <c r="BC153" s="102">
        <f>BC92</f>
        <v>2028</v>
      </c>
      <c r="BF153" s="84"/>
      <c r="BG153" s="101">
        <f>BG92</f>
        <v>2024</v>
      </c>
      <c r="BH153" s="101">
        <f t="shared" ref="BH153:BJ153" si="335">BH92</f>
        <v>2025</v>
      </c>
      <c r="BI153" s="101">
        <f t="shared" si="335"/>
        <v>2026</v>
      </c>
      <c r="BJ153" s="101">
        <f t="shared" si="335"/>
        <v>2027</v>
      </c>
      <c r="BK153" s="102">
        <f>BK92</f>
        <v>2028</v>
      </c>
      <c r="BN153" s="84"/>
      <c r="BO153" s="101">
        <f>BO92</f>
        <v>2024</v>
      </c>
      <c r="BP153" s="101">
        <f t="shared" ref="BP153:BR153" si="336">BP92</f>
        <v>2025</v>
      </c>
      <c r="BQ153" s="101">
        <f t="shared" si="336"/>
        <v>2026</v>
      </c>
      <c r="BR153" s="101">
        <f t="shared" si="336"/>
        <v>2027</v>
      </c>
      <c r="BS153" s="102">
        <f>BS92</f>
        <v>2028</v>
      </c>
      <c r="BV153" s="84"/>
      <c r="BW153" s="101">
        <f>BW92</f>
        <v>2024</v>
      </c>
      <c r="BX153" s="101">
        <f t="shared" ref="BX153:BZ153" si="337">BX92</f>
        <v>2025</v>
      </c>
      <c r="BY153" s="101">
        <f t="shared" si="337"/>
        <v>2026</v>
      </c>
      <c r="BZ153" s="101">
        <f t="shared" si="337"/>
        <v>2027</v>
      </c>
      <c r="CA153" s="102">
        <f>CA92</f>
        <v>2028</v>
      </c>
      <c r="CD153" s="84"/>
      <c r="CE153" s="101">
        <f>CE92</f>
        <v>2024</v>
      </c>
      <c r="CF153" s="101">
        <f t="shared" ref="CF153:CH153" si="338">CF92</f>
        <v>2025</v>
      </c>
      <c r="CG153" s="101">
        <f t="shared" si="338"/>
        <v>2026</v>
      </c>
      <c r="CH153" s="101">
        <f t="shared" si="338"/>
        <v>2027</v>
      </c>
      <c r="CI153" s="102">
        <f>CI92</f>
        <v>2028</v>
      </c>
      <c r="CL153" s="84"/>
      <c r="CM153" s="101">
        <f>CM92</f>
        <v>2024</v>
      </c>
      <c r="CN153" s="101">
        <f t="shared" ref="CN153:CP153" si="339">CN92</f>
        <v>2025</v>
      </c>
      <c r="CO153" s="101">
        <f t="shared" si="339"/>
        <v>2026</v>
      </c>
      <c r="CP153" s="101">
        <f t="shared" si="339"/>
        <v>2027</v>
      </c>
      <c r="CQ153" s="102">
        <f>CQ92</f>
        <v>2028</v>
      </c>
      <c r="CT153" s="84"/>
      <c r="CU153" s="101">
        <f>CU92</f>
        <v>2024</v>
      </c>
      <c r="CV153" s="101">
        <f t="shared" ref="CV153:CX153" si="340">CV92</f>
        <v>2025</v>
      </c>
      <c r="CW153" s="101">
        <f t="shared" si="340"/>
        <v>2026</v>
      </c>
      <c r="CX153" s="101">
        <f t="shared" si="340"/>
        <v>2027</v>
      </c>
      <c r="CY153" s="102">
        <f>CY92</f>
        <v>2028</v>
      </c>
      <c r="DB153" s="84"/>
      <c r="DC153" s="101">
        <f>DC92</f>
        <v>2024</v>
      </c>
      <c r="DD153" s="101">
        <f t="shared" ref="DD153:DF153" si="341">DD92</f>
        <v>2025</v>
      </c>
      <c r="DE153" s="101">
        <f t="shared" si="341"/>
        <v>2026</v>
      </c>
      <c r="DF153" s="101">
        <f t="shared" si="341"/>
        <v>2027</v>
      </c>
      <c r="DG153" s="102">
        <f>DG92</f>
        <v>2028</v>
      </c>
    </row>
    <row r="154" spans="2:113">
      <c r="B154" s="87" t="s">
        <v>170</v>
      </c>
      <c r="C154" s="109">
        <f ca="1">(C28*ci_int1)+(C28*ct_int1*'Time on treatment'!$D$12)</f>
        <v>0</v>
      </c>
      <c r="D154" s="109">
        <f ca="1">(D28*ct_int1*'Time on treatment'!$E$12)</f>
        <v>0</v>
      </c>
      <c r="E154" s="109">
        <f ca="1">(E28*ct_int1*'Time on treatment'!$F$12)</f>
        <v>0</v>
      </c>
      <c r="F154" s="109">
        <f ca="1">(F28*ct_int1*'Time on treatment'!$G$12)</f>
        <v>0</v>
      </c>
      <c r="G154" s="110">
        <f ca="1">(G28*ct_int1*'Time on treatment'!$H$12)</f>
        <v>0</v>
      </c>
      <c r="J154" s="87" t="s">
        <v>170</v>
      </c>
      <c r="K154" s="109">
        <f ca="1">(K28*ci_int2)+(K28*ct_int2*'Time on treatment'!$D$13)</f>
        <v>0</v>
      </c>
      <c r="L154" s="109">
        <f ca="1">(L28*ct_int2*'Time on treatment'!$E$13)</f>
        <v>0</v>
      </c>
      <c r="M154" s="109">
        <f ca="1">(M28*ct_int2*'Time on treatment'!$F$13)</f>
        <v>0</v>
      </c>
      <c r="N154" s="109">
        <f ca="1">(N28*ct_int2*'Time on treatment'!$G$13)</f>
        <v>0</v>
      </c>
      <c r="O154" s="110">
        <f ca="1">(O28*ct_int2*'Time on treatment'!$H$13)</f>
        <v>0</v>
      </c>
      <c r="R154" s="87" t="s">
        <v>170</v>
      </c>
      <c r="S154" s="109">
        <f ca="1">(S28*ci_int3)+(S28*ct_int3*'Time on treatment'!$D$14)</f>
        <v>0</v>
      </c>
      <c r="T154" s="109">
        <f ca="1">(T28*ct_int3*'Time on treatment'!$E$14)</f>
        <v>0</v>
      </c>
      <c r="U154" s="109">
        <f ca="1">(U28*ct_int3*'Time on treatment'!$F$14)</f>
        <v>0</v>
      </c>
      <c r="V154" s="109">
        <f ca="1">(V28*ct_int3*'Time on treatment'!$G$14)</f>
        <v>0</v>
      </c>
      <c r="W154" s="110">
        <f ca="1">(W28*ct_int3*'Time on treatment'!$H$14)</f>
        <v>0</v>
      </c>
      <c r="Z154" s="87" t="s">
        <v>170</v>
      </c>
      <c r="AA154" s="109">
        <f ca="1">(AA28*ci_int4)+(AA28*ct_int4*'Time on treatment'!$D$15)</f>
        <v>0</v>
      </c>
      <c r="AB154" s="109">
        <f ca="1">(AB28*ct_int4*'Time on treatment'!$E$15)</f>
        <v>0</v>
      </c>
      <c r="AC154" s="109">
        <f ca="1">(AC28*ct_int4*'Time on treatment'!$F$15)</f>
        <v>0</v>
      </c>
      <c r="AD154" s="109">
        <f ca="1">(AD28*ct_int4*'Time on treatment'!$G$15)</f>
        <v>0</v>
      </c>
      <c r="AE154" s="110">
        <f ca="1">(AE28*ct_int4*'Time on treatment'!$H$15)</f>
        <v>0</v>
      </c>
      <c r="AH154" s="87" t="s">
        <v>170</v>
      </c>
      <c r="AI154" s="109">
        <f ca="1">(AI28*ci_comp1)+(AI28*ct_comp1*'Time on treatment'!$D$19)</f>
        <v>5840477.6854851758</v>
      </c>
      <c r="AJ154" s="109">
        <f ca="1">(AJ28*ct_comp1*'Time on treatment'!$E$19)</f>
        <v>0</v>
      </c>
      <c r="AK154" s="109">
        <f ca="1">(AK28*ct_comp1*'Time on treatment'!$F$19)</f>
        <v>0</v>
      </c>
      <c r="AL154" s="109">
        <f ca="1">(AL28*ct_comp1*'Time on treatment'!$G$19)</f>
        <v>0</v>
      </c>
      <c r="AM154" s="110">
        <f ca="1">(AM28*ct_comp1*'Time on treatment'!$H$19)</f>
        <v>0</v>
      </c>
      <c r="AP154" s="87" t="s">
        <v>170</v>
      </c>
      <c r="AQ154" s="109">
        <f ca="1">(AQ28*ci_comp2)+(AQ28*ct_comp2*'Time on treatment'!$D$20)</f>
        <v>0</v>
      </c>
      <c r="AR154" s="109">
        <f ca="1">(AR28*ct_comp2*'Time on treatment'!$E$20)</f>
        <v>0</v>
      </c>
      <c r="AS154" s="109">
        <f ca="1">(AS28*ct_comp2*'Time on treatment'!$F$20)</f>
        <v>0</v>
      </c>
      <c r="AT154" s="109">
        <f ca="1">(AT28*ct_comp2*'Time on treatment'!$G$20)</f>
        <v>0</v>
      </c>
      <c r="AU154" s="110">
        <f ca="1">(AU28*ct_comp2*'Time on treatment'!$H$20)</f>
        <v>0</v>
      </c>
      <c r="AX154" s="87" t="s">
        <v>170</v>
      </c>
      <c r="AY154" s="109">
        <f ca="1">(AY28*ci_comp3)+(AY28*ct_comp3*'Time on treatment'!$D$21)</f>
        <v>0</v>
      </c>
      <c r="AZ154" s="109">
        <f ca="1">(AZ28*ct_comp3*'Time on treatment'!$E$21)</f>
        <v>0</v>
      </c>
      <c r="BA154" s="109">
        <f ca="1">(BA28*ct_comp3*'Time on treatment'!$F$21)</f>
        <v>0</v>
      </c>
      <c r="BB154" s="109">
        <f ca="1">(BB28*ct_comp3*'Time on treatment'!$G$21)</f>
        <v>0</v>
      </c>
      <c r="BC154" s="110">
        <f ca="1">(BC28*ct_comp3*'Time on treatment'!$H$21)</f>
        <v>0</v>
      </c>
      <c r="BF154" s="87" t="s">
        <v>170</v>
      </c>
      <c r="BG154" s="109">
        <f ca="1">(BG28*ci_comp4)+(BG28*ct_comp4*'Time on treatment'!$D$22)</f>
        <v>0</v>
      </c>
      <c r="BH154" s="109">
        <f ca="1">(BH28*ct_comp4*'Time on treatment'!$E$22)</f>
        <v>0</v>
      </c>
      <c r="BI154" s="109">
        <f ca="1">(BI28*ct_comp4*'Time on treatment'!$F$22)</f>
        <v>0</v>
      </c>
      <c r="BJ154" s="109">
        <f ca="1">(BJ28*ct_comp4*'Time on treatment'!$G$22)</f>
        <v>0</v>
      </c>
      <c r="BK154" s="110">
        <f ca="1">(BK28*ct_comp4*'Time on treatment'!$H$22)</f>
        <v>0</v>
      </c>
      <c r="BN154" s="87" t="s">
        <v>170</v>
      </c>
      <c r="BO154" s="109">
        <f ca="1">(BO28*ci_comp5)+(BO28*ct_comp5*'Time on treatment'!$D$23)</f>
        <v>0</v>
      </c>
      <c r="BP154" s="109">
        <f ca="1">(BP28*ct_comp5*'Time on treatment'!$E$23)</f>
        <v>0</v>
      </c>
      <c r="BQ154" s="109">
        <f ca="1">(BQ28*ct_comp5*'Time on treatment'!$F$23)</f>
        <v>0</v>
      </c>
      <c r="BR154" s="109">
        <f ca="1">(BR28*ct_comp5*'Time on treatment'!$G$23)</f>
        <v>0</v>
      </c>
      <c r="BS154" s="110">
        <f ca="1">(BS28*ct_comp5*'Time on treatment'!$H$23)</f>
        <v>0</v>
      </c>
      <c r="BV154" s="87" t="s">
        <v>170</v>
      </c>
      <c r="BW154" s="109">
        <f ca="1">(BW28*ci_comp6)+(BW28*ct_comp6*'Time on treatment'!$D$24)</f>
        <v>0</v>
      </c>
      <c r="BX154" s="109">
        <f ca="1">(BX28*ct_comp6*'Time on treatment'!$E$24)</f>
        <v>0</v>
      </c>
      <c r="BY154" s="109">
        <f ca="1">(BY28*ct_comp6*'Time on treatment'!$F$24)</f>
        <v>0</v>
      </c>
      <c r="BZ154" s="109">
        <f ca="1">(BZ28*ct_comp6*'Time on treatment'!$G$24)</f>
        <v>0</v>
      </c>
      <c r="CA154" s="110">
        <f ca="1">(CA28*ct_comp6*'Time on treatment'!$H$24)</f>
        <v>0</v>
      </c>
      <c r="CD154" s="87" t="s">
        <v>170</v>
      </c>
      <c r="CE154" s="109">
        <f ca="1">(CE28*ci_comp7)+(CE28*ct_comp7*'Time on treatment'!$D$25)</f>
        <v>0</v>
      </c>
      <c r="CF154" s="109">
        <f ca="1">(CF28*ct_comp7*'Time on treatment'!$E$25)</f>
        <v>0</v>
      </c>
      <c r="CG154" s="109">
        <f ca="1">(CG28*ct_comp7*'Time on treatment'!$F$25)</f>
        <v>0</v>
      </c>
      <c r="CH154" s="109">
        <f ca="1">(CH28*ct_comp7*'Time on treatment'!$G$25)</f>
        <v>0</v>
      </c>
      <c r="CI154" s="110">
        <f ca="1">(CI28*ct_comp7*'Time on treatment'!$H$25)</f>
        <v>0</v>
      </c>
      <c r="CL154" s="87" t="s">
        <v>170</v>
      </c>
      <c r="CM154" s="109">
        <f ca="1">(CM28*ci_comp8)+(CM28*ct_comp8*'Time on treatment'!$D$26)</f>
        <v>0</v>
      </c>
      <c r="CN154" s="109">
        <f ca="1">(CN28*ct_comp8*'Time on treatment'!$E$26)</f>
        <v>0</v>
      </c>
      <c r="CO154" s="109">
        <f ca="1">(CO28*ct_comp8*'Time on treatment'!$F$26)</f>
        <v>0</v>
      </c>
      <c r="CP154" s="109">
        <f ca="1">(CP28*ct_comp8*'Time on treatment'!$G$26)</f>
        <v>0</v>
      </c>
      <c r="CQ154" s="110">
        <f ca="1">(CQ28*ct_comp8*'Time on treatment'!$H$26)</f>
        <v>0</v>
      </c>
      <c r="CT154" s="87" t="s">
        <v>170</v>
      </c>
      <c r="CU154" s="109">
        <f ca="1">(CU28*ci_comp9)+(CU28*ct_comp9*'Time on treatment'!$D$27)</f>
        <v>0</v>
      </c>
      <c r="CV154" s="109">
        <f ca="1">(CV28*ct_comp9*'Time on treatment'!$E$27)</f>
        <v>0</v>
      </c>
      <c r="CW154" s="109">
        <f ca="1">(CW28*ct_comp9*'Time on treatment'!$F$27)</f>
        <v>0</v>
      </c>
      <c r="CX154" s="109">
        <f ca="1">(CX28*ct_comp9*'Time on treatment'!$G$27)</f>
        <v>0</v>
      </c>
      <c r="CY154" s="110">
        <f ca="1">(CY28*ct_comp9*'Time on treatment'!$H$27)</f>
        <v>0</v>
      </c>
      <c r="DB154" s="87" t="s">
        <v>170</v>
      </c>
      <c r="DC154" s="109">
        <f ca="1">(DC28*ci_comp10)+(DC28*ct_comp10*'Time on treatment'!$D$28)</f>
        <v>0</v>
      </c>
      <c r="DD154" s="109">
        <f ca="1">(DD28*ct_comp10*'Time on treatment'!$E$28)</f>
        <v>0</v>
      </c>
      <c r="DE154" s="109">
        <f ca="1">(DE28*ct_comp10*'Time on treatment'!$F$28)</f>
        <v>0</v>
      </c>
      <c r="DF154" s="109">
        <f ca="1">(DF28*ct_comp10*'Time on treatment'!$G$28)</f>
        <v>0</v>
      </c>
      <c r="DG154" s="110">
        <f ca="1">(DG28*ct_comp10*'Time on treatment'!$H$28)</f>
        <v>0</v>
      </c>
    </row>
    <row r="155" spans="2:113">
      <c r="B155" s="87" t="s">
        <v>175</v>
      </c>
      <c r="C155" s="109"/>
      <c r="D155" s="109"/>
      <c r="E155" s="109"/>
      <c r="F155" s="109"/>
      <c r="G155" s="110"/>
      <c r="J155" s="87" t="s">
        <v>175</v>
      </c>
      <c r="K155" s="109"/>
      <c r="L155" s="109"/>
      <c r="M155" s="109"/>
      <c r="N155" s="109"/>
      <c r="O155" s="110"/>
      <c r="R155" s="87" t="s">
        <v>175</v>
      </c>
      <c r="S155" s="109"/>
      <c r="T155" s="109"/>
      <c r="U155" s="109"/>
      <c r="V155" s="109"/>
      <c r="W155" s="110"/>
      <c r="Z155" s="87" t="s">
        <v>175</v>
      </c>
      <c r="AA155" s="109"/>
      <c r="AB155" s="109"/>
      <c r="AC155" s="109"/>
      <c r="AD155" s="109"/>
      <c r="AE155" s="110"/>
      <c r="AH155" s="87" t="s">
        <v>175</v>
      </c>
      <c r="AI155" s="109"/>
      <c r="AJ155" s="109"/>
      <c r="AK155" s="109"/>
      <c r="AL155" s="109"/>
      <c r="AM155" s="110"/>
      <c r="AP155" s="87" t="s">
        <v>175</v>
      </c>
      <c r="AQ155" s="109"/>
      <c r="AR155" s="109"/>
      <c r="AS155" s="109"/>
      <c r="AT155" s="109"/>
      <c r="AU155" s="110"/>
      <c r="AX155" s="87" t="s">
        <v>175</v>
      </c>
      <c r="AY155" s="109"/>
      <c r="AZ155" s="109"/>
      <c r="BA155" s="109"/>
      <c r="BB155" s="109"/>
      <c r="BC155" s="110"/>
      <c r="BF155" s="87" t="s">
        <v>175</v>
      </c>
      <c r="BG155" s="109"/>
      <c r="BH155" s="109"/>
      <c r="BI155" s="109"/>
      <c r="BJ155" s="109"/>
      <c r="BK155" s="110"/>
      <c r="BN155" s="87" t="s">
        <v>175</v>
      </c>
      <c r="BO155" s="109"/>
      <c r="BP155" s="109"/>
      <c r="BQ155" s="109"/>
      <c r="BR155" s="109"/>
      <c r="BS155" s="110"/>
      <c r="BV155" s="87" t="s">
        <v>175</v>
      </c>
      <c r="BW155" s="109"/>
      <c r="BX155" s="109"/>
      <c r="BY155" s="109"/>
      <c r="BZ155" s="109"/>
      <c r="CA155" s="110"/>
      <c r="CD155" s="87" t="s">
        <v>175</v>
      </c>
      <c r="CE155" s="109"/>
      <c r="CF155" s="109"/>
      <c r="CG155" s="109"/>
      <c r="CH155" s="109"/>
      <c r="CI155" s="110"/>
      <c r="CL155" s="87" t="s">
        <v>175</v>
      </c>
      <c r="CM155" s="109"/>
      <c r="CN155" s="109"/>
      <c r="CO155" s="109"/>
      <c r="CP155" s="109"/>
      <c r="CQ155" s="110"/>
      <c r="CT155" s="87" t="s">
        <v>175</v>
      </c>
      <c r="CU155" s="109"/>
      <c r="CV155" s="109"/>
      <c r="CW155" s="109"/>
      <c r="CX155" s="109"/>
      <c r="CY155" s="110"/>
      <c r="DB155" s="87" t="s">
        <v>175</v>
      </c>
      <c r="DC155" s="109"/>
      <c r="DD155" s="109"/>
      <c r="DE155" s="109"/>
      <c r="DF155" s="109"/>
      <c r="DG155" s="110"/>
    </row>
    <row r="156" spans="2:113">
      <c r="B156" s="87" t="s">
        <v>171</v>
      </c>
      <c r="C156" s="111"/>
      <c r="D156" s="109">
        <f ca="1">(D30*ci_int1)+(D30*ct_int1*'Time on treatment'!$D$12)</f>
        <v>0</v>
      </c>
      <c r="E156" s="109">
        <f ca="1">(E30*ct_int1*'Time on treatment'!$E$12)</f>
        <v>0</v>
      </c>
      <c r="F156" s="109">
        <f ca="1">(F30*ct_int1*'Time on treatment'!$F$12)</f>
        <v>0</v>
      </c>
      <c r="G156" s="110">
        <f ca="1">(G30*ct_int1*'Time on treatment'!$G$12)</f>
        <v>0</v>
      </c>
      <c r="J156" s="87" t="s">
        <v>171</v>
      </c>
      <c r="K156" s="111"/>
      <c r="L156" s="109">
        <f ca="1">(L30*ci_int2)+(L30*ct_int2*'Time on treatment'!$D$13)</f>
        <v>0</v>
      </c>
      <c r="M156" s="109">
        <f ca="1">(M30*ct_int2*'Time on treatment'!$E$13)</f>
        <v>0</v>
      </c>
      <c r="N156" s="109">
        <f ca="1">(N30*ct_int2*'Time on treatment'!$F$13)</f>
        <v>0</v>
      </c>
      <c r="O156" s="110">
        <f ca="1">(O30*ct_int2*'Time on treatment'!$G$13)</f>
        <v>0</v>
      </c>
      <c r="R156" s="87" t="s">
        <v>171</v>
      </c>
      <c r="S156" s="111"/>
      <c r="T156" s="109">
        <f ca="1">(T30*ci_int3)+(T30*ct_int3*'Time on treatment'!$D$14)</f>
        <v>0</v>
      </c>
      <c r="U156" s="109">
        <f ca="1">(U30*ct_int3*'Time on treatment'!$E$14)</f>
        <v>0</v>
      </c>
      <c r="V156" s="109">
        <f ca="1">(V30*ct_int3*'Time on treatment'!$F$14)</f>
        <v>0</v>
      </c>
      <c r="W156" s="110">
        <f ca="1">(W30*ct_int3*'Time on treatment'!$G$14)</f>
        <v>0</v>
      </c>
      <c r="Z156" s="87" t="s">
        <v>171</v>
      </c>
      <c r="AA156" s="111"/>
      <c r="AB156" s="109">
        <f ca="1">(AB30*ci_int4)+(AB30*ct_int4*'Time on treatment'!$D$15)</f>
        <v>0</v>
      </c>
      <c r="AC156" s="109">
        <f ca="1">(AC30*ct_int4*'Time on treatment'!$E$15)</f>
        <v>0</v>
      </c>
      <c r="AD156" s="109">
        <f ca="1">(AD30*ct_int4*'Time on treatment'!$F$15)</f>
        <v>0</v>
      </c>
      <c r="AE156" s="110">
        <f ca="1">(AE30*ct_int4*'Time on treatment'!$G$15)</f>
        <v>0</v>
      </c>
      <c r="AH156" s="87" t="s">
        <v>171</v>
      </c>
      <c r="AI156" s="111"/>
      <c r="AJ156" s="109">
        <f ca="1">(AJ30*ci_comp1)+(AJ30*ct_comp1*'Time on treatment'!$D$19)</f>
        <v>5876554.1572671244</v>
      </c>
      <c r="AK156" s="109">
        <f ca="1">(AK30*ct_comp1*'Time on treatment'!$E$19)</f>
        <v>0</v>
      </c>
      <c r="AL156" s="109">
        <f ca="1">(AL30*ct_comp1*'Time on treatment'!$F$19)</f>
        <v>0</v>
      </c>
      <c r="AM156" s="110">
        <f ca="1">(AM30*ct_comp1*'Time on treatment'!$G$19)</f>
        <v>0</v>
      </c>
      <c r="AP156" s="87" t="s">
        <v>171</v>
      </c>
      <c r="AQ156" s="111"/>
      <c r="AR156" s="109">
        <f ca="1">(AR30*ci_comp2)+(AR30*ct_comp2*'Time on treatment'!$D$20)</f>
        <v>0</v>
      </c>
      <c r="AS156" s="109">
        <f ca="1">(AS30*ct_comp2*'Time on treatment'!$E$20)</f>
        <v>0</v>
      </c>
      <c r="AT156" s="109">
        <f ca="1">(AT30*ct_comp2*'Time on treatment'!$F$20)</f>
        <v>0</v>
      </c>
      <c r="AU156" s="110">
        <f ca="1">(AU30*ct_comp2*'Time on treatment'!$G$20)</f>
        <v>0</v>
      </c>
      <c r="AX156" s="87" t="s">
        <v>171</v>
      </c>
      <c r="AY156" s="111"/>
      <c r="AZ156" s="109">
        <f ca="1">(AZ30*ci_comp3)+(AZ30*ct_comp3*'Time on treatment'!$D$21)</f>
        <v>0</v>
      </c>
      <c r="BA156" s="109">
        <f ca="1">(BA30*ct_comp3*'Time on treatment'!$E$21)</f>
        <v>0</v>
      </c>
      <c r="BB156" s="109">
        <f ca="1">(BB30*ct_comp3*'Time on treatment'!$F$21)</f>
        <v>0</v>
      </c>
      <c r="BC156" s="110">
        <f ca="1">(BC30*ct_comp3*'Time on treatment'!$G$21)</f>
        <v>0</v>
      </c>
      <c r="BF156" s="87" t="s">
        <v>171</v>
      </c>
      <c r="BG156" s="111"/>
      <c r="BH156" s="109">
        <f ca="1">(BH30*ci_comp4)+(BH30*ct_comp4*'Time on treatment'!$D$22)</f>
        <v>0</v>
      </c>
      <c r="BI156" s="109">
        <f ca="1">(BI30*ct_comp4*'Time on treatment'!$E$22)</f>
        <v>0</v>
      </c>
      <c r="BJ156" s="109">
        <f ca="1">(BJ30*ct_comp4*'Time on treatment'!$F$22)</f>
        <v>0</v>
      </c>
      <c r="BK156" s="110">
        <f ca="1">(BK30*ct_comp4*'Time on treatment'!$G$22)</f>
        <v>0</v>
      </c>
      <c r="BN156" s="87" t="s">
        <v>171</v>
      </c>
      <c r="BO156" s="111"/>
      <c r="BP156" s="109">
        <f ca="1">(BP30*ci_comp5)+(BP30*ct_comp5*'Time on treatment'!$D$23)</f>
        <v>0</v>
      </c>
      <c r="BQ156" s="109">
        <f ca="1">(BQ30*ct_comp5*'Time on treatment'!$E$23)</f>
        <v>0</v>
      </c>
      <c r="BR156" s="109">
        <f ca="1">(BR30*ct_comp5*'Time on treatment'!$F$23)</f>
        <v>0</v>
      </c>
      <c r="BS156" s="110">
        <f ca="1">(BS30*ct_comp5*'Time on treatment'!$G$23)</f>
        <v>0</v>
      </c>
      <c r="BV156" s="87" t="s">
        <v>171</v>
      </c>
      <c r="BW156" s="111"/>
      <c r="BX156" s="109">
        <f ca="1">(BX30*ci_comp6)+(BX30*ct_comp6*'Time on treatment'!$D$24)</f>
        <v>0</v>
      </c>
      <c r="BY156" s="109">
        <f ca="1">(BY30*ct_comp6*'Time on treatment'!$E$24)</f>
        <v>0</v>
      </c>
      <c r="BZ156" s="109">
        <f ca="1">(BZ30*ct_comp6*'Time on treatment'!$F$24)</f>
        <v>0</v>
      </c>
      <c r="CA156" s="110">
        <f ca="1">(CA30*ct_comp6*'Time on treatment'!$G$24)</f>
        <v>0</v>
      </c>
      <c r="CD156" s="87" t="s">
        <v>171</v>
      </c>
      <c r="CE156" s="111"/>
      <c r="CF156" s="109">
        <f ca="1">(CF30*ci_comp7)+(CF30*ct_comp7*'Time on treatment'!$D$25)</f>
        <v>0</v>
      </c>
      <c r="CG156" s="109">
        <f ca="1">(CG30*ct_comp7*'Time on treatment'!$E$25)</f>
        <v>0</v>
      </c>
      <c r="CH156" s="109">
        <f ca="1">(CH30*ct_comp7*'Time on treatment'!$F$25)</f>
        <v>0</v>
      </c>
      <c r="CI156" s="110">
        <f ca="1">(CI30*ct_comp7*'Time on treatment'!$G$25)</f>
        <v>0</v>
      </c>
      <c r="CL156" s="87" t="s">
        <v>171</v>
      </c>
      <c r="CM156" s="111"/>
      <c r="CN156" s="109">
        <f ca="1">(CN30*ci_comp8)+(CN30*ct_comp8*'Time on treatment'!$D$26)</f>
        <v>0</v>
      </c>
      <c r="CO156" s="109">
        <f ca="1">(CO30*ct_comp8*'Time on treatment'!$E$26)</f>
        <v>0</v>
      </c>
      <c r="CP156" s="109">
        <f ca="1">(CP30*ct_comp8*'Time on treatment'!$F$26)</f>
        <v>0</v>
      </c>
      <c r="CQ156" s="110">
        <f ca="1">(CQ30*ct_comp8*'Time on treatment'!$G$26)</f>
        <v>0</v>
      </c>
      <c r="CT156" s="87" t="s">
        <v>171</v>
      </c>
      <c r="CU156" s="111"/>
      <c r="CV156" s="109">
        <f ca="1">(CV30*ci_comp9)+(CV30*ct_comp9*'Time on treatment'!$D$27)</f>
        <v>0</v>
      </c>
      <c r="CW156" s="109">
        <f ca="1">(CW30*ct_comp9*'Time on treatment'!$E$27)</f>
        <v>0</v>
      </c>
      <c r="CX156" s="109">
        <f ca="1">(CX30*ct_comp9*'Time on treatment'!$F$27)</f>
        <v>0</v>
      </c>
      <c r="CY156" s="110">
        <f ca="1">(CY30*ct_comp9*'Time on treatment'!$G$27)</f>
        <v>0</v>
      </c>
      <c r="DB156" s="87" t="s">
        <v>171</v>
      </c>
      <c r="DC156" s="111"/>
      <c r="DD156" s="109">
        <f ca="1">(DD30*ci_comp10)+(DD30*ct_comp10*'Time on treatment'!$D$28)</f>
        <v>0</v>
      </c>
      <c r="DE156" s="109">
        <f ca="1">(DE30*ct_comp10*'Time on treatment'!$E$28)</f>
        <v>0</v>
      </c>
      <c r="DF156" s="109">
        <f ca="1">(DF30*ct_comp10*'Time on treatment'!$F$28)</f>
        <v>0</v>
      </c>
      <c r="DG156" s="110">
        <f ca="1">(DG30*ct_comp10*'Time on treatment'!$G$28)</f>
        <v>0</v>
      </c>
    </row>
    <row r="157" spans="2:113">
      <c r="B157" s="87" t="s">
        <v>176</v>
      </c>
      <c r="C157" s="111"/>
      <c r="D157" s="109"/>
      <c r="E157" s="109"/>
      <c r="F157" s="109"/>
      <c r="G157" s="110"/>
      <c r="J157" s="87" t="s">
        <v>176</v>
      </c>
      <c r="K157" s="111"/>
      <c r="L157" s="109"/>
      <c r="M157" s="109"/>
      <c r="N157" s="109"/>
      <c r="O157" s="110"/>
      <c r="R157" s="87" t="s">
        <v>176</v>
      </c>
      <c r="S157" s="111"/>
      <c r="T157" s="109"/>
      <c r="U157" s="109"/>
      <c r="V157" s="109"/>
      <c r="W157" s="110"/>
      <c r="Z157" s="87" t="s">
        <v>176</v>
      </c>
      <c r="AA157" s="111"/>
      <c r="AB157" s="109"/>
      <c r="AC157" s="109"/>
      <c r="AD157" s="109"/>
      <c r="AE157" s="110"/>
      <c r="AH157" s="87" t="s">
        <v>176</v>
      </c>
      <c r="AI157" s="111"/>
      <c r="AJ157" s="109"/>
      <c r="AK157" s="109"/>
      <c r="AL157" s="109"/>
      <c r="AM157" s="110"/>
      <c r="AP157" s="87" t="s">
        <v>176</v>
      </c>
      <c r="AQ157" s="111"/>
      <c r="AR157" s="109"/>
      <c r="AS157" s="109"/>
      <c r="AT157" s="109"/>
      <c r="AU157" s="110"/>
      <c r="AX157" s="87" t="s">
        <v>176</v>
      </c>
      <c r="AY157" s="111"/>
      <c r="AZ157" s="109"/>
      <c r="BA157" s="109"/>
      <c r="BB157" s="109"/>
      <c r="BC157" s="110"/>
      <c r="BF157" s="87" t="s">
        <v>176</v>
      </c>
      <c r="BG157" s="111"/>
      <c r="BH157" s="109"/>
      <c r="BI157" s="109"/>
      <c r="BJ157" s="109"/>
      <c r="BK157" s="110"/>
      <c r="BN157" s="87" t="s">
        <v>176</v>
      </c>
      <c r="BO157" s="111"/>
      <c r="BP157" s="109"/>
      <c r="BQ157" s="109"/>
      <c r="BR157" s="109"/>
      <c r="BS157" s="110"/>
      <c r="BV157" s="87" t="s">
        <v>176</v>
      </c>
      <c r="BW157" s="111"/>
      <c r="BX157" s="109"/>
      <c r="BY157" s="109"/>
      <c r="BZ157" s="109"/>
      <c r="CA157" s="110"/>
      <c r="CD157" s="87" t="s">
        <v>176</v>
      </c>
      <c r="CE157" s="111"/>
      <c r="CF157" s="109"/>
      <c r="CG157" s="109"/>
      <c r="CH157" s="109"/>
      <c r="CI157" s="110"/>
      <c r="CL157" s="87" t="s">
        <v>176</v>
      </c>
      <c r="CM157" s="111"/>
      <c r="CN157" s="109"/>
      <c r="CO157" s="109"/>
      <c r="CP157" s="109"/>
      <c r="CQ157" s="110"/>
      <c r="CT157" s="87" t="s">
        <v>176</v>
      </c>
      <c r="CU157" s="111"/>
      <c r="CV157" s="109"/>
      <c r="CW157" s="109"/>
      <c r="CX157" s="109"/>
      <c r="CY157" s="110"/>
      <c r="DB157" s="87" t="s">
        <v>176</v>
      </c>
      <c r="DC157" s="111"/>
      <c r="DD157" s="109"/>
      <c r="DE157" s="109"/>
      <c r="DF157" s="109"/>
      <c r="DG157" s="110"/>
    </row>
    <row r="158" spans="2:113">
      <c r="B158" s="87" t="s">
        <v>172</v>
      </c>
      <c r="C158" s="111"/>
      <c r="D158" s="111"/>
      <c r="E158" s="109">
        <f ca="1">(E32*ci_int1)+(E32*ct_int1*'Time on treatment'!$D$12)</f>
        <v>0</v>
      </c>
      <c r="F158" s="109">
        <f ca="1">(F32*ct_int1*'Time on treatment'!$E$12)</f>
        <v>0</v>
      </c>
      <c r="G158" s="110">
        <f ca="1">(G32*ct_int1*'Time on treatment'!$F$12)</f>
        <v>0</v>
      </c>
      <c r="J158" s="87" t="s">
        <v>172</v>
      </c>
      <c r="K158" s="111"/>
      <c r="L158" s="111"/>
      <c r="M158" s="109">
        <f ca="1">(M32*ci_int2)+(M32*ct_int2*'Time on treatment'!$D$13)</f>
        <v>0</v>
      </c>
      <c r="N158" s="109">
        <f ca="1">(N32*ct_int2*'Time on treatment'!$E$13)</f>
        <v>0</v>
      </c>
      <c r="O158" s="110">
        <f ca="1">(O32*ct_int2*'Time on treatment'!$F$13)</f>
        <v>0</v>
      </c>
      <c r="R158" s="87" t="s">
        <v>172</v>
      </c>
      <c r="S158" s="111"/>
      <c r="T158" s="111"/>
      <c r="U158" s="109">
        <f ca="1">(U32*ci_int3)+(U32*ct_int3*'Time on treatment'!$D$14)</f>
        <v>0</v>
      </c>
      <c r="V158" s="109">
        <f ca="1">(V32*ct_int3*'Time on treatment'!$E$14)</f>
        <v>0</v>
      </c>
      <c r="W158" s="110">
        <f ca="1">(W32*ct_int3*'Time on treatment'!$F$14)</f>
        <v>0</v>
      </c>
      <c r="Z158" s="87" t="s">
        <v>172</v>
      </c>
      <c r="AA158" s="111"/>
      <c r="AB158" s="111"/>
      <c r="AC158" s="109">
        <f ca="1">(AC32*ci_int4)+(AC32*ct_int4*'Time on treatment'!$D$15)</f>
        <v>0</v>
      </c>
      <c r="AD158" s="109">
        <f ca="1">(AD32*ct_int4*'Time on treatment'!$E$15)</f>
        <v>0</v>
      </c>
      <c r="AE158" s="110">
        <f ca="1">(AE32*ct_int4*'Time on treatment'!$F$15)</f>
        <v>0</v>
      </c>
      <c r="AH158" s="87" t="s">
        <v>172</v>
      </c>
      <c r="AI158" s="111"/>
      <c r="AJ158" s="111"/>
      <c r="AK158" s="109">
        <f ca="1">(AK32*ci_comp1)+(AK32*ct_comp1*'Time on treatment'!$D$19)</f>
        <v>5911096.1130910916</v>
      </c>
      <c r="AL158" s="109">
        <f ca="1">(AL32*ct_comp1*'Time on treatment'!$E$19)</f>
        <v>0</v>
      </c>
      <c r="AM158" s="110">
        <f ca="1">(AM32*ct_comp1*'Time on treatment'!$F$19)</f>
        <v>0</v>
      </c>
      <c r="AP158" s="87" t="s">
        <v>172</v>
      </c>
      <c r="AQ158" s="111"/>
      <c r="AR158" s="111"/>
      <c r="AS158" s="109">
        <f ca="1">(AS32*ci_comp2)+(AS32*ct_comp2*'Time on treatment'!$D$20)</f>
        <v>0</v>
      </c>
      <c r="AT158" s="109">
        <f ca="1">(AT32*ct_comp2*'Time on treatment'!$E$20)</f>
        <v>0</v>
      </c>
      <c r="AU158" s="110">
        <f ca="1">(AU32*ct_comp2*'Time on treatment'!$F$20)</f>
        <v>0</v>
      </c>
      <c r="AX158" s="87" t="s">
        <v>172</v>
      </c>
      <c r="AY158" s="111"/>
      <c r="AZ158" s="111"/>
      <c r="BA158" s="109">
        <f ca="1">(BA32*ci_comp3)+(BA32*ct_comp3*'Time on treatment'!$D$21)</f>
        <v>0</v>
      </c>
      <c r="BB158" s="109">
        <f ca="1">(BB32*ct_comp3*'Time on treatment'!$E$21)</f>
        <v>0</v>
      </c>
      <c r="BC158" s="110">
        <f ca="1">(BC32*ct_comp3*'Time on treatment'!$F$21)</f>
        <v>0</v>
      </c>
      <c r="BF158" s="87" t="s">
        <v>172</v>
      </c>
      <c r="BG158" s="111"/>
      <c r="BH158" s="111"/>
      <c r="BI158" s="109">
        <f ca="1">(BI32*ci_comp4)+(BI32*ct_comp4*'Time on treatment'!$D$22)</f>
        <v>0</v>
      </c>
      <c r="BJ158" s="109">
        <f ca="1">(BJ32*ct_comp4*'Time on treatment'!$E$22)</f>
        <v>0</v>
      </c>
      <c r="BK158" s="110">
        <f ca="1">(BK32*ct_comp4*'Time on treatment'!$F$22)</f>
        <v>0</v>
      </c>
      <c r="BN158" s="87" t="s">
        <v>172</v>
      </c>
      <c r="BO158" s="111"/>
      <c r="BP158" s="111"/>
      <c r="BQ158" s="109">
        <f ca="1">(BQ32*ci_comp5)+(BQ32*ct_comp5*'Time on treatment'!$D$23)</f>
        <v>0</v>
      </c>
      <c r="BR158" s="109">
        <f ca="1">(BR32*ct_comp5*'Time on treatment'!$E$23)</f>
        <v>0</v>
      </c>
      <c r="BS158" s="110">
        <f ca="1">(BS32*ct_comp5*'Time on treatment'!$F$23)</f>
        <v>0</v>
      </c>
      <c r="BV158" s="87" t="s">
        <v>172</v>
      </c>
      <c r="BW158" s="111"/>
      <c r="BX158" s="111"/>
      <c r="BY158" s="109">
        <f ca="1">(BY32*ci_comp6)+(BY32*ct_comp6*'Time on treatment'!$D$24)</f>
        <v>0</v>
      </c>
      <c r="BZ158" s="109">
        <f ca="1">(BZ32*ct_comp6*'Time on treatment'!$E$24)</f>
        <v>0</v>
      </c>
      <c r="CA158" s="110">
        <f ca="1">(CA32*ct_comp6*'Time on treatment'!$F$24)</f>
        <v>0</v>
      </c>
      <c r="CD158" s="87" t="s">
        <v>172</v>
      </c>
      <c r="CE158" s="111"/>
      <c r="CF158" s="111"/>
      <c r="CG158" s="109">
        <f ca="1">(CG32*ci_comp7)+(CG32*ct_comp7*'Time on treatment'!$D$25)</f>
        <v>0</v>
      </c>
      <c r="CH158" s="109">
        <f ca="1">(CH32*ct_comp7*'Time on treatment'!$E$25)</f>
        <v>0</v>
      </c>
      <c r="CI158" s="110">
        <f ca="1">(CI32*ct_comp7*'Time on treatment'!$F$25)</f>
        <v>0</v>
      </c>
      <c r="CL158" s="87" t="s">
        <v>172</v>
      </c>
      <c r="CM158" s="111"/>
      <c r="CN158" s="111"/>
      <c r="CO158" s="109">
        <f ca="1">(CO32*ci_comp8)+(CO32*ct_comp8*'Time on treatment'!$D$26)</f>
        <v>0</v>
      </c>
      <c r="CP158" s="109">
        <f ca="1">(CP32*ct_comp8*'Time on treatment'!$E$26)</f>
        <v>0</v>
      </c>
      <c r="CQ158" s="110">
        <f ca="1">(CQ32*ct_comp8*'Time on treatment'!$F$26)</f>
        <v>0</v>
      </c>
      <c r="CT158" s="87" t="s">
        <v>172</v>
      </c>
      <c r="CU158" s="111"/>
      <c r="CV158" s="111"/>
      <c r="CW158" s="109">
        <f ca="1">(CW32*ci_comp9)+(CW32*ct_comp9*'Time on treatment'!$D$27)</f>
        <v>0</v>
      </c>
      <c r="CX158" s="109">
        <f ca="1">(CX32*ct_comp9*'Time on treatment'!$E$27)</f>
        <v>0</v>
      </c>
      <c r="CY158" s="110">
        <f ca="1">(CY32*ct_comp9*'Time on treatment'!$F$27)</f>
        <v>0</v>
      </c>
      <c r="DB158" s="87" t="s">
        <v>172</v>
      </c>
      <c r="DC158" s="111"/>
      <c r="DD158" s="111"/>
      <c r="DE158" s="109">
        <f ca="1">(DE32*ci_comp10)+(DE32*ct_comp10*'Time on treatment'!$D$28)</f>
        <v>0</v>
      </c>
      <c r="DF158" s="109">
        <f ca="1">(DF32*ct_comp10*'Time on treatment'!$E$28)</f>
        <v>0</v>
      </c>
      <c r="DG158" s="110">
        <f ca="1">(DG32*ct_comp10*'Time on treatment'!$F$28)</f>
        <v>0</v>
      </c>
    </row>
    <row r="159" spans="2:113">
      <c r="B159" s="87" t="s">
        <v>177</v>
      </c>
      <c r="C159" s="111"/>
      <c r="D159" s="111"/>
      <c r="E159" s="109"/>
      <c r="F159" s="109"/>
      <c r="G159" s="110"/>
      <c r="J159" s="87" t="s">
        <v>177</v>
      </c>
      <c r="K159" s="111"/>
      <c r="L159" s="111"/>
      <c r="M159" s="109"/>
      <c r="N159" s="109"/>
      <c r="O159" s="110"/>
      <c r="R159" s="87" t="s">
        <v>177</v>
      </c>
      <c r="S159" s="111"/>
      <c r="T159" s="111"/>
      <c r="U159" s="109"/>
      <c r="V159" s="109"/>
      <c r="W159" s="110"/>
      <c r="Z159" s="87" t="s">
        <v>177</v>
      </c>
      <c r="AA159" s="111"/>
      <c r="AB159" s="111"/>
      <c r="AC159" s="109"/>
      <c r="AD159" s="109"/>
      <c r="AE159" s="110"/>
      <c r="AH159" s="87" t="s">
        <v>177</v>
      </c>
      <c r="AI159" s="111"/>
      <c r="AJ159" s="111"/>
      <c r="AK159" s="109"/>
      <c r="AL159" s="109"/>
      <c r="AM159" s="110"/>
      <c r="AP159" s="87" t="s">
        <v>177</v>
      </c>
      <c r="AQ159" s="111"/>
      <c r="AR159" s="111"/>
      <c r="AS159" s="109"/>
      <c r="AT159" s="109"/>
      <c r="AU159" s="110"/>
      <c r="AX159" s="87" t="s">
        <v>177</v>
      </c>
      <c r="AY159" s="111"/>
      <c r="AZ159" s="111"/>
      <c r="BA159" s="109"/>
      <c r="BB159" s="109"/>
      <c r="BC159" s="110"/>
      <c r="BF159" s="87" t="s">
        <v>177</v>
      </c>
      <c r="BG159" s="111"/>
      <c r="BH159" s="111"/>
      <c r="BI159" s="109"/>
      <c r="BJ159" s="109"/>
      <c r="BK159" s="110"/>
      <c r="BN159" s="87" t="s">
        <v>177</v>
      </c>
      <c r="BO159" s="111"/>
      <c r="BP159" s="111"/>
      <c r="BQ159" s="109"/>
      <c r="BR159" s="109"/>
      <c r="BS159" s="110"/>
      <c r="BV159" s="87" t="s">
        <v>177</v>
      </c>
      <c r="BW159" s="111"/>
      <c r="BX159" s="111"/>
      <c r="BY159" s="109"/>
      <c r="BZ159" s="109"/>
      <c r="CA159" s="110"/>
      <c r="CD159" s="87" t="s">
        <v>177</v>
      </c>
      <c r="CE159" s="111"/>
      <c r="CF159" s="111"/>
      <c r="CG159" s="109"/>
      <c r="CH159" s="109"/>
      <c r="CI159" s="110"/>
      <c r="CL159" s="87" t="s">
        <v>177</v>
      </c>
      <c r="CM159" s="111"/>
      <c r="CN159" s="111"/>
      <c r="CO159" s="109"/>
      <c r="CP159" s="109"/>
      <c r="CQ159" s="110"/>
      <c r="CT159" s="87" t="s">
        <v>177</v>
      </c>
      <c r="CU159" s="111"/>
      <c r="CV159" s="111"/>
      <c r="CW159" s="109"/>
      <c r="CX159" s="109"/>
      <c r="CY159" s="110"/>
      <c r="DB159" s="87" t="s">
        <v>177</v>
      </c>
      <c r="DC159" s="111"/>
      <c r="DD159" s="111"/>
      <c r="DE159" s="109"/>
      <c r="DF159" s="109"/>
      <c r="DG159" s="110"/>
    </row>
    <row r="160" spans="2:113">
      <c r="B160" s="87" t="s">
        <v>173</v>
      </c>
      <c r="C160" s="111"/>
      <c r="D160" s="111"/>
      <c r="E160" s="111"/>
      <c r="F160" s="109">
        <f ca="1">(F34*ci_int1)+(F34*ct_int1*'Time on treatment'!$D$12)</f>
        <v>0</v>
      </c>
      <c r="G160" s="110">
        <f ca="1">(G34*ct_int1*'Time on treatment'!$E$12)</f>
        <v>0</v>
      </c>
      <c r="J160" s="87" t="s">
        <v>173</v>
      </c>
      <c r="K160" s="111"/>
      <c r="L160" s="111"/>
      <c r="M160" s="111"/>
      <c r="N160" s="109">
        <f ca="1">(N34*ci_int2)+(N34*ct_int2*'Time on treatment'!$D$13)</f>
        <v>0</v>
      </c>
      <c r="O160" s="110">
        <f ca="1">(O34*ct_int2*'Time on treatment'!$E$13)</f>
        <v>0</v>
      </c>
      <c r="R160" s="87" t="s">
        <v>173</v>
      </c>
      <c r="S160" s="111"/>
      <c r="T160" s="111"/>
      <c r="U160" s="111"/>
      <c r="V160" s="109">
        <f ca="1">(V34*ci_int3)+(V34*ct_int3*'Time on treatment'!$D$14)</f>
        <v>0</v>
      </c>
      <c r="W160" s="110">
        <f ca="1">(W34*ct_int3*'Time on treatment'!$E$14)</f>
        <v>0</v>
      </c>
      <c r="Z160" s="87" t="s">
        <v>173</v>
      </c>
      <c r="AA160" s="111"/>
      <c r="AB160" s="111"/>
      <c r="AC160" s="111"/>
      <c r="AD160" s="109">
        <f ca="1">(AD34*ci_int4)+(AD34*ct_int4*'Time on treatment'!$D$15)</f>
        <v>0</v>
      </c>
      <c r="AE160" s="110">
        <f ca="1">(AE34*ct_int4*'Time on treatment'!$E$15)</f>
        <v>0</v>
      </c>
      <c r="AH160" s="87" t="s">
        <v>173</v>
      </c>
      <c r="AI160" s="111"/>
      <c r="AJ160" s="111"/>
      <c r="AK160" s="111"/>
      <c r="AL160" s="109">
        <f ca="1">(AL34*ci_comp1)+(AL34*ct_comp1*'Time on treatment'!$D$19)</f>
        <v>5944062.261561838</v>
      </c>
      <c r="AM160" s="110">
        <f ca="1">(AM34*ct_comp1*'Time on treatment'!$E$19)</f>
        <v>0</v>
      </c>
      <c r="AP160" s="87" t="s">
        <v>173</v>
      </c>
      <c r="AQ160" s="111"/>
      <c r="AR160" s="111"/>
      <c r="AS160" s="111"/>
      <c r="AT160" s="109">
        <f ca="1">(AT34*ci_comp2)+(AT34*ct_comp2*'Time on treatment'!$D$20)</f>
        <v>0</v>
      </c>
      <c r="AU160" s="110">
        <f ca="1">(AU34*ct_comp2*'Time on treatment'!$E$20)</f>
        <v>0</v>
      </c>
      <c r="AX160" s="87" t="s">
        <v>173</v>
      </c>
      <c r="AY160" s="111"/>
      <c r="AZ160" s="111"/>
      <c r="BA160" s="111"/>
      <c r="BB160" s="109">
        <f ca="1">(BB34*ci_comp3)+(BB34*ct_comp3*'Time on treatment'!$D$21)</f>
        <v>0</v>
      </c>
      <c r="BC160" s="110">
        <f ca="1">(BC34*ct_comp3*'Time on treatment'!$E$21)</f>
        <v>0</v>
      </c>
      <c r="BF160" s="87" t="s">
        <v>173</v>
      </c>
      <c r="BG160" s="111"/>
      <c r="BH160" s="111"/>
      <c r="BI160" s="111"/>
      <c r="BJ160" s="109">
        <f ca="1">(BJ34*ci_comp4)+(BJ34*ct_comp4*'Time on treatment'!$D$22)</f>
        <v>0</v>
      </c>
      <c r="BK160" s="110">
        <f ca="1">(BK34*ct_comp4*'Time on treatment'!$E$22)</f>
        <v>0</v>
      </c>
      <c r="BN160" s="87" t="s">
        <v>173</v>
      </c>
      <c r="BO160" s="111"/>
      <c r="BP160" s="111"/>
      <c r="BQ160" s="111"/>
      <c r="BR160" s="109">
        <f ca="1">(BR34*ci_comp5)+(BR34*ct_comp5*'Time on treatment'!$D$23)</f>
        <v>0</v>
      </c>
      <c r="BS160" s="110">
        <f ca="1">(BS34*ct_comp5*'Time on treatment'!$E$23)</f>
        <v>0</v>
      </c>
      <c r="BV160" s="87" t="s">
        <v>173</v>
      </c>
      <c r="BW160" s="111"/>
      <c r="BX160" s="111"/>
      <c r="BY160" s="111"/>
      <c r="BZ160" s="109">
        <f ca="1">(BZ34*ci_comp6)+(BZ34*ct_comp6*'Time on treatment'!$D$24)</f>
        <v>0</v>
      </c>
      <c r="CA160" s="110">
        <f ca="1">(CA34*ct_comp6*'Time on treatment'!$E$24)</f>
        <v>0</v>
      </c>
      <c r="CD160" s="87" t="s">
        <v>173</v>
      </c>
      <c r="CE160" s="111"/>
      <c r="CF160" s="111"/>
      <c r="CG160" s="111"/>
      <c r="CH160" s="109">
        <f ca="1">(CH34*ci_comp7)+(CH34*ct_comp7*'Time on treatment'!$D$25)</f>
        <v>0</v>
      </c>
      <c r="CI160" s="110">
        <f ca="1">(CI34*ct_comp7*'Time on treatment'!$E$25)</f>
        <v>0</v>
      </c>
      <c r="CL160" s="87" t="s">
        <v>173</v>
      </c>
      <c r="CM160" s="111"/>
      <c r="CN160" s="111"/>
      <c r="CO160" s="111"/>
      <c r="CP160" s="109">
        <f ca="1">(CP34*ci_comp8)+(CP34*ct_comp8*'Time on treatment'!$D$26)</f>
        <v>0</v>
      </c>
      <c r="CQ160" s="110">
        <f ca="1">(CQ34*ct_comp8*'Time on treatment'!$E$26)</f>
        <v>0</v>
      </c>
      <c r="CT160" s="87" t="s">
        <v>173</v>
      </c>
      <c r="CU160" s="111"/>
      <c r="CV160" s="111"/>
      <c r="CW160" s="111"/>
      <c r="CX160" s="109">
        <f ca="1">(CX34*ci_comp9)+(CX34*ct_comp9*'Time on treatment'!$D$27)</f>
        <v>0</v>
      </c>
      <c r="CY160" s="110">
        <f ca="1">(CY34*ct_comp9*'Time on treatment'!$E$27)</f>
        <v>0</v>
      </c>
      <c r="DB160" s="87" t="s">
        <v>173</v>
      </c>
      <c r="DC160" s="111"/>
      <c r="DD160" s="111"/>
      <c r="DE160" s="111"/>
      <c r="DF160" s="109">
        <f ca="1">(DF34*ci_comp10)+(DF34*ct_comp10*'Time on treatment'!$D$28)</f>
        <v>0</v>
      </c>
      <c r="DG160" s="110">
        <f ca="1">(DG34*ct_comp10*'Time on treatment'!$E$28)</f>
        <v>0</v>
      </c>
    </row>
    <row r="161" spans="2:111">
      <c r="B161" s="87" t="s">
        <v>178</v>
      </c>
      <c r="C161" s="111"/>
      <c r="D161" s="111"/>
      <c r="E161" s="111"/>
      <c r="F161" s="109"/>
      <c r="G161" s="110"/>
      <c r="J161" s="87" t="s">
        <v>178</v>
      </c>
      <c r="K161" s="111"/>
      <c r="L161" s="111"/>
      <c r="M161" s="111"/>
      <c r="N161" s="109"/>
      <c r="O161" s="110"/>
      <c r="R161" s="87" t="s">
        <v>178</v>
      </c>
      <c r="S161" s="111"/>
      <c r="T161" s="111"/>
      <c r="U161" s="111"/>
      <c r="V161" s="109"/>
      <c r="W161" s="110"/>
      <c r="Z161" s="87" t="s">
        <v>178</v>
      </c>
      <c r="AA161" s="111"/>
      <c r="AB161" s="111"/>
      <c r="AC161" s="111"/>
      <c r="AD161" s="109"/>
      <c r="AE161" s="110"/>
      <c r="AH161" s="87" t="s">
        <v>178</v>
      </c>
      <c r="AI161" s="111"/>
      <c r="AJ161" s="111"/>
      <c r="AK161" s="111"/>
      <c r="AL161" s="109"/>
      <c r="AM161" s="110"/>
      <c r="AP161" s="87" t="s">
        <v>178</v>
      </c>
      <c r="AQ161" s="111"/>
      <c r="AR161" s="111"/>
      <c r="AS161" s="111"/>
      <c r="AT161" s="109"/>
      <c r="AU161" s="110"/>
      <c r="AX161" s="87" t="s">
        <v>178</v>
      </c>
      <c r="AY161" s="111"/>
      <c r="AZ161" s="111"/>
      <c r="BA161" s="111"/>
      <c r="BB161" s="109"/>
      <c r="BC161" s="110"/>
      <c r="BF161" s="87" t="s">
        <v>178</v>
      </c>
      <c r="BG161" s="111"/>
      <c r="BH161" s="111"/>
      <c r="BI161" s="111"/>
      <c r="BJ161" s="109"/>
      <c r="BK161" s="110"/>
      <c r="BN161" s="87" t="s">
        <v>178</v>
      </c>
      <c r="BO161" s="111"/>
      <c r="BP161" s="111"/>
      <c r="BQ161" s="111"/>
      <c r="BR161" s="109"/>
      <c r="BS161" s="110"/>
      <c r="BV161" s="87" t="s">
        <v>178</v>
      </c>
      <c r="BW161" s="111"/>
      <c r="BX161" s="111"/>
      <c r="BY161" s="111"/>
      <c r="BZ161" s="109"/>
      <c r="CA161" s="110"/>
      <c r="CD161" s="87" t="s">
        <v>178</v>
      </c>
      <c r="CE161" s="111"/>
      <c r="CF161" s="111"/>
      <c r="CG161" s="111"/>
      <c r="CH161" s="109"/>
      <c r="CI161" s="110"/>
      <c r="CL161" s="87" t="s">
        <v>178</v>
      </c>
      <c r="CM161" s="111"/>
      <c r="CN161" s="111"/>
      <c r="CO161" s="111"/>
      <c r="CP161" s="109"/>
      <c r="CQ161" s="110"/>
      <c r="CT161" s="87" t="s">
        <v>178</v>
      </c>
      <c r="CU161" s="111"/>
      <c r="CV161" s="111"/>
      <c r="CW161" s="111"/>
      <c r="CX161" s="109"/>
      <c r="CY161" s="110"/>
      <c r="DB161" s="87" t="s">
        <v>178</v>
      </c>
      <c r="DC161" s="111"/>
      <c r="DD161" s="111"/>
      <c r="DE161" s="111"/>
      <c r="DF161" s="109"/>
      <c r="DG161" s="110"/>
    </row>
    <row r="162" spans="2:111">
      <c r="B162" s="87" t="s">
        <v>174</v>
      </c>
      <c r="C162" s="111"/>
      <c r="D162" s="111"/>
      <c r="E162" s="111"/>
      <c r="F162" s="111"/>
      <c r="G162" s="110">
        <f ca="1">(G36*ci_int1)+(G36*ct_int1*'Time on treatment'!$D$12)</f>
        <v>0</v>
      </c>
      <c r="J162" s="87" t="s">
        <v>174</v>
      </c>
      <c r="K162" s="111"/>
      <c r="L162" s="111"/>
      <c r="M162" s="111"/>
      <c r="N162" s="111"/>
      <c r="O162" s="110">
        <f ca="1">(O36*ci_int2)+(O36*ct_int2*'Time on treatment'!$D$13)</f>
        <v>0</v>
      </c>
      <c r="R162" s="87" t="s">
        <v>174</v>
      </c>
      <c r="S162" s="111"/>
      <c r="T162" s="111"/>
      <c r="U162" s="111"/>
      <c r="V162" s="111"/>
      <c r="W162" s="110">
        <f ca="1">(W36*ci_int3)+(W36*ct_int3*'Time on treatment'!$D$14)</f>
        <v>0</v>
      </c>
      <c r="Z162" s="87" t="s">
        <v>174</v>
      </c>
      <c r="AA162" s="111"/>
      <c r="AB162" s="111"/>
      <c r="AC162" s="111"/>
      <c r="AD162" s="111"/>
      <c r="AE162" s="110">
        <f ca="1">(AE36*ci_int4)+(AE36*ct_int4*'Time on treatment'!$D$15)</f>
        <v>0</v>
      </c>
      <c r="AH162" s="87" t="s">
        <v>174</v>
      </c>
      <c r="AI162" s="111"/>
      <c r="AJ162" s="111"/>
      <c r="AK162" s="111"/>
      <c r="AL162" s="111"/>
      <c r="AM162" s="110">
        <f ca="1">(AM36*ci_comp1)+(AM36*ct_comp1*'Time on treatment'!$D$19)</f>
        <v>5975411.3917741701</v>
      </c>
      <c r="AP162" s="87" t="s">
        <v>174</v>
      </c>
      <c r="AQ162" s="111"/>
      <c r="AR162" s="111"/>
      <c r="AS162" s="111"/>
      <c r="AT162" s="111"/>
      <c r="AU162" s="110">
        <f ca="1">(AU36*ci_comp2)+(AU36*ct_comp2*'Time on treatment'!$D$20)</f>
        <v>0</v>
      </c>
      <c r="AX162" s="87" t="s">
        <v>174</v>
      </c>
      <c r="AY162" s="111"/>
      <c r="AZ162" s="111"/>
      <c r="BA162" s="111"/>
      <c r="BB162" s="111"/>
      <c r="BC162" s="110">
        <f ca="1">(BC36*ci_comp3)+(BC36*ct_comp3*'Time on treatment'!$D$21)</f>
        <v>0</v>
      </c>
      <c r="BF162" s="87" t="s">
        <v>174</v>
      </c>
      <c r="BG162" s="111"/>
      <c r="BH162" s="111"/>
      <c r="BI162" s="111"/>
      <c r="BJ162" s="111"/>
      <c r="BK162" s="110">
        <f ca="1">(BK36*ci_comp4)+(BK36*ct_comp4*'Time on treatment'!$D$22)</f>
        <v>0</v>
      </c>
      <c r="BN162" s="87" t="s">
        <v>174</v>
      </c>
      <c r="BO162" s="111"/>
      <c r="BP162" s="111"/>
      <c r="BQ162" s="111"/>
      <c r="BR162" s="111"/>
      <c r="BS162" s="110">
        <f ca="1">(BS36*ci_comp5)+(BS36*ct_comp5*'Time on treatment'!$D$23)</f>
        <v>0</v>
      </c>
      <c r="BV162" s="87" t="s">
        <v>174</v>
      </c>
      <c r="BW162" s="111"/>
      <c r="BX162" s="111"/>
      <c r="BY162" s="111"/>
      <c r="BZ162" s="111"/>
      <c r="CA162" s="110">
        <f ca="1">(CA36*ci_comp6)+(CA36*ct_comp6*'Time on treatment'!$D$24)</f>
        <v>0</v>
      </c>
      <c r="CD162" s="87" t="s">
        <v>174</v>
      </c>
      <c r="CE162" s="111"/>
      <c r="CF162" s="111"/>
      <c r="CG162" s="111"/>
      <c r="CH162" s="111"/>
      <c r="CI162" s="110">
        <f ca="1">(CI36*ci_comp7)+(CI36*ct_comp7*'Time on treatment'!$D$25)</f>
        <v>0</v>
      </c>
      <c r="CL162" s="87" t="s">
        <v>174</v>
      </c>
      <c r="CM162" s="111"/>
      <c r="CN162" s="111"/>
      <c r="CO162" s="111"/>
      <c r="CP162" s="111"/>
      <c r="CQ162" s="110">
        <f ca="1">(CQ36*ci_comp8)+(CQ36*ct_comp8*'Time on treatment'!$D$26)</f>
        <v>0</v>
      </c>
      <c r="CT162" s="87" t="s">
        <v>174</v>
      </c>
      <c r="CU162" s="111"/>
      <c r="CV162" s="111"/>
      <c r="CW162" s="111"/>
      <c r="CX162" s="111"/>
      <c r="CY162" s="110">
        <f ca="1">(CY36*ci_comp9)+(CY36*ct_comp9*'Time on treatment'!$D$27)</f>
        <v>0</v>
      </c>
      <c r="DB162" s="87" t="s">
        <v>174</v>
      </c>
      <c r="DC162" s="111"/>
      <c r="DD162" s="111"/>
      <c r="DE162" s="111"/>
      <c r="DF162" s="111"/>
      <c r="DG162" s="110">
        <f ca="1">(DG36*ci_comp10)+(DG36*ct_comp10*'Time on treatment'!$D$28)</f>
        <v>0</v>
      </c>
    </row>
    <row r="163" spans="2:111" ht="15" thickBot="1">
      <c r="B163" s="87" t="s">
        <v>179</v>
      </c>
      <c r="C163" s="111"/>
      <c r="D163" s="111"/>
      <c r="E163" s="111"/>
      <c r="F163" s="111"/>
      <c r="G163" s="112"/>
      <c r="J163" s="87" t="s">
        <v>179</v>
      </c>
      <c r="K163" s="111"/>
      <c r="L163" s="111"/>
      <c r="M163" s="111"/>
      <c r="N163" s="111"/>
      <c r="O163" s="112"/>
      <c r="R163" s="87" t="s">
        <v>179</v>
      </c>
      <c r="S163" s="111"/>
      <c r="T163" s="111"/>
      <c r="U163" s="111"/>
      <c r="V163" s="111"/>
      <c r="W163" s="112"/>
      <c r="Z163" s="87" t="s">
        <v>179</v>
      </c>
      <c r="AA163" s="111"/>
      <c r="AB163" s="111"/>
      <c r="AC163" s="111"/>
      <c r="AD163" s="111"/>
      <c r="AE163" s="112"/>
      <c r="AH163" s="87" t="s">
        <v>179</v>
      </c>
      <c r="AI163" s="111"/>
      <c r="AJ163" s="111"/>
      <c r="AK163" s="111"/>
      <c r="AL163" s="111"/>
      <c r="AM163" s="112"/>
      <c r="AP163" s="87" t="s">
        <v>179</v>
      </c>
      <c r="AQ163" s="111"/>
      <c r="AR163" s="111"/>
      <c r="AS163" s="111"/>
      <c r="AT163" s="111"/>
      <c r="AU163" s="112"/>
      <c r="AX163" s="87" t="s">
        <v>179</v>
      </c>
      <c r="AY163" s="111"/>
      <c r="AZ163" s="111"/>
      <c r="BA163" s="111"/>
      <c r="BB163" s="111"/>
      <c r="BC163" s="112"/>
      <c r="BF163" s="87" t="s">
        <v>179</v>
      </c>
      <c r="BG163" s="111"/>
      <c r="BH163" s="111"/>
      <c r="BI163" s="111"/>
      <c r="BJ163" s="111"/>
      <c r="BK163" s="112"/>
      <c r="BN163" s="87" t="s">
        <v>179</v>
      </c>
      <c r="BO163" s="111"/>
      <c r="BP163" s="111"/>
      <c r="BQ163" s="111"/>
      <c r="BR163" s="111"/>
      <c r="BS163" s="112"/>
      <c r="BV163" s="87" t="s">
        <v>179</v>
      </c>
      <c r="BW163" s="111"/>
      <c r="BX163" s="111"/>
      <c r="BY163" s="111"/>
      <c r="BZ163" s="111"/>
      <c r="CA163" s="112"/>
      <c r="CD163" s="87" t="s">
        <v>179</v>
      </c>
      <c r="CE163" s="111"/>
      <c r="CF163" s="111"/>
      <c r="CG163" s="111"/>
      <c r="CH163" s="111"/>
      <c r="CI163" s="112"/>
      <c r="CL163" s="87" t="s">
        <v>179</v>
      </c>
      <c r="CM163" s="111"/>
      <c r="CN163" s="111"/>
      <c r="CO163" s="111"/>
      <c r="CP163" s="111"/>
      <c r="CQ163" s="112"/>
      <c r="CT163" s="87" t="s">
        <v>179</v>
      </c>
      <c r="CU163" s="111"/>
      <c r="CV163" s="111"/>
      <c r="CW163" s="111"/>
      <c r="CX163" s="111"/>
      <c r="CY163" s="112"/>
      <c r="DB163" s="87" t="s">
        <v>179</v>
      </c>
      <c r="DC163" s="111"/>
      <c r="DD163" s="111"/>
      <c r="DE163" s="111"/>
      <c r="DF163" s="111"/>
      <c r="DG163" s="112"/>
    </row>
    <row r="164" spans="2:111" ht="15" thickBot="1">
      <c r="B164" s="85" t="str">
        <f>B145</f>
        <v>PET-CT</v>
      </c>
      <c r="C164" s="113">
        <f ca="1">SUM(C154:C162)</f>
        <v>0</v>
      </c>
      <c r="D164" s="113">
        <f ca="1">SUM(D154:D162)</f>
        <v>0</v>
      </c>
      <c r="E164" s="113">
        <f ca="1">SUM(E154:E162)</f>
        <v>0</v>
      </c>
      <c r="F164" s="113">
        <f ca="1">SUM(F154:F162)</f>
        <v>0</v>
      </c>
      <c r="G164" s="114">
        <f ca="1">SUM(G154:G162)</f>
        <v>0</v>
      </c>
      <c r="J164" s="85">
        <f>J145</f>
        <v>0</v>
      </c>
      <c r="K164" s="113">
        <f ca="1">SUM(K154:K162)</f>
        <v>0</v>
      </c>
      <c r="L164" s="113">
        <f ca="1">SUM(L154:L162)</f>
        <v>0</v>
      </c>
      <c r="M164" s="113">
        <f ca="1">SUM(M154:M162)</f>
        <v>0</v>
      </c>
      <c r="N164" s="113">
        <f ca="1">SUM(N154:N162)</f>
        <v>0</v>
      </c>
      <c r="O164" s="114">
        <f ca="1">SUM(O154:O162)</f>
        <v>0</v>
      </c>
      <c r="R164" s="85">
        <f>R145</f>
        <v>0</v>
      </c>
      <c r="S164" s="113">
        <f ca="1">SUM(S154:S162)</f>
        <v>0</v>
      </c>
      <c r="T164" s="113">
        <f ca="1">SUM(T154:T162)</f>
        <v>0</v>
      </c>
      <c r="U164" s="113">
        <f ca="1">SUM(U154:U162)</f>
        <v>0</v>
      </c>
      <c r="V164" s="113">
        <f ca="1">SUM(V154:V162)</f>
        <v>0</v>
      </c>
      <c r="W164" s="114">
        <f ca="1">SUM(W154:W162)</f>
        <v>0</v>
      </c>
      <c r="Z164" s="85">
        <f>Z145</f>
        <v>0</v>
      </c>
      <c r="AA164" s="113">
        <f ca="1">SUM(AA154:AA162)</f>
        <v>0</v>
      </c>
      <c r="AB164" s="113">
        <f ca="1">SUM(AB154:AB162)</f>
        <v>0</v>
      </c>
      <c r="AC164" s="113">
        <f ca="1">SUM(AC154:AC162)</f>
        <v>0</v>
      </c>
      <c r="AD164" s="113">
        <f ca="1">SUM(AD154:AD162)</f>
        <v>0</v>
      </c>
      <c r="AE164" s="114">
        <f ca="1">SUM(AE154:AE162)</f>
        <v>0</v>
      </c>
      <c r="AH164" s="85" t="str">
        <f>AH145</f>
        <v>CT scan + scintigraphy</v>
      </c>
      <c r="AI164" s="113">
        <f ca="1">SUM(AI154:AI162)</f>
        <v>5840477.6854851758</v>
      </c>
      <c r="AJ164" s="113">
        <f ca="1">SUM(AJ154:AJ162)</f>
        <v>5876554.1572671244</v>
      </c>
      <c r="AK164" s="113">
        <f ca="1">SUM(AK154:AK162)</f>
        <v>5911096.1130910916</v>
      </c>
      <c r="AL164" s="113">
        <f ca="1">SUM(AL154:AL162)</f>
        <v>5944062.261561838</v>
      </c>
      <c r="AM164" s="114">
        <f ca="1">SUM(AM154:AM162)</f>
        <v>5975411.3917741701</v>
      </c>
      <c r="AP164" s="85">
        <f>AP145</f>
        <v>0</v>
      </c>
      <c r="AQ164" s="113">
        <f ca="1">SUM(AQ154:AQ162)</f>
        <v>0</v>
      </c>
      <c r="AR164" s="113">
        <f ca="1">SUM(AR154:AR162)</f>
        <v>0</v>
      </c>
      <c r="AS164" s="113">
        <f ca="1">SUM(AS154:AS162)</f>
        <v>0</v>
      </c>
      <c r="AT164" s="113">
        <f ca="1">SUM(AT154:AT162)</f>
        <v>0</v>
      </c>
      <c r="AU164" s="114">
        <f ca="1">SUM(AU154:AU162)</f>
        <v>0</v>
      </c>
      <c r="AX164" s="85">
        <f>AX145</f>
        <v>0</v>
      </c>
      <c r="AY164" s="113">
        <f ca="1">SUM(AY154:AY162)</f>
        <v>0</v>
      </c>
      <c r="AZ164" s="113">
        <f ca="1">SUM(AZ154:AZ162)</f>
        <v>0</v>
      </c>
      <c r="BA164" s="113">
        <f ca="1">SUM(BA154:BA162)</f>
        <v>0</v>
      </c>
      <c r="BB164" s="113">
        <f ca="1">SUM(BB154:BB162)</f>
        <v>0</v>
      </c>
      <c r="BC164" s="114">
        <f ca="1">SUM(BC154:BC162)</f>
        <v>0</v>
      </c>
      <c r="BF164" s="85">
        <f>BF145</f>
        <v>0</v>
      </c>
      <c r="BG164" s="113">
        <f ca="1">SUM(BG154:BG162)</f>
        <v>0</v>
      </c>
      <c r="BH164" s="113">
        <f ca="1">SUM(BH154:BH162)</f>
        <v>0</v>
      </c>
      <c r="BI164" s="113">
        <f ca="1">SUM(BI154:BI162)</f>
        <v>0</v>
      </c>
      <c r="BJ164" s="113">
        <f ca="1">SUM(BJ154:BJ162)</f>
        <v>0</v>
      </c>
      <c r="BK164" s="114">
        <f ca="1">SUM(BK154:BK162)</f>
        <v>0</v>
      </c>
      <c r="BN164" s="85">
        <f>BN145</f>
        <v>0</v>
      </c>
      <c r="BO164" s="113">
        <f ca="1">SUM(BO154:BO162)</f>
        <v>0</v>
      </c>
      <c r="BP164" s="113">
        <f ca="1">SUM(BP154:BP162)</f>
        <v>0</v>
      </c>
      <c r="BQ164" s="113">
        <f ca="1">SUM(BQ154:BQ162)</f>
        <v>0</v>
      </c>
      <c r="BR164" s="113">
        <f ca="1">SUM(BR154:BR162)</f>
        <v>0</v>
      </c>
      <c r="BS164" s="114">
        <f ca="1">SUM(BS154:BS162)</f>
        <v>0</v>
      </c>
      <c r="BV164" s="85">
        <f>BV145</f>
        <v>0</v>
      </c>
      <c r="BW164" s="113">
        <f ca="1">SUM(BW154:BW162)</f>
        <v>0</v>
      </c>
      <c r="BX164" s="113">
        <f ca="1">SUM(BX154:BX162)</f>
        <v>0</v>
      </c>
      <c r="BY164" s="113">
        <f ca="1">SUM(BY154:BY162)</f>
        <v>0</v>
      </c>
      <c r="BZ164" s="113">
        <f ca="1">SUM(BZ154:BZ162)</f>
        <v>0</v>
      </c>
      <c r="CA164" s="114">
        <f ca="1">SUM(CA154:CA162)</f>
        <v>0</v>
      </c>
      <c r="CD164" s="85">
        <f>CD145</f>
        <v>0</v>
      </c>
      <c r="CE164" s="113">
        <f ca="1">SUM(CE154:CE162)</f>
        <v>0</v>
      </c>
      <c r="CF164" s="113">
        <f ca="1">SUM(CF154:CF162)</f>
        <v>0</v>
      </c>
      <c r="CG164" s="113">
        <f ca="1">SUM(CG154:CG162)</f>
        <v>0</v>
      </c>
      <c r="CH164" s="113">
        <f ca="1">SUM(CH154:CH162)</f>
        <v>0</v>
      </c>
      <c r="CI164" s="114">
        <f ca="1">SUM(CI154:CI162)</f>
        <v>0</v>
      </c>
      <c r="CL164" s="85">
        <f>CL145</f>
        <v>0</v>
      </c>
      <c r="CM164" s="113">
        <f ca="1">SUM(CM154:CM162)</f>
        <v>0</v>
      </c>
      <c r="CN164" s="113">
        <f ca="1">SUM(CN154:CN162)</f>
        <v>0</v>
      </c>
      <c r="CO164" s="113">
        <f ca="1">SUM(CO154:CO162)</f>
        <v>0</v>
      </c>
      <c r="CP164" s="113">
        <f ca="1">SUM(CP154:CP162)</f>
        <v>0</v>
      </c>
      <c r="CQ164" s="114">
        <f ca="1">SUM(CQ154:CQ162)</f>
        <v>0</v>
      </c>
      <c r="CT164" s="85">
        <f>CT145</f>
        <v>0</v>
      </c>
      <c r="CU164" s="113">
        <f ca="1">SUM(CU154:CU162)</f>
        <v>0</v>
      </c>
      <c r="CV164" s="113">
        <f ca="1">SUM(CV154:CV162)</f>
        <v>0</v>
      </c>
      <c r="CW164" s="113">
        <f ca="1">SUM(CW154:CW162)</f>
        <v>0</v>
      </c>
      <c r="CX164" s="113">
        <f ca="1">SUM(CX154:CX162)</f>
        <v>0</v>
      </c>
      <c r="CY164" s="114">
        <f ca="1">SUM(CY154:CY162)</f>
        <v>0</v>
      </c>
      <c r="DB164" s="85">
        <f>DB145</f>
        <v>0</v>
      </c>
      <c r="DC164" s="113">
        <f ca="1">SUM(DC154:DC162)</f>
        <v>0</v>
      </c>
      <c r="DD164" s="113">
        <f ca="1">SUM(DD154:DD162)</f>
        <v>0</v>
      </c>
      <c r="DE164" s="113">
        <f ca="1">SUM(DE154:DE162)</f>
        <v>0</v>
      </c>
      <c r="DF164" s="113">
        <f ca="1">SUM(DF154:DF162)</f>
        <v>0</v>
      </c>
      <c r="DG164" s="114">
        <f ca="1">SUM(DG154:DG162)</f>
        <v>0</v>
      </c>
    </row>
    <row r="165" spans="2:111" ht="15" thickBot="1">
      <c r="B165" s="83"/>
      <c r="C165" s="86"/>
      <c r="D165" s="86"/>
      <c r="E165" s="86"/>
      <c r="F165" s="86"/>
      <c r="G165" s="86"/>
      <c r="J165" s="83"/>
      <c r="K165" s="86"/>
      <c r="L165" s="86"/>
      <c r="M165" s="86"/>
      <c r="N165" s="86"/>
      <c r="O165" s="86"/>
      <c r="R165" s="83"/>
      <c r="S165" s="86"/>
      <c r="T165" s="86"/>
      <c r="U165" s="86"/>
      <c r="V165" s="86"/>
      <c r="W165" s="86"/>
      <c r="Z165" s="83"/>
      <c r="AA165" s="86"/>
      <c r="AB165" s="86"/>
      <c r="AC165" s="86"/>
      <c r="AD165" s="86"/>
      <c r="AE165" s="86"/>
      <c r="AH165" s="83"/>
      <c r="AI165" s="86"/>
      <c r="AJ165" s="86"/>
      <c r="AK165" s="86"/>
      <c r="AL165" s="86"/>
      <c r="AM165" s="86"/>
      <c r="AP165" s="83"/>
      <c r="AQ165" s="86"/>
      <c r="AR165" s="86"/>
      <c r="AS165" s="86"/>
      <c r="AT165" s="86"/>
      <c r="AU165" s="86"/>
      <c r="AX165" s="83"/>
      <c r="AY165" s="86"/>
      <c r="AZ165" s="86"/>
      <c r="BA165" s="86"/>
      <c r="BB165" s="86"/>
      <c r="BC165" s="86"/>
      <c r="BF165" s="83"/>
      <c r="BG165" s="86"/>
      <c r="BH165" s="86"/>
      <c r="BI165" s="86"/>
      <c r="BJ165" s="86"/>
      <c r="BK165" s="86"/>
      <c r="BN165" s="83"/>
      <c r="BO165" s="86"/>
      <c r="BP165" s="86"/>
      <c r="BQ165" s="86"/>
      <c r="BR165" s="86"/>
      <c r="BS165" s="86"/>
      <c r="BV165" s="83"/>
      <c r="BW165" s="86"/>
      <c r="BX165" s="86"/>
      <c r="BY165" s="86"/>
      <c r="BZ165" s="86"/>
      <c r="CA165" s="86"/>
      <c r="CD165" s="83"/>
      <c r="CE165" s="86"/>
      <c r="CF165" s="86"/>
      <c r="CG165" s="86"/>
      <c r="CH165" s="86"/>
      <c r="CI165" s="86"/>
      <c r="CL165" s="83"/>
      <c r="CM165" s="86"/>
      <c r="CN165" s="86"/>
      <c r="CO165" s="86"/>
      <c r="CP165" s="86"/>
      <c r="CQ165" s="86"/>
      <c r="CT165" s="83"/>
      <c r="CU165" s="86"/>
      <c r="CV165" s="86"/>
      <c r="CW165" s="86"/>
      <c r="CX165" s="86"/>
      <c r="CY165" s="86"/>
      <c r="DB165" s="83"/>
      <c r="DC165" s="86"/>
      <c r="DD165" s="86"/>
      <c r="DE165" s="86"/>
      <c r="DF165" s="86"/>
      <c r="DG165" s="86"/>
    </row>
    <row r="166" spans="2:111" ht="15" thickBot="1">
      <c r="B166" s="507" t="str">
        <f>B105</f>
        <v>With PET-CT 20-100%</v>
      </c>
      <c r="C166" s="505"/>
      <c r="D166" s="505"/>
      <c r="E166" s="505"/>
      <c r="F166" s="505"/>
      <c r="G166" s="506"/>
      <c r="J166" s="507" t="str">
        <f>J105</f>
        <v>With PET-CT 20-100%</v>
      </c>
      <c r="K166" s="505"/>
      <c r="L166" s="505"/>
      <c r="M166" s="505"/>
      <c r="N166" s="505"/>
      <c r="O166" s="506"/>
      <c r="R166" s="507" t="str">
        <f>R105</f>
        <v>With PET-CT 20-100%</v>
      </c>
      <c r="S166" s="505"/>
      <c r="T166" s="505"/>
      <c r="U166" s="505"/>
      <c r="V166" s="505"/>
      <c r="W166" s="506"/>
      <c r="Z166" s="507" t="str">
        <f>Z105</f>
        <v>With PET-CT 20-100%</v>
      </c>
      <c r="AA166" s="505"/>
      <c r="AB166" s="505"/>
      <c r="AC166" s="505"/>
      <c r="AD166" s="505"/>
      <c r="AE166" s="506"/>
      <c r="AH166" s="507" t="str">
        <f>AH105</f>
        <v>With PET-CT 20-100%</v>
      </c>
      <c r="AI166" s="505"/>
      <c r="AJ166" s="505"/>
      <c r="AK166" s="505"/>
      <c r="AL166" s="505"/>
      <c r="AM166" s="506"/>
      <c r="AP166" s="507" t="str">
        <f>AP105</f>
        <v>With PET-CT 20-100%</v>
      </c>
      <c r="AQ166" s="505"/>
      <c r="AR166" s="505"/>
      <c r="AS166" s="505"/>
      <c r="AT166" s="505"/>
      <c r="AU166" s="506"/>
      <c r="AX166" s="507" t="str">
        <f>AX105</f>
        <v>With PET-CT 20-100%</v>
      </c>
      <c r="AY166" s="505"/>
      <c r="AZ166" s="505"/>
      <c r="BA166" s="505"/>
      <c r="BB166" s="505"/>
      <c r="BC166" s="506"/>
      <c r="BF166" s="507" t="str">
        <f>BF105</f>
        <v>With PET-CT 20-100%</v>
      </c>
      <c r="BG166" s="505"/>
      <c r="BH166" s="505"/>
      <c r="BI166" s="505"/>
      <c r="BJ166" s="505"/>
      <c r="BK166" s="506"/>
      <c r="BN166" s="507" t="str">
        <f>BN105</f>
        <v>With PET-CT 20-100%</v>
      </c>
      <c r="BO166" s="505"/>
      <c r="BP166" s="505"/>
      <c r="BQ166" s="505"/>
      <c r="BR166" s="505"/>
      <c r="BS166" s="506"/>
      <c r="BV166" s="507" t="str">
        <f>BV105</f>
        <v>With PET-CT 20-100%</v>
      </c>
      <c r="BW166" s="505"/>
      <c r="BX166" s="505"/>
      <c r="BY166" s="505"/>
      <c r="BZ166" s="505"/>
      <c r="CA166" s="506"/>
      <c r="CD166" s="507" t="str">
        <f>CD105</f>
        <v>With PET-CT 20-100%</v>
      </c>
      <c r="CE166" s="505"/>
      <c r="CF166" s="505"/>
      <c r="CG166" s="505"/>
      <c r="CH166" s="505"/>
      <c r="CI166" s="506"/>
      <c r="CL166" s="507" t="str">
        <f>CL105</f>
        <v>With PET-CT 20-100%</v>
      </c>
      <c r="CM166" s="505"/>
      <c r="CN166" s="505"/>
      <c r="CO166" s="505"/>
      <c r="CP166" s="505"/>
      <c r="CQ166" s="506"/>
      <c r="CT166" s="507" t="str">
        <f>CT105</f>
        <v>With PET-CT 20-100%</v>
      </c>
      <c r="CU166" s="505"/>
      <c r="CV166" s="505"/>
      <c r="CW166" s="505"/>
      <c r="CX166" s="505"/>
      <c r="CY166" s="506"/>
      <c r="DB166" s="507" t="str">
        <f>DB105</f>
        <v>With PET-CT 20-100%</v>
      </c>
      <c r="DC166" s="505"/>
      <c r="DD166" s="505"/>
      <c r="DE166" s="505"/>
      <c r="DF166" s="505"/>
      <c r="DG166" s="506"/>
    </row>
    <row r="167" spans="2:111">
      <c r="B167" s="84"/>
      <c r="C167" s="101">
        <f>C106</f>
        <v>2024</v>
      </c>
      <c r="D167" s="101">
        <f t="shared" ref="D167:F167" si="342">D106</f>
        <v>2025</v>
      </c>
      <c r="E167" s="101">
        <f t="shared" si="342"/>
        <v>2026</v>
      </c>
      <c r="F167" s="101">
        <f t="shared" si="342"/>
        <v>2027</v>
      </c>
      <c r="G167" s="102">
        <f>G106</f>
        <v>2028</v>
      </c>
      <c r="J167" s="84"/>
      <c r="K167" s="101">
        <f>K106</f>
        <v>2024</v>
      </c>
      <c r="L167" s="101">
        <f t="shared" ref="L167:N167" si="343">L106</f>
        <v>2025</v>
      </c>
      <c r="M167" s="101">
        <f t="shared" si="343"/>
        <v>2026</v>
      </c>
      <c r="N167" s="101">
        <f t="shared" si="343"/>
        <v>2027</v>
      </c>
      <c r="O167" s="102">
        <f>O106</f>
        <v>2028</v>
      </c>
      <c r="R167" s="84"/>
      <c r="S167" s="101">
        <f>S106</f>
        <v>2024</v>
      </c>
      <c r="T167" s="101">
        <f t="shared" ref="T167:V167" si="344">T106</f>
        <v>2025</v>
      </c>
      <c r="U167" s="101">
        <f t="shared" si="344"/>
        <v>2026</v>
      </c>
      <c r="V167" s="101">
        <f t="shared" si="344"/>
        <v>2027</v>
      </c>
      <c r="W167" s="102">
        <f>W106</f>
        <v>2028</v>
      </c>
      <c r="Z167" s="84"/>
      <c r="AA167" s="101">
        <f>AA106</f>
        <v>2024</v>
      </c>
      <c r="AB167" s="101">
        <f t="shared" ref="AB167:AD167" si="345">AB106</f>
        <v>2025</v>
      </c>
      <c r="AC167" s="101">
        <f t="shared" si="345"/>
        <v>2026</v>
      </c>
      <c r="AD167" s="101">
        <f t="shared" si="345"/>
        <v>2027</v>
      </c>
      <c r="AE167" s="102">
        <f>AE106</f>
        <v>2028</v>
      </c>
      <c r="AH167" s="84"/>
      <c r="AI167" s="101">
        <f>AI106</f>
        <v>2024</v>
      </c>
      <c r="AJ167" s="101">
        <f t="shared" ref="AJ167:AL167" si="346">AJ106</f>
        <v>2025</v>
      </c>
      <c r="AK167" s="101">
        <f t="shared" si="346"/>
        <v>2026</v>
      </c>
      <c r="AL167" s="101">
        <f t="shared" si="346"/>
        <v>2027</v>
      </c>
      <c r="AM167" s="102">
        <f>AM106</f>
        <v>2028</v>
      </c>
      <c r="AP167" s="84"/>
      <c r="AQ167" s="101">
        <f>AQ106</f>
        <v>2024</v>
      </c>
      <c r="AR167" s="101">
        <f t="shared" ref="AR167:AT167" si="347">AR106</f>
        <v>2025</v>
      </c>
      <c r="AS167" s="101">
        <f t="shared" si="347"/>
        <v>2026</v>
      </c>
      <c r="AT167" s="101">
        <f t="shared" si="347"/>
        <v>2027</v>
      </c>
      <c r="AU167" s="102">
        <f>AU106</f>
        <v>2028</v>
      </c>
      <c r="AX167" s="84"/>
      <c r="AY167" s="101">
        <f>AY106</f>
        <v>2024</v>
      </c>
      <c r="AZ167" s="101">
        <f t="shared" ref="AZ167:BB167" si="348">AZ106</f>
        <v>2025</v>
      </c>
      <c r="BA167" s="101">
        <f t="shared" si="348"/>
        <v>2026</v>
      </c>
      <c r="BB167" s="101">
        <f t="shared" si="348"/>
        <v>2027</v>
      </c>
      <c r="BC167" s="102">
        <f>BC106</f>
        <v>2028</v>
      </c>
      <c r="BF167" s="84"/>
      <c r="BG167" s="101">
        <f>BG106</f>
        <v>2024</v>
      </c>
      <c r="BH167" s="101">
        <f t="shared" ref="BH167:BJ167" si="349">BH106</f>
        <v>2025</v>
      </c>
      <c r="BI167" s="101">
        <f t="shared" si="349"/>
        <v>2026</v>
      </c>
      <c r="BJ167" s="101">
        <f t="shared" si="349"/>
        <v>2027</v>
      </c>
      <c r="BK167" s="102">
        <f>BK106</f>
        <v>2028</v>
      </c>
      <c r="BN167" s="84"/>
      <c r="BO167" s="101">
        <f>BO106</f>
        <v>2024</v>
      </c>
      <c r="BP167" s="101">
        <f t="shared" ref="BP167:BR167" si="350">BP106</f>
        <v>2025</v>
      </c>
      <c r="BQ167" s="101">
        <f t="shared" si="350"/>
        <v>2026</v>
      </c>
      <c r="BR167" s="101">
        <f t="shared" si="350"/>
        <v>2027</v>
      </c>
      <c r="BS167" s="102">
        <f>BS106</f>
        <v>2028</v>
      </c>
      <c r="BV167" s="84"/>
      <c r="BW167" s="101">
        <f>BW106</f>
        <v>2024</v>
      </c>
      <c r="BX167" s="101">
        <f t="shared" ref="BX167:BZ167" si="351">BX106</f>
        <v>2025</v>
      </c>
      <c r="BY167" s="101">
        <f t="shared" si="351"/>
        <v>2026</v>
      </c>
      <c r="BZ167" s="101">
        <f t="shared" si="351"/>
        <v>2027</v>
      </c>
      <c r="CA167" s="102">
        <f>CA106</f>
        <v>2028</v>
      </c>
      <c r="CD167" s="84"/>
      <c r="CE167" s="101">
        <f>CE106</f>
        <v>2024</v>
      </c>
      <c r="CF167" s="101">
        <f t="shared" ref="CF167:CH167" si="352">CF106</f>
        <v>2025</v>
      </c>
      <c r="CG167" s="101">
        <f t="shared" si="352"/>
        <v>2026</v>
      </c>
      <c r="CH167" s="101">
        <f t="shared" si="352"/>
        <v>2027</v>
      </c>
      <c r="CI167" s="102">
        <f>CI106</f>
        <v>2028</v>
      </c>
      <c r="CL167" s="84"/>
      <c r="CM167" s="101">
        <f>CM106</f>
        <v>2024</v>
      </c>
      <c r="CN167" s="101">
        <f t="shared" ref="CN167:CP167" si="353">CN106</f>
        <v>2025</v>
      </c>
      <c r="CO167" s="101">
        <f t="shared" si="353"/>
        <v>2026</v>
      </c>
      <c r="CP167" s="101">
        <f t="shared" si="353"/>
        <v>2027</v>
      </c>
      <c r="CQ167" s="102">
        <f>CQ106</f>
        <v>2028</v>
      </c>
      <c r="CT167" s="84"/>
      <c r="CU167" s="101">
        <f>CU106</f>
        <v>2024</v>
      </c>
      <c r="CV167" s="101">
        <f t="shared" ref="CV167:CX167" si="354">CV106</f>
        <v>2025</v>
      </c>
      <c r="CW167" s="101">
        <f t="shared" si="354"/>
        <v>2026</v>
      </c>
      <c r="CX167" s="101">
        <f t="shared" si="354"/>
        <v>2027</v>
      </c>
      <c r="CY167" s="102">
        <f>CY106</f>
        <v>2028</v>
      </c>
      <c r="DB167" s="84"/>
      <c r="DC167" s="101">
        <f>DC106</f>
        <v>2024</v>
      </c>
      <c r="DD167" s="101">
        <f t="shared" ref="DD167:DF167" si="355">DD106</f>
        <v>2025</v>
      </c>
      <c r="DE167" s="101">
        <f t="shared" si="355"/>
        <v>2026</v>
      </c>
      <c r="DF167" s="101">
        <f t="shared" si="355"/>
        <v>2027</v>
      </c>
      <c r="DG167" s="102">
        <f>DG106</f>
        <v>2028</v>
      </c>
    </row>
    <row r="168" spans="2:111">
      <c r="B168" s="87" t="s">
        <v>170</v>
      </c>
      <c r="C168" s="109">
        <f ca="1">(C43*ci_int1)+(C43*ct_int1*'Time on treatment'!$D$12)</f>
        <v>3181339.1732890946</v>
      </c>
      <c r="D168" s="109">
        <f ca="1">(D43*ct_int1*'Time on treatment'!$E$12)</f>
        <v>0</v>
      </c>
      <c r="E168" s="109">
        <f ca="1">(E43*ct_int1*'Time on treatment'!$F$12)</f>
        <v>0</v>
      </c>
      <c r="F168" s="109">
        <f ca="1">(F43*ct_int1*'Time on treatment'!$G$12)</f>
        <v>0</v>
      </c>
      <c r="G168" s="110">
        <f ca="1">(G43*ct_int1*'Time on treatment'!$H$12)</f>
        <v>0</v>
      </c>
      <c r="J168" s="87" t="s">
        <v>170</v>
      </c>
      <c r="K168" s="109">
        <f ca="1">(K43*ci_int2)+(K43*ct_int2*'Time on treatment'!$D$13)</f>
        <v>0</v>
      </c>
      <c r="L168" s="109">
        <f ca="1">(L43*ct_int2*'Time on treatment'!$E$13)</f>
        <v>0</v>
      </c>
      <c r="M168" s="109">
        <f ca="1">(M43*ct_int2*'Time on treatment'!$F$13)</f>
        <v>0</v>
      </c>
      <c r="N168" s="109">
        <f ca="1">(N43*ct_int2*'Time on treatment'!$G$13)</f>
        <v>0</v>
      </c>
      <c r="O168" s="110">
        <f ca="1">(O43*ct_int2*'Time on treatment'!$H$13)</f>
        <v>0</v>
      </c>
      <c r="R168" s="87" t="s">
        <v>170</v>
      </c>
      <c r="S168" s="109">
        <f ca="1">(S43*ci_int3)+(S43*ct_int3*'Time on treatment'!$D$14)</f>
        <v>0</v>
      </c>
      <c r="T168" s="109">
        <f ca="1">(T43*ct_int3*'Time on treatment'!$E$14)</f>
        <v>0</v>
      </c>
      <c r="U168" s="109">
        <f ca="1">(U43*ct_int3*'Time on treatment'!$F$14)</f>
        <v>0</v>
      </c>
      <c r="V168" s="109">
        <f ca="1">(V43*ct_int3*'Time on treatment'!$G$14)</f>
        <v>0</v>
      </c>
      <c r="W168" s="110">
        <f ca="1">(W43*ct_int3*'Time on treatment'!$H$14)</f>
        <v>0</v>
      </c>
      <c r="Z168" s="87" t="s">
        <v>170</v>
      </c>
      <c r="AA168" s="109">
        <f ca="1">(AA43*ci_int4)+(AA43*ct_int4*'Time on treatment'!$D$15)</f>
        <v>0</v>
      </c>
      <c r="AB168" s="109">
        <f ca="1">(AB43*ct_int4*'Time on treatment'!$E$15)</f>
        <v>0</v>
      </c>
      <c r="AC168" s="109">
        <f ca="1">(AC43*ct_int4*'Time on treatment'!$F$15)</f>
        <v>0</v>
      </c>
      <c r="AD168" s="109">
        <f ca="1">(AD43*ct_int4*'Time on treatment'!$G$15)</f>
        <v>0</v>
      </c>
      <c r="AE168" s="110">
        <f ca="1">(AE43*ct_int4*'Time on treatment'!$H$15)</f>
        <v>0</v>
      </c>
      <c r="AH168" s="87" t="s">
        <v>170</v>
      </c>
      <c r="AI168" s="109">
        <f ca="1">(AI43*ci_comp1)+(AI43*ct_comp1*'Time on treatment'!$D$19)</f>
        <v>4672382.1483881408</v>
      </c>
      <c r="AJ168" s="109">
        <f ca="1">(AJ43*ct_comp1*'Time on treatment'!$E$19)</f>
        <v>0</v>
      </c>
      <c r="AK168" s="109">
        <f ca="1">(AK43*ct_comp1*'Time on treatment'!$F$19)</f>
        <v>0</v>
      </c>
      <c r="AL168" s="109">
        <f ca="1">(AL43*ct_comp1*'Time on treatment'!$G$19)</f>
        <v>0</v>
      </c>
      <c r="AM168" s="110">
        <f ca="1">(AM43*ct_comp1*'Time on treatment'!$H$19)</f>
        <v>0</v>
      </c>
      <c r="AP168" s="87" t="s">
        <v>170</v>
      </c>
      <c r="AQ168" s="109">
        <f ca="1">(AQ43*ci_comp2)+(AQ43*ct_comp2*'Time on treatment'!$D$20)</f>
        <v>0</v>
      </c>
      <c r="AR168" s="109">
        <f ca="1">(AR43*ct_comp2*'Time on treatment'!$E$20)</f>
        <v>0</v>
      </c>
      <c r="AS168" s="109">
        <f ca="1">(AS43*ct_comp2*'Time on treatment'!$F$20)</f>
        <v>0</v>
      </c>
      <c r="AT168" s="109">
        <f ca="1">(AT43*ct_comp2*'Time on treatment'!$G$20)</f>
        <v>0</v>
      </c>
      <c r="AU168" s="110">
        <f ca="1">(AU43*ct_comp2*'Time on treatment'!$H$20)</f>
        <v>0</v>
      </c>
      <c r="AX168" s="87" t="s">
        <v>170</v>
      </c>
      <c r="AY168" s="109">
        <f ca="1">(AY43*ci_comp3)+(AY43*ct_comp3*'Time on treatment'!$D$21)</f>
        <v>0</v>
      </c>
      <c r="AZ168" s="109">
        <f ca="1">(AZ43*ct_comp3*'Time on treatment'!$E$21)</f>
        <v>0</v>
      </c>
      <c r="BA168" s="109">
        <f ca="1">(BA43*ct_comp3*'Time on treatment'!$F$21)</f>
        <v>0</v>
      </c>
      <c r="BB168" s="109">
        <f ca="1">(BB43*ct_comp3*'Time on treatment'!$G$21)</f>
        <v>0</v>
      </c>
      <c r="BC168" s="110">
        <f ca="1">(BC43*ct_comp3*'Time on treatment'!$H$21)</f>
        <v>0</v>
      </c>
      <c r="BF168" s="87" t="s">
        <v>170</v>
      </c>
      <c r="BG168" s="109">
        <f ca="1">(BG43*ci_comp4)+(BG43*ct_comp4*'Time on treatment'!$D$22)</f>
        <v>0</v>
      </c>
      <c r="BH168" s="109">
        <f ca="1">(BH43*ct_comp4*'Time on treatment'!$E$22)</f>
        <v>0</v>
      </c>
      <c r="BI168" s="109">
        <f ca="1">(BI43*ct_comp4*'Time on treatment'!$F$22)</f>
        <v>0</v>
      </c>
      <c r="BJ168" s="109">
        <f ca="1">(BJ43*ct_comp4*'Time on treatment'!$G$22)</f>
        <v>0</v>
      </c>
      <c r="BK168" s="110">
        <f ca="1">(BK43*ct_comp4*'Time on treatment'!$H$22)</f>
        <v>0</v>
      </c>
      <c r="BN168" s="87" t="s">
        <v>170</v>
      </c>
      <c r="BO168" s="109">
        <f ca="1">(BO43*ci_comp5)+(BO43*ct_comp5*'Time on treatment'!$D$23)</f>
        <v>0</v>
      </c>
      <c r="BP168" s="109">
        <f ca="1">(BP43*ct_comp5*'Time on treatment'!$E$23)</f>
        <v>0</v>
      </c>
      <c r="BQ168" s="109">
        <f ca="1">(BQ43*ct_comp5*'Time on treatment'!$F$23)</f>
        <v>0</v>
      </c>
      <c r="BR168" s="109">
        <f ca="1">(BR43*ct_comp5*'Time on treatment'!$G$23)</f>
        <v>0</v>
      </c>
      <c r="BS168" s="110">
        <f ca="1">(BS43*ct_comp5*'Time on treatment'!$H$23)</f>
        <v>0</v>
      </c>
      <c r="BV168" s="87" t="s">
        <v>170</v>
      </c>
      <c r="BW168" s="109">
        <f ca="1">(BW43*ci_comp6)+(BW43*ct_comp6*'Time on treatment'!$D$24)</f>
        <v>0</v>
      </c>
      <c r="BX168" s="109">
        <f ca="1">(BX43*ct_comp6*'Time on treatment'!$E$24)</f>
        <v>0</v>
      </c>
      <c r="BY168" s="109">
        <f ca="1">(BY43*ct_comp6*'Time on treatment'!$F$24)</f>
        <v>0</v>
      </c>
      <c r="BZ168" s="109">
        <f ca="1">(BZ43*ct_comp6*'Time on treatment'!$G$24)</f>
        <v>0</v>
      </c>
      <c r="CA168" s="110">
        <f ca="1">(CA43*ct_comp6*'Time on treatment'!$H$24)</f>
        <v>0</v>
      </c>
      <c r="CD168" s="87" t="s">
        <v>170</v>
      </c>
      <c r="CE168" s="109">
        <f ca="1">(CE43*ci_comp7)+(CE43*ct_comp7*'Time on treatment'!$D$25)</f>
        <v>0</v>
      </c>
      <c r="CF168" s="109">
        <f ca="1">(CF43*ct_comp7*'Time on treatment'!$E$25)</f>
        <v>0</v>
      </c>
      <c r="CG168" s="109">
        <f ca="1">(CG43*ct_comp7*'Time on treatment'!$F$25)</f>
        <v>0</v>
      </c>
      <c r="CH168" s="109">
        <f ca="1">(CH43*ct_comp7*'Time on treatment'!$G$25)</f>
        <v>0</v>
      </c>
      <c r="CI168" s="110">
        <f ca="1">(CI43*ct_comp7*'Time on treatment'!$H$25)</f>
        <v>0</v>
      </c>
      <c r="CL168" s="87" t="s">
        <v>170</v>
      </c>
      <c r="CM168" s="109">
        <f ca="1">(CM43*ci_comp8)+(CM43*ct_comp8*'Time on treatment'!$D$26)</f>
        <v>0</v>
      </c>
      <c r="CN168" s="109">
        <f ca="1">(CN43*ct_comp8*'Time on treatment'!$E$26)</f>
        <v>0</v>
      </c>
      <c r="CO168" s="109">
        <f ca="1">(CO43*ct_comp8*'Time on treatment'!$F$26)</f>
        <v>0</v>
      </c>
      <c r="CP168" s="109">
        <f ca="1">(CP43*ct_comp8*'Time on treatment'!$G$26)</f>
        <v>0</v>
      </c>
      <c r="CQ168" s="110">
        <f ca="1">(CQ43*ct_comp8*'Time on treatment'!$H$26)</f>
        <v>0</v>
      </c>
      <c r="CT168" s="87" t="s">
        <v>170</v>
      </c>
      <c r="CU168" s="109">
        <f ca="1">(CU43*ci_comp9)+(CU43*ct_comp9*'Time on treatment'!$D$27)</f>
        <v>0</v>
      </c>
      <c r="CV168" s="109">
        <f ca="1">(CV43*ct_comp9*'Time on treatment'!$E$27)</f>
        <v>0</v>
      </c>
      <c r="CW168" s="109">
        <f ca="1">(CW43*ct_comp9*'Time on treatment'!$F$27)</f>
        <v>0</v>
      </c>
      <c r="CX168" s="109">
        <f ca="1">(CX43*ct_comp9*'Time on treatment'!$G$27)</f>
        <v>0</v>
      </c>
      <c r="CY168" s="110">
        <f ca="1">(CY43*ct_comp9*'Time on treatment'!$H$27)</f>
        <v>0</v>
      </c>
      <c r="DB168" s="87" t="s">
        <v>170</v>
      </c>
      <c r="DC168" s="109">
        <f ca="1">(DC43*ci_comp10)+(DC43*ct_comp10*'Time on treatment'!$D$28)</f>
        <v>0</v>
      </c>
      <c r="DD168" s="109">
        <f ca="1">(DD43*ct_comp10*'Time on treatment'!$E$28)</f>
        <v>0</v>
      </c>
      <c r="DE168" s="109">
        <f ca="1">(DE43*ct_comp10*'Time on treatment'!$F$28)</f>
        <v>0</v>
      </c>
      <c r="DF168" s="109">
        <f ca="1">(DF43*ct_comp10*'Time on treatment'!$G$28)</f>
        <v>0</v>
      </c>
      <c r="DG168" s="110">
        <f ca="1">(DG43*ct_comp10*'Time on treatment'!$H$28)</f>
        <v>0</v>
      </c>
    </row>
    <row r="169" spans="2:111">
      <c r="B169" s="87" t="s">
        <v>175</v>
      </c>
      <c r="C169" s="109"/>
      <c r="D169" s="109"/>
      <c r="E169" s="109"/>
      <c r="F169" s="109"/>
      <c r="G169" s="110"/>
      <c r="J169" s="87" t="s">
        <v>175</v>
      </c>
      <c r="K169" s="109"/>
      <c r="L169" s="109"/>
      <c r="M169" s="109"/>
      <c r="N169" s="109"/>
      <c r="O169" s="110"/>
      <c r="R169" s="87" t="s">
        <v>175</v>
      </c>
      <c r="S169" s="109"/>
      <c r="T169" s="109"/>
      <c r="U169" s="109"/>
      <c r="V169" s="109"/>
      <c r="W169" s="110"/>
      <c r="Z169" s="87" t="s">
        <v>175</v>
      </c>
      <c r="AA169" s="109"/>
      <c r="AB169" s="109"/>
      <c r="AC169" s="109"/>
      <c r="AD169" s="109"/>
      <c r="AE169" s="110"/>
      <c r="AH169" s="87" t="s">
        <v>175</v>
      </c>
      <c r="AI169" s="109"/>
      <c r="AJ169" s="109"/>
      <c r="AK169" s="109"/>
      <c r="AL169" s="109"/>
      <c r="AM169" s="110"/>
      <c r="AP169" s="87" t="s">
        <v>175</v>
      </c>
      <c r="AQ169" s="109"/>
      <c r="AR169" s="109"/>
      <c r="AS169" s="109"/>
      <c r="AT169" s="109"/>
      <c r="AU169" s="110"/>
      <c r="AX169" s="87" t="s">
        <v>175</v>
      </c>
      <c r="AY169" s="109"/>
      <c r="AZ169" s="109"/>
      <c r="BA169" s="109"/>
      <c r="BB169" s="109"/>
      <c r="BC169" s="110"/>
      <c r="BF169" s="87" t="s">
        <v>175</v>
      </c>
      <c r="BG169" s="109"/>
      <c r="BH169" s="109"/>
      <c r="BI169" s="109"/>
      <c r="BJ169" s="109"/>
      <c r="BK169" s="110"/>
      <c r="BN169" s="87" t="s">
        <v>175</v>
      </c>
      <c r="BO169" s="109"/>
      <c r="BP169" s="109"/>
      <c r="BQ169" s="109"/>
      <c r="BR169" s="109"/>
      <c r="BS169" s="110"/>
      <c r="BV169" s="87" t="s">
        <v>175</v>
      </c>
      <c r="BW169" s="109"/>
      <c r="BX169" s="109"/>
      <c r="BY169" s="109"/>
      <c r="BZ169" s="109"/>
      <c r="CA169" s="110"/>
      <c r="CD169" s="87" t="s">
        <v>175</v>
      </c>
      <c r="CE169" s="109"/>
      <c r="CF169" s="109"/>
      <c r="CG169" s="109"/>
      <c r="CH169" s="109"/>
      <c r="CI169" s="110"/>
      <c r="CL169" s="87" t="s">
        <v>175</v>
      </c>
      <c r="CM169" s="109"/>
      <c r="CN169" s="109"/>
      <c r="CO169" s="109"/>
      <c r="CP169" s="109"/>
      <c r="CQ169" s="110"/>
      <c r="CT169" s="87" t="s">
        <v>175</v>
      </c>
      <c r="CU169" s="109"/>
      <c r="CV169" s="109"/>
      <c r="CW169" s="109"/>
      <c r="CX169" s="109"/>
      <c r="CY169" s="110"/>
      <c r="DB169" s="87" t="s">
        <v>175</v>
      </c>
      <c r="DC169" s="109"/>
      <c r="DD169" s="109"/>
      <c r="DE169" s="109"/>
      <c r="DF169" s="109"/>
      <c r="DG169" s="110"/>
    </row>
    <row r="170" spans="2:111">
      <c r="B170" s="87" t="s">
        <v>171</v>
      </c>
      <c r="C170" s="111"/>
      <c r="D170" s="109">
        <f ca="1">(D45*ci_int1)+(D45*ct_int1*'Time on treatment'!$D$12)</f>
        <v>6401980.437638036</v>
      </c>
      <c r="E170" s="109">
        <f ca="1">(E45*ct_int1*'Time on treatment'!$E$12)</f>
        <v>0</v>
      </c>
      <c r="F170" s="109">
        <f ca="1">(F45*ct_int1*'Time on treatment'!$F$12)</f>
        <v>0</v>
      </c>
      <c r="G170" s="110">
        <f ca="1">(G45*ct_int1*'Time on treatment'!$G$12)</f>
        <v>0</v>
      </c>
      <c r="J170" s="87" t="s">
        <v>171</v>
      </c>
      <c r="K170" s="111"/>
      <c r="L170" s="109">
        <f ca="1">(L45*ci_int2)+(L45*ct_int2*'Time on treatment'!$D$13)</f>
        <v>0</v>
      </c>
      <c r="M170" s="109">
        <f ca="1">(M45*ct_int2*'Time on treatment'!$E$13)</f>
        <v>0</v>
      </c>
      <c r="N170" s="109">
        <f ca="1">(N45*ct_int2*'Time on treatment'!$F$13)</f>
        <v>0</v>
      </c>
      <c r="O170" s="110">
        <f ca="1">(O45*ct_int2*'Time on treatment'!$G$13)</f>
        <v>0</v>
      </c>
      <c r="R170" s="87" t="s">
        <v>171</v>
      </c>
      <c r="S170" s="111"/>
      <c r="T170" s="109">
        <f ca="1">(T45*ci_int3)+(T45*ct_int3*'Time on treatment'!$D$14)</f>
        <v>0</v>
      </c>
      <c r="U170" s="109">
        <f ca="1">(U45*ct_int3*'Time on treatment'!$E$14)</f>
        <v>0</v>
      </c>
      <c r="V170" s="109">
        <f ca="1">(V45*ct_int3*'Time on treatment'!$F$14)</f>
        <v>0</v>
      </c>
      <c r="W170" s="110">
        <f ca="1">(W45*ct_int3*'Time on treatment'!$G$14)</f>
        <v>0</v>
      </c>
      <c r="Z170" s="87" t="s">
        <v>171</v>
      </c>
      <c r="AA170" s="111"/>
      <c r="AB170" s="109">
        <f ca="1">(AB45*ci_int4)+(AB45*ct_int4*'Time on treatment'!$D$15)</f>
        <v>0</v>
      </c>
      <c r="AC170" s="109">
        <f ca="1">(AC45*ct_int4*'Time on treatment'!$E$15)</f>
        <v>0</v>
      </c>
      <c r="AD170" s="109">
        <f ca="1">(AD45*ct_int4*'Time on treatment'!$F$15)</f>
        <v>0</v>
      </c>
      <c r="AE170" s="110">
        <f ca="1">(AE45*ct_int4*'Time on treatment'!$G$15)</f>
        <v>0</v>
      </c>
      <c r="AH170" s="87" t="s">
        <v>171</v>
      </c>
      <c r="AI170" s="111"/>
      <c r="AJ170" s="109">
        <f ca="1">(AJ45*ci_comp1)+(AJ45*ct_comp1*'Time on treatment'!$D$19)</f>
        <v>3525932.4943602746</v>
      </c>
      <c r="AK170" s="109">
        <f ca="1">(AK45*ct_comp1*'Time on treatment'!$E$19)</f>
        <v>0</v>
      </c>
      <c r="AL170" s="109">
        <f ca="1">(AL45*ct_comp1*'Time on treatment'!$F$19)</f>
        <v>0</v>
      </c>
      <c r="AM170" s="110">
        <f ca="1">(AM45*ct_comp1*'Time on treatment'!$G$19)</f>
        <v>0</v>
      </c>
      <c r="AP170" s="87" t="s">
        <v>171</v>
      </c>
      <c r="AQ170" s="111"/>
      <c r="AR170" s="109">
        <f ca="1">(AR45*ci_comp2)+(AR45*ct_comp2*'Time on treatment'!$D$20)</f>
        <v>0</v>
      </c>
      <c r="AS170" s="109">
        <f ca="1">(AS45*ct_comp2*'Time on treatment'!$E$20)</f>
        <v>0</v>
      </c>
      <c r="AT170" s="109">
        <f ca="1">(AT45*ct_comp2*'Time on treatment'!$F$20)</f>
        <v>0</v>
      </c>
      <c r="AU170" s="110">
        <f ca="1">(AU45*ct_comp2*'Time on treatment'!$G$20)</f>
        <v>0</v>
      </c>
      <c r="AX170" s="87" t="s">
        <v>171</v>
      </c>
      <c r="AY170" s="111"/>
      <c r="AZ170" s="109">
        <f ca="1">(AZ45*ci_comp3)+(AZ45*ct_comp3*'Time on treatment'!$D$21)</f>
        <v>0</v>
      </c>
      <c r="BA170" s="109">
        <f ca="1">(BA45*ct_comp3*'Time on treatment'!$E$21)</f>
        <v>0</v>
      </c>
      <c r="BB170" s="109">
        <f ca="1">(BB45*ct_comp3*'Time on treatment'!$F$21)</f>
        <v>0</v>
      </c>
      <c r="BC170" s="110">
        <f ca="1">(BC45*ct_comp3*'Time on treatment'!$G$21)</f>
        <v>0</v>
      </c>
      <c r="BF170" s="87" t="s">
        <v>171</v>
      </c>
      <c r="BG170" s="111"/>
      <c r="BH170" s="109">
        <f ca="1">(BH45*ci_comp4)+(BH45*ct_comp4*'Time on treatment'!$D$22)</f>
        <v>0</v>
      </c>
      <c r="BI170" s="109">
        <f ca="1">(BI45*ct_comp4*'Time on treatment'!$E$22)</f>
        <v>0</v>
      </c>
      <c r="BJ170" s="109">
        <f ca="1">(BJ45*ct_comp4*'Time on treatment'!$F$22)</f>
        <v>0</v>
      </c>
      <c r="BK170" s="110">
        <f ca="1">(BK45*ct_comp4*'Time on treatment'!$G$22)</f>
        <v>0</v>
      </c>
      <c r="BN170" s="87" t="s">
        <v>171</v>
      </c>
      <c r="BO170" s="111"/>
      <c r="BP170" s="109">
        <f ca="1">(BP45*ci_comp5)+(BP45*ct_comp5*'Time on treatment'!$D$23)</f>
        <v>0</v>
      </c>
      <c r="BQ170" s="109">
        <f ca="1">(BQ45*ct_comp5*'Time on treatment'!$E$23)</f>
        <v>0</v>
      </c>
      <c r="BR170" s="109">
        <f ca="1">(BR45*ct_comp5*'Time on treatment'!$F$23)</f>
        <v>0</v>
      </c>
      <c r="BS170" s="110">
        <f ca="1">(BS45*ct_comp5*'Time on treatment'!$G$23)</f>
        <v>0</v>
      </c>
      <c r="BV170" s="87" t="s">
        <v>171</v>
      </c>
      <c r="BW170" s="111"/>
      <c r="BX170" s="109">
        <f ca="1">(BX45*ci_comp6)+(BX45*ct_comp6*'Time on treatment'!$D$24)</f>
        <v>0</v>
      </c>
      <c r="BY170" s="109">
        <f ca="1">(BY45*ct_comp6*'Time on treatment'!$E$24)</f>
        <v>0</v>
      </c>
      <c r="BZ170" s="109">
        <f ca="1">(BZ45*ct_comp6*'Time on treatment'!$F$24)</f>
        <v>0</v>
      </c>
      <c r="CA170" s="110">
        <f ca="1">(CA45*ct_comp6*'Time on treatment'!$G$24)</f>
        <v>0</v>
      </c>
      <c r="CD170" s="87" t="s">
        <v>171</v>
      </c>
      <c r="CE170" s="111"/>
      <c r="CF170" s="109">
        <f ca="1">(CF45*ci_comp7)+(CF45*ct_comp7*'Time on treatment'!$D$25)</f>
        <v>0</v>
      </c>
      <c r="CG170" s="109">
        <f ca="1">(CG45*ct_comp7*'Time on treatment'!$E$25)</f>
        <v>0</v>
      </c>
      <c r="CH170" s="109">
        <f ca="1">(CH45*ct_comp7*'Time on treatment'!$F$25)</f>
        <v>0</v>
      </c>
      <c r="CI170" s="110">
        <f ca="1">(CI45*ct_comp7*'Time on treatment'!$G$25)</f>
        <v>0</v>
      </c>
      <c r="CL170" s="87" t="s">
        <v>171</v>
      </c>
      <c r="CM170" s="111"/>
      <c r="CN170" s="109">
        <f ca="1">(CN45*ci_comp8)+(CN45*ct_comp8*'Time on treatment'!$D$26)</f>
        <v>0</v>
      </c>
      <c r="CO170" s="109">
        <f ca="1">(CO45*ct_comp8*'Time on treatment'!$E$26)</f>
        <v>0</v>
      </c>
      <c r="CP170" s="109">
        <f ca="1">(CP45*ct_comp8*'Time on treatment'!$F$26)</f>
        <v>0</v>
      </c>
      <c r="CQ170" s="110">
        <f ca="1">(CQ45*ct_comp8*'Time on treatment'!$G$26)</f>
        <v>0</v>
      </c>
      <c r="CT170" s="87" t="s">
        <v>171</v>
      </c>
      <c r="CU170" s="111"/>
      <c r="CV170" s="109">
        <f ca="1">(CV45*ci_comp9)+(CV45*ct_comp9*'Time on treatment'!$D$27)</f>
        <v>0</v>
      </c>
      <c r="CW170" s="109">
        <f ca="1">(CW45*ct_comp9*'Time on treatment'!$E$27)</f>
        <v>0</v>
      </c>
      <c r="CX170" s="109">
        <f ca="1">(CX45*ct_comp9*'Time on treatment'!$F$27)</f>
        <v>0</v>
      </c>
      <c r="CY170" s="110">
        <f ca="1">(CY45*ct_comp9*'Time on treatment'!$G$27)</f>
        <v>0</v>
      </c>
      <c r="DB170" s="87" t="s">
        <v>171</v>
      </c>
      <c r="DC170" s="111"/>
      <c r="DD170" s="109">
        <f ca="1">(DD45*ci_comp10)+(DD45*ct_comp10*'Time on treatment'!$D$28)</f>
        <v>0</v>
      </c>
      <c r="DE170" s="109">
        <f ca="1">(DE45*ct_comp10*'Time on treatment'!$E$28)</f>
        <v>0</v>
      </c>
      <c r="DF170" s="109">
        <f ca="1">(DF45*ct_comp10*'Time on treatment'!$F$28)</f>
        <v>0</v>
      </c>
      <c r="DG170" s="110">
        <f ca="1">(DG45*ct_comp10*'Time on treatment'!$G$28)</f>
        <v>0</v>
      </c>
    </row>
    <row r="171" spans="2:111">
      <c r="B171" s="87" t="s">
        <v>176</v>
      </c>
      <c r="C171" s="111"/>
      <c r="D171" s="109"/>
      <c r="E171" s="109"/>
      <c r="F171" s="109"/>
      <c r="G171" s="110"/>
      <c r="J171" s="87" t="s">
        <v>176</v>
      </c>
      <c r="K171" s="111"/>
      <c r="L171" s="109"/>
      <c r="M171" s="109"/>
      <c r="N171" s="109"/>
      <c r="O171" s="110"/>
      <c r="R171" s="87" t="s">
        <v>176</v>
      </c>
      <c r="S171" s="111"/>
      <c r="T171" s="109"/>
      <c r="U171" s="109"/>
      <c r="V171" s="109"/>
      <c r="W171" s="110"/>
      <c r="Z171" s="87" t="s">
        <v>176</v>
      </c>
      <c r="AA171" s="111"/>
      <c r="AB171" s="109"/>
      <c r="AC171" s="109"/>
      <c r="AD171" s="109"/>
      <c r="AE171" s="110"/>
      <c r="AH171" s="87" t="s">
        <v>176</v>
      </c>
      <c r="AI171" s="111"/>
      <c r="AJ171" s="109"/>
      <c r="AK171" s="109"/>
      <c r="AL171" s="109"/>
      <c r="AM171" s="110"/>
      <c r="AP171" s="87" t="s">
        <v>176</v>
      </c>
      <c r="AQ171" s="111"/>
      <c r="AR171" s="109"/>
      <c r="AS171" s="109"/>
      <c r="AT171" s="109"/>
      <c r="AU171" s="110"/>
      <c r="AX171" s="87" t="s">
        <v>176</v>
      </c>
      <c r="AY171" s="111"/>
      <c r="AZ171" s="109"/>
      <c r="BA171" s="109"/>
      <c r="BB171" s="109"/>
      <c r="BC171" s="110"/>
      <c r="BF171" s="87" t="s">
        <v>176</v>
      </c>
      <c r="BG171" s="111"/>
      <c r="BH171" s="109"/>
      <c r="BI171" s="109"/>
      <c r="BJ171" s="109"/>
      <c r="BK171" s="110"/>
      <c r="BN171" s="87" t="s">
        <v>176</v>
      </c>
      <c r="BO171" s="111"/>
      <c r="BP171" s="109"/>
      <c r="BQ171" s="109"/>
      <c r="BR171" s="109"/>
      <c r="BS171" s="110"/>
      <c r="BV171" s="87" t="s">
        <v>176</v>
      </c>
      <c r="BW171" s="111"/>
      <c r="BX171" s="109"/>
      <c r="BY171" s="109"/>
      <c r="BZ171" s="109"/>
      <c r="CA171" s="110"/>
      <c r="CD171" s="87" t="s">
        <v>176</v>
      </c>
      <c r="CE171" s="111"/>
      <c r="CF171" s="109"/>
      <c r="CG171" s="109"/>
      <c r="CH171" s="109"/>
      <c r="CI171" s="110"/>
      <c r="CL171" s="87" t="s">
        <v>176</v>
      </c>
      <c r="CM171" s="111"/>
      <c r="CN171" s="109"/>
      <c r="CO171" s="109"/>
      <c r="CP171" s="109"/>
      <c r="CQ171" s="110"/>
      <c r="CT171" s="87" t="s">
        <v>176</v>
      </c>
      <c r="CU171" s="111"/>
      <c r="CV171" s="109"/>
      <c r="CW171" s="109"/>
      <c r="CX171" s="109"/>
      <c r="CY171" s="110"/>
      <c r="DB171" s="87" t="s">
        <v>176</v>
      </c>
      <c r="DC171" s="111"/>
      <c r="DD171" s="109"/>
      <c r="DE171" s="109"/>
      <c r="DF171" s="109"/>
      <c r="DG171" s="110"/>
    </row>
    <row r="172" spans="2:111">
      <c r="B172" s="87" t="s">
        <v>172</v>
      </c>
      <c r="C172" s="111"/>
      <c r="D172" s="111"/>
      <c r="E172" s="109">
        <f ca="1">(E47*ci_int1)+(E47*ct_int1*'Time on treatment'!$D$12)</f>
        <v>9659416.2161025796</v>
      </c>
      <c r="F172" s="109">
        <f ca="1">(F47*ct_int1*'Time on treatment'!$E$12)</f>
        <v>0</v>
      </c>
      <c r="G172" s="110">
        <f ca="1">(G47*ct_int1*'Time on treatment'!$F$12)</f>
        <v>0</v>
      </c>
      <c r="J172" s="87" t="s">
        <v>172</v>
      </c>
      <c r="K172" s="111"/>
      <c r="L172" s="111"/>
      <c r="M172" s="109">
        <f ca="1">(M47*ci_int2)+(M47*ct_int2*'Time on treatment'!$D$13)</f>
        <v>0</v>
      </c>
      <c r="N172" s="109">
        <f ca="1">(N47*ct_int2*'Time on treatment'!$E$13)</f>
        <v>0</v>
      </c>
      <c r="O172" s="110">
        <f ca="1">(O47*ct_int2*'Time on treatment'!$F$13)</f>
        <v>0</v>
      </c>
      <c r="R172" s="87" t="s">
        <v>172</v>
      </c>
      <c r="S172" s="111"/>
      <c r="T172" s="111"/>
      <c r="U172" s="109">
        <f ca="1">(U47*ci_int3)+(U47*ct_int3*'Time on treatment'!$D$14)</f>
        <v>0</v>
      </c>
      <c r="V172" s="109">
        <f ca="1">(V47*ct_int3*'Time on treatment'!$E$14)</f>
        <v>0</v>
      </c>
      <c r="W172" s="110">
        <f ca="1">(W47*ct_int3*'Time on treatment'!$F$14)</f>
        <v>0</v>
      </c>
      <c r="Z172" s="87" t="s">
        <v>172</v>
      </c>
      <c r="AA172" s="111"/>
      <c r="AB172" s="111"/>
      <c r="AC172" s="109">
        <f ca="1">(AC47*ci_int4)+(AC47*ct_int4*'Time on treatment'!$D$15)</f>
        <v>0</v>
      </c>
      <c r="AD172" s="109">
        <f ca="1">(AD47*ct_int4*'Time on treatment'!$E$15)</f>
        <v>0</v>
      </c>
      <c r="AE172" s="110">
        <f ca="1">(AE47*ct_int4*'Time on treatment'!$F$15)</f>
        <v>0</v>
      </c>
      <c r="AH172" s="87" t="s">
        <v>172</v>
      </c>
      <c r="AI172" s="111"/>
      <c r="AJ172" s="111"/>
      <c r="AK172" s="109">
        <f ca="1">(AK47*ci_comp1)+(AK47*ct_comp1*'Time on treatment'!$D$19)</f>
        <v>2364438.4452364366</v>
      </c>
      <c r="AL172" s="109">
        <f ca="1">(AL47*ct_comp1*'Time on treatment'!$E$19)</f>
        <v>0</v>
      </c>
      <c r="AM172" s="110">
        <f ca="1">(AM47*ct_comp1*'Time on treatment'!$F$19)</f>
        <v>0</v>
      </c>
      <c r="AP172" s="87" t="s">
        <v>172</v>
      </c>
      <c r="AQ172" s="111"/>
      <c r="AR172" s="111"/>
      <c r="AS172" s="109">
        <f ca="1">(AS47*ci_comp2)+(AS47*ct_comp2*'Time on treatment'!$D$20)</f>
        <v>0</v>
      </c>
      <c r="AT172" s="109">
        <f ca="1">(AT47*ct_comp2*'Time on treatment'!$E$20)</f>
        <v>0</v>
      </c>
      <c r="AU172" s="110">
        <f ca="1">(AU47*ct_comp2*'Time on treatment'!$F$20)</f>
        <v>0</v>
      </c>
      <c r="AX172" s="87" t="s">
        <v>172</v>
      </c>
      <c r="AY172" s="111"/>
      <c r="AZ172" s="111"/>
      <c r="BA172" s="109">
        <f ca="1">(BA47*ci_comp3)+(BA47*ct_comp3*'Time on treatment'!$D$21)</f>
        <v>0</v>
      </c>
      <c r="BB172" s="109">
        <f ca="1">(BB47*ct_comp3*'Time on treatment'!$E$21)</f>
        <v>0</v>
      </c>
      <c r="BC172" s="110">
        <f ca="1">(BC47*ct_comp3*'Time on treatment'!$F$21)</f>
        <v>0</v>
      </c>
      <c r="BF172" s="87" t="s">
        <v>172</v>
      </c>
      <c r="BG172" s="111"/>
      <c r="BH172" s="111"/>
      <c r="BI172" s="109">
        <f ca="1">(BI47*ci_comp4)+(BI47*ct_comp4*'Time on treatment'!$D$22)</f>
        <v>0</v>
      </c>
      <c r="BJ172" s="109">
        <f ca="1">(BJ47*ct_comp4*'Time on treatment'!$E$22)</f>
        <v>0</v>
      </c>
      <c r="BK172" s="110">
        <f ca="1">(BK47*ct_comp4*'Time on treatment'!$F$22)</f>
        <v>0</v>
      </c>
      <c r="BN172" s="87" t="s">
        <v>172</v>
      </c>
      <c r="BO172" s="111"/>
      <c r="BP172" s="111"/>
      <c r="BQ172" s="109">
        <f ca="1">(BQ47*ci_comp5)+(BQ47*ct_comp5*'Time on treatment'!$D$23)</f>
        <v>0</v>
      </c>
      <c r="BR172" s="109">
        <f ca="1">(BR47*ct_comp5*'Time on treatment'!$E$23)</f>
        <v>0</v>
      </c>
      <c r="BS172" s="110">
        <f ca="1">(BS47*ct_comp5*'Time on treatment'!$F$23)</f>
        <v>0</v>
      </c>
      <c r="BV172" s="87" t="s">
        <v>172</v>
      </c>
      <c r="BW172" s="111"/>
      <c r="BX172" s="111"/>
      <c r="BY172" s="109">
        <f ca="1">(BY47*ci_comp6)+(BY47*ct_comp6*'Time on treatment'!$D$24)</f>
        <v>0</v>
      </c>
      <c r="BZ172" s="109">
        <f ca="1">(BZ47*ct_comp6*'Time on treatment'!$E$24)</f>
        <v>0</v>
      </c>
      <c r="CA172" s="110">
        <f ca="1">(CA47*ct_comp6*'Time on treatment'!$F$24)</f>
        <v>0</v>
      </c>
      <c r="CD172" s="87" t="s">
        <v>172</v>
      </c>
      <c r="CE172" s="111"/>
      <c r="CF172" s="111"/>
      <c r="CG172" s="109">
        <f ca="1">(CG47*ci_comp7)+(CG47*ct_comp7*'Time on treatment'!$D$25)</f>
        <v>0</v>
      </c>
      <c r="CH172" s="109">
        <f ca="1">(CH47*ct_comp7*'Time on treatment'!$E$25)</f>
        <v>0</v>
      </c>
      <c r="CI172" s="110">
        <f ca="1">(CI47*ct_comp7*'Time on treatment'!$F$25)</f>
        <v>0</v>
      </c>
      <c r="CL172" s="87" t="s">
        <v>172</v>
      </c>
      <c r="CM172" s="111"/>
      <c r="CN172" s="111"/>
      <c r="CO172" s="109">
        <f ca="1">(CO47*ci_comp8)+(CO47*ct_comp8*'Time on treatment'!$D$26)</f>
        <v>0</v>
      </c>
      <c r="CP172" s="109">
        <f ca="1">(CP47*ct_comp8*'Time on treatment'!$E$26)</f>
        <v>0</v>
      </c>
      <c r="CQ172" s="110">
        <f ca="1">(CQ47*ct_comp8*'Time on treatment'!$F$26)</f>
        <v>0</v>
      </c>
      <c r="CT172" s="87" t="s">
        <v>172</v>
      </c>
      <c r="CU172" s="111"/>
      <c r="CV172" s="111"/>
      <c r="CW172" s="109">
        <f ca="1">(CW47*ci_comp9)+(CW47*ct_comp9*'Time on treatment'!$D$27)</f>
        <v>0</v>
      </c>
      <c r="CX172" s="109">
        <f ca="1">(CX47*ct_comp9*'Time on treatment'!$E$27)</f>
        <v>0</v>
      </c>
      <c r="CY172" s="110">
        <f ca="1">(CY47*ct_comp9*'Time on treatment'!$F$27)</f>
        <v>0</v>
      </c>
      <c r="DB172" s="87" t="s">
        <v>172</v>
      </c>
      <c r="DC172" s="111"/>
      <c r="DD172" s="111"/>
      <c r="DE172" s="109">
        <f ca="1">(DE47*ci_comp10)+(DE47*ct_comp10*'Time on treatment'!$D$28)</f>
        <v>0</v>
      </c>
      <c r="DF172" s="109">
        <f ca="1">(DF47*ct_comp10*'Time on treatment'!$E$28)</f>
        <v>0</v>
      </c>
      <c r="DG172" s="110">
        <f ca="1">(DG47*ct_comp10*'Time on treatment'!$F$28)</f>
        <v>0</v>
      </c>
    </row>
    <row r="173" spans="2:111">
      <c r="B173" s="87" t="s">
        <v>177</v>
      </c>
      <c r="C173" s="111"/>
      <c r="D173" s="111"/>
      <c r="E173" s="109"/>
      <c r="F173" s="109"/>
      <c r="G173" s="110"/>
      <c r="J173" s="87" t="s">
        <v>177</v>
      </c>
      <c r="K173" s="111"/>
      <c r="L173" s="111"/>
      <c r="M173" s="109"/>
      <c r="N173" s="109"/>
      <c r="O173" s="110"/>
      <c r="R173" s="87" t="s">
        <v>177</v>
      </c>
      <c r="S173" s="111"/>
      <c r="T173" s="111"/>
      <c r="U173" s="109"/>
      <c r="V173" s="109"/>
      <c r="W173" s="110"/>
      <c r="Z173" s="87" t="s">
        <v>177</v>
      </c>
      <c r="AA173" s="111"/>
      <c r="AB173" s="111"/>
      <c r="AC173" s="109"/>
      <c r="AD173" s="109"/>
      <c r="AE173" s="110"/>
      <c r="AH173" s="87" t="s">
        <v>177</v>
      </c>
      <c r="AI173" s="111"/>
      <c r="AJ173" s="111"/>
      <c r="AK173" s="109"/>
      <c r="AL173" s="109"/>
      <c r="AM173" s="110"/>
      <c r="AP173" s="87" t="s">
        <v>177</v>
      </c>
      <c r="AQ173" s="111"/>
      <c r="AR173" s="111"/>
      <c r="AS173" s="109"/>
      <c r="AT173" s="109"/>
      <c r="AU173" s="110"/>
      <c r="AX173" s="87" t="s">
        <v>177</v>
      </c>
      <c r="AY173" s="111"/>
      <c r="AZ173" s="111"/>
      <c r="BA173" s="109"/>
      <c r="BB173" s="109"/>
      <c r="BC173" s="110"/>
      <c r="BF173" s="87" t="s">
        <v>177</v>
      </c>
      <c r="BG173" s="111"/>
      <c r="BH173" s="111"/>
      <c r="BI173" s="109"/>
      <c r="BJ173" s="109"/>
      <c r="BK173" s="110"/>
      <c r="BN173" s="87" t="s">
        <v>177</v>
      </c>
      <c r="BO173" s="111"/>
      <c r="BP173" s="111"/>
      <c r="BQ173" s="109"/>
      <c r="BR173" s="109"/>
      <c r="BS173" s="110"/>
      <c r="BV173" s="87" t="s">
        <v>177</v>
      </c>
      <c r="BW173" s="111"/>
      <c r="BX173" s="111"/>
      <c r="BY173" s="109"/>
      <c r="BZ173" s="109"/>
      <c r="CA173" s="110"/>
      <c r="CD173" s="87" t="s">
        <v>177</v>
      </c>
      <c r="CE173" s="111"/>
      <c r="CF173" s="111"/>
      <c r="CG173" s="109"/>
      <c r="CH173" s="109"/>
      <c r="CI173" s="110"/>
      <c r="CL173" s="87" t="s">
        <v>177</v>
      </c>
      <c r="CM173" s="111"/>
      <c r="CN173" s="111"/>
      <c r="CO173" s="109"/>
      <c r="CP173" s="109"/>
      <c r="CQ173" s="110"/>
      <c r="CT173" s="87" t="s">
        <v>177</v>
      </c>
      <c r="CU173" s="111"/>
      <c r="CV173" s="111"/>
      <c r="CW173" s="109"/>
      <c r="CX173" s="109"/>
      <c r="CY173" s="110"/>
      <c r="DB173" s="87" t="s">
        <v>177</v>
      </c>
      <c r="DC173" s="111"/>
      <c r="DD173" s="111"/>
      <c r="DE173" s="109"/>
      <c r="DF173" s="109"/>
      <c r="DG173" s="110"/>
    </row>
    <row r="174" spans="2:111">
      <c r="B174" s="87" t="s">
        <v>173</v>
      </c>
      <c r="C174" s="111"/>
      <c r="D174" s="111"/>
      <c r="E174" s="111"/>
      <c r="F174" s="109">
        <f ca="1">(F49*ci_int1)+(F49*ct_int1*'Time on treatment'!$D$12)</f>
        <v>12951048.965170497</v>
      </c>
      <c r="G174" s="110">
        <f ca="1">(G49*ct_int1*'Time on treatment'!$E$12)</f>
        <v>0</v>
      </c>
      <c r="J174" s="87" t="s">
        <v>173</v>
      </c>
      <c r="K174" s="111"/>
      <c r="L174" s="111"/>
      <c r="M174" s="111"/>
      <c r="N174" s="109">
        <f ca="1">(N49*ci_int2)+(N49*ct_int2*'Time on treatment'!$D$13)</f>
        <v>0</v>
      </c>
      <c r="O174" s="110">
        <f ca="1">(O49*ct_int2*'Time on treatment'!$E$13)</f>
        <v>0</v>
      </c>
      <c r="R174" s="87" t="s">
        <v>173</v>
      </c>
      <c r="S174" s="111"/>
      <c r="T174" s="111"/>
      <c r="U174" s="111"/>
      <c r="V174" s="109">
        <f ca="1">(V49*ci_int3)+(V49*ct_int3*'Time on treatment'!$D$14)</f>
        <v>0</v>
      </c>
      <c r="W174" s="110">
        <f ca="1">(W49*ct_int3*'Time on treatment'!$E$14)</f>
        <v>0</v>
      </c>
      <c r="Z174" s="87" t="s">
        <v>173</v>
      </c>
      <c r="AA174" s="111"/>
      <c r="AB174" s="111"/>
      <c r="AC174" s="111"/>
      <c r="AD174" s="109">
        <f ca="1">(AD49*ci_int4)+(AD49*ct_int4*'Time on treatment'!$D$15)</f>
        <v>0</v>
      </c>
      <c r="AE174" s="110">
        <f ca="1">(AE49*ct_int4*'Time on treatment'!$E$15)</f>
        <v>0</v>
      </c>
      <c r="AH174" s="87" t="s">
        <v>173</v>
      </c>
      <c r="AI174" s="111"/>
      <c r="AJ174" s="111"/>
      <c r="AK174" s="111"/>
      <c r="AL174" s="109">
        <f ca="1">(AL49*ci_comp1)+(AL49*ct_comp1*'Time on treatment'!$D$19)</f>
        <v>1188812.4523123673</v>
      </c>
      <c r="AM174" s="110">
        <f ca="1">(AM49*ct_comp1*'Time on treatment'!$E$19)</f>
        <v>0</v>
      </c>
      <c r="AP174" s="87" t="s">
        <v>173</v>
      </c>
      <c r="AQ174" s="111"/>
      <c r="AR174" s="111"/>
      <c r="AS174" s="111"/>
      <c r="AT174" s="109">
        <f ca="1">(AT49*ci_comp2)+(AT49*ct_comp2*'Time on treatment'!$D$20)</f>
        <v>0</v>
      </c>
      <c r="AU174" s="110">
        <f ca="1">(AU49*ct_comp2*'Time on treatment'!$E$20)</f>
        <v>0</v>
      </c>
      <c r="AX174" s="87" t="s">
        <v>173</v>
      </c>
      <c r="AY174" s="111"/>
      <c r="AZ174" s="111"/>
      <c r="BA174" s="111"/>
      <c r="BB174" s="109">
        <f ca="1">(BB49*ci_comp3)+(BB49*ct_comp3*'Time on treatment'!$D$21)</f>
        <v>0</v>
      </c>
      <c r="BC174" s="110">
        <f ca="1">(BC49*ct_comp3*'Time on treatment'!$E$21)</f>
        <v>0</v>
      </c>
      <c r="BF174" s="87" t="s">
        <v>173</v>
      </c>
      <c r="BG174" s="111"/>
      <c r="BH174" s="111"/>
      <c r="BI174" s="111"/>
      <c r="BJ174" s="109">
        <f ca="1">(BJ49*ci_comp4)+(BJ49*ct_comp4*'Time on treatment'!$D$22)</f>
        <v>0</v>
      </c>
      <c r="BK174" s="110">
        <f ca="1">(BK49*ct_comp4*'Time on treatment'!$E$22)</f>
        <v>0</v>
      </c>
      <c r="BN174" s="87" t="s">
        <v>173</v>
      </c>
      <c r="BO174" s="111"/>
      <c r="BP174" s="111"/>
      <c r="BQ174" s="111"/>
      <c r="BR174" s="109">
        <f ca="1">(BR49*ci_comp5)+(BR49*ct_comp5*'Time on treatment'!$D$23)</f>
        <v>0</v>
      </c>
      <c r="BS174" s="110">
        <f ca="1">(BS49*ct_comp5*'Time on treatment'!$E$23)</f>
        <v>0</v>
      </c>
      <c r="BV174" s="87" t="s">
        <v>173</v>
      </c>
      <c r="BW174" s="111"/>
      <c r="BX174" s="111"/>
      <c r="BY174" s="111"/>
      <c r="BZ174" s="109">
        <f ca="1">(BZ49*ci_comp6)+(BZ49*ct_comp6*'Time on treatment'!$D$24)</f>
        <v>0</v>
      </c>
      <c r="CA174" s="110">
        <f ca="1">(CA49*ct_comp6*'Time on treatment'!$E$24)</f>
        <v>0</v>
      </c>
      <c r="CD174" s="87" t="s">
        <v>173</v>
      </c>
      <c r="CE174" s="111"/>
      <c r="CF174" s="111"/>
      <c r="CG174" s="111"/>
      <c r="CH174" s="109">
        <f ca="1">(CH49*ci_comp7)+(CH49*ct_comp7*'Time on treatment'!$D$25)</f>
        <v>0</v>
      </c>
      <c r="CI174" s="110">
        <f ca="1">(CI49*ct_comp7*'Time on treatment'!$E$25)</f>
        <v>0</v>
      </c>
      <c r="CL174" s="87" t="s">
        <v>173</v>
      </c>
      <c r="CM174" s="111"/>
      <c r="CN174" s="111"/>
      <c r="CO174" s="111"/>
      <c r="CP174" s="109">
        <f ca="1">(CP49*ci_comp8)+(CP49*ct_comp8*'Time on treatment'!$D$26)</f>
        <v>0</v>
      </c>
      <c r="CQ174" s="110">
        <f ca="1">(CQ49*ct_comp8*'Time on treatment'!$E$26)</f>
        <v>0</v>
      </c>
      <c r="CT174" s="87" t="s">
        <v>173</v>
      </c>
      <c r="CU174" s="111"/>
      <c r="CV174" s="111"/>
      <c r="CW174" s="111"/>
      <c r="CX174" s="109">
        <f ca="1">(CX49*ci_comp9)+(CX49*ct_comp9*'Time on treatment'!$D$27)</f>
        <v>0</v>
      </c>
      <c r="CY174" s="110">
        <f ca="1">(CY49*ct_comp9*'Time on treatment'!$E$27)</f>
        <v>0</v>
      </c>
      <c r="DB174" s="87" t="s">
        <v>173</v>
      </c>
      <c r="DC174" s="111"/>
      <c r="DD174" s="111"/>
      <c r="DE174" s="111"/>
      <c r="DF174" s="109">
        <f ca="1">(DF49*ci_comp10)+(DF49*ct_comp10*'Time on treatment'!$D$28)</f>
        <v>0</v>
      </c>
      <c r="DG174" s="110">
        <f ca="1">(DG49*ct_comp10*'Time on treatment'!$E$28)</f>
        <v>0</v>
      </c>
    </row>
    <row r="175" spans="2:111">
      <c r="B175" s="87" t="s">
        <v>178</v>
      </c>
      <c r="C175" s="111"/>
      <c r="D175" s="111"/>
      <c r="E175" s="111"/>
      <c r="F175" s="109"/>
      <c r="G175" s="110"/>
      <c r="J175" s="87" t="s">
        <v>178</v>
      </c>
      <c r="K175" s="111"/>
      <c r="L175" s="111"/>
      <c r="M175" s="111"/>
      <c r="N175" s="109"/>
      <c r="O175" s="110"/>
      <c r="R175" s="87" t="s">
        <v>178</v>
      </c>
      <c r="S175" s="111"/>
      <c r="T175" s="111"/>
      <c r="U175" s="111"/>
      <c r="V175" s="109"/>
      <c r="W175" s="110"/>
      <c r="Z175" s="87" t="s">
        <v>178</v>
      </c>
      <c r="AA175" s="111"/>
      <c r="AB175" s="111"/>
      <c r="AC175" s="111"/>
      <c r="AD175" s="109"/>
      <c r="AE175" s="110"/>
      <c r="AH175" s="87" t="s">
        <v>178</v>
      </c>
      <c r="AI175" s="111"/>
      <c r="AJ175" s="111"/>
      <c r="AK175" s="111"/>
      <c r="AL175" s="109"/>
      <c r="AM175" s="110"/>
      <c r="AP175" s="87" t="s">
        <v>178</v>
      </c>
      <c r="AQ175" s="111"/>
      <c r="AR175" s="111"/>
      <c r="AS175" s="111"/>
      <c r="AT175" s="109"/>
      <c r="AU175" s="110"/>
      <c r="AX175" s="87" t="s">
        <v>178</v>
      </c>
      <c r="AY175" s="111"/>
      <c r="AZ175" s="111"/>
      <c r="BA175" s="111"/>
      <c r="BB175" s="109"/>
      <c r="BC175" s="110"/>
      <c r="BF175" s="87" t="s">
        <v>178</v>
      </c>
      <c r="BG175" s="111"/>
      <c r="BH175" s="111"/>
      <c r="BI175" s="111"/>
      <c r="BJ175" s="109"/>
      <c r="BK175" s="110"/>
      <c r="BN175" s="87" t="s">
        <v>178</v>
      </c>
      <c r="BO175" s="111"/>
      <c r="BP175" s="111"/>
      <c r="BQ175" s="111"/>
      <c r="BR175" s="109"/>
      <c r="BS175" s="110"/>
      <c r="BV175" s="87" t="s">
        <v>178</v>
      </c>
      <c r="BW175" s="111"/>
      <c r="BX175" s="111"/>
      <c r="BY175" s="111"/>
      <c r="BZ175" s="109"/>
      <c r="CA175" s="110"/>
      <c r="CD175" s="87" t="s">
        <v>178</v>
      </c>
      <c r="CE175" s="111"/>
      <c r="CF175" s="111"/>
      <c r="CG175" s="111"/>
      <c r="CH175" s="109"/>
      <c r="CI175" s="110"/>
      <c r="CL175" s="87" t="s">
        <v>178</v>
      </c>
      <c r="CM175" s="111"/>
      <c r="CN175" s="111"/>
      <c r="CO175" s="111"/>
      <c r="CP175" s="109"/>
      <c r="CQ175" s="110"/>
      <c r="CT175" s="87" t="s">
        <v>178</v>
      </c>
      <c r="CU175" s="111"/>
      <c r="CV175" s="111"/>
      <c r="CW175" s="111"/>
      <c r="CX175" s="109"/>
      <c r="CY175" s="110"/>
      <c r="DB175" s="87" t="s">
        <v>178</v>
      </c>
      <c r="DC175" s="111"/>
      <c r="DD175" s="111"/>
      <c r="DE175" s="111"/>
      <c r="DF175" s="109"/>
      <c r="DG175" s="110"/>
    </row>
    <row r="176" spans="2:111">
      <c r="B176" s="87" t="s">
        <v>174</v>
      </c>
      <c r="C176" s="111"/>
      <c r="D176" s="111"/>
      <c r="E176" s="111"/>
      <c r="F176" s="111"/>
      <c r="G176" s="110">
        <f ca="1">(G51*ci_int1)+(G51*ct_int1*'Time on treatment'!$D$12)</f>
        <v>16274191.393978339</v>
      </c>
      <c r="J176" s="87" t="s">
        <v>174</v>
      </c>
      <c r="K176" s="111"/>
      <c r="L176" s="111"/>
      <c r="M176" s="111"/>
      <c r="N176" s="111"/>
      <c r="O176" s="110">
        <f ca="1">(O51*ci_int2)+(O51*ct_int2*'Time on treatment'!$D$13)</f>
        <v>0</v>
      </c>
      <c r="R176" s="87" t="s">
        <v>174</v>
      </c>
      <c r="S176" s="111"/>
      <c r="T176" s="111"/>
      <c r="U176" s="111"/>
      <c r="V176" s="111"/>
      <c r="W176" s="110">
        <f ca="1">(W51*ci_int3)+(W51*ct_int3*'Time on treatment'!$D$14)</f>
        <v>0</v>
      </c>
      <c r="Z176" s="87" t="s">
        <v>174</v>
      </c>
      <c r="AA176" s="111"/>
      <c r="AB176" s="111"/>
      <c r="AC176" s="111"/>
      <c r="AD176" s="111"/>
      <c r="AE176" s="110">
        <f ca="1">(AE51*ci_int4)+(AE51*ct_int4*'Time on treatment'!$D$15)</f>
        <v>0</v>
      </c>
      <c r="AH176" s="87" t="s">
        <v>174</v>
      </c>
      <c r="AI176" s="111"/>
      <c r="AJ176" s="111"/>
      <c r="AK176" s="111"/>
      <c r="AL176" s="111"/>
      <c r="AM176" s="110">
        <f ca="1">(AM51*ci_comp1)+(AM51*ct_comp1*'Time on treatment'!$D$19)</f>
        <v>0</v>
      </c>
      <c r="AP176" s="87" t="s">
        <v>174</v>
      </c>
      <c r="AQ176" s="111"/>
      <c r="AR176" s="111"/>
      <c r="AS176" s="111"/>
      <c r="AT176" s="111"/>
      <c r="AU176" s="110">
        <f ca="1">(AU51*ci_comp2)+(AU51*ct_comp2*'Time on treatment'!$D$20)</f>
        <v>0</v>
      </c>
      <c r="AX176" s="87" t="s">
        <v>174</v>
      </c>
      <c r="AY176" s="111"/>
      <c r="AZ176" s="111"/>
      <c r="BA176" s="111"/>
      <c r="BB176" s="111"/>
      <c r="BC176" s="110">
        <f ca="1">(BC51*ci_comp3)+(BC51*ct_comp3*'Time on treatment'!$D$21)</f>
        <v>0</v>
      </c>
      <c r="BF176" s="87" t="s">
        <v>174</v>
      </c>
      <c r="BG176" s="111"/>
      <c r="BH176" s="111"/>
      <c r="BI176" s="111"/>
      <c r="BJ176" s="111"/>
      <c r="BK176" s="110">
        <f ca="1">(BK51*ci_comp4)+(BK51*ct_comp4*'Time on treatment'!$D$22)</f>
        <v>0</v>
      </c>
      <c r="BN176" s="87" t="s">
        <v>174</v>
      </c>
      <c r="BO176" s="111"/>
      <c r="BP176" s="111"/>
      <c r="BQ176" s="111"/>
      <c r="BR176" s="111"/>
      <c r="BS176" s="110">
        <f ca="1">(BS51*ci_comp5)+(BS51*ct_comp5*'Time on treatment'!$D$23)</f>
        <v>0</v>
      </c>
      <c r="BV176" s="87" t="s">
        <v>174</v>
      </c>
      <c r="BW176" s="111"/>
      <c r="BX176" s="111"/>
      <c r="BY176" s="111"/>
      <c r="BZ176" s="111"/>
      <c r="CA176" s="110">
        <f ca="1">(CA51*ci_comp6)+(CA51*ct_comp6*'Time on treatment'!$D$24)</f>
        <v>0</v>
      </c>
      <c r="CD176" s="87" t="s">
        <v>174</v>
      </c>
      <c r="CE176" s="111"/>
      <c r="CF176" s="111"/>
      <c r="CG176" s="111"/>
      <c r="CH176" s="111"/>
      <c r="CI176" s="110">
        <f ca="1">(CI51*ci_comp7)+(CI51*ct_comp7*'Time on treatment'!$D$25)</f>
        <v>0</v>
      </c>
      <c r="CL176" s="87" t="s">
        <v>174</v>
      </c>
      <c r="CM176" s="111"/>
      <c r="CN176" s="111"/>
      <c r="CO176" s="111"/>
      <c r="CP176" s="111"/>
      <c r="CQ176" s="110">
        <f ca="1">(CQ51*ci_comp8)+(CQ51*ct_comp8*'Time on treatment'!$D$26)</f>
        <v>0</v>
      </c>
      <c r="CT176" s="87" t="s">
        <v>174</v>
      </c>
      <c r="CU176" s="111"/>
      <c r="CV176" s="111"/>
      <c r="CW176" s="111"/>
      <c r="CX176" s="111"/>
      <c r="CY176" s="110">
        <f ca="1">(CY51*ci_comp9)+(CY51*ct_comp9*'Time on treatment'!$D$27)</f>
        <v>0</v>
      </c>
      <c r="DB176" s="87" t="s">
        <v>174</v>
      </c>
      <c r="DC176" s="111"/>
      <c r="DD176" s="111"/>
      <c r="DE176" s="111"/>
      <c r="DF176" s="111"/>
      <c r="DG176" s="110">
        <f ca="1">(DG51*ci_comp10)+(DG51*ct_comp10*'Time on treatment'!$D$28)</f>
        <v>0</v>
      </c>
    </row>
    <row r="177" spans="2:111" ht="15" thickBot="1">
      <c r="B177" s="87" t="s">
        <v>179</v>
      </c>
      <c r="C177" s="111"/>
      <c r="D177" s="111"/>
      <c r="E177" s="111"/>
      <c r="F177" s="111"/>
      <c r="G177" s="112"/>
      <c r="J177" s="87" t="s">
        <v>179</v>
      </c>
      <c r="K177" s="111"/>
      <c r="L177" s="111"/>
      <c r="M177" s="111"/>
      <c r="N177" s="111"/>
      <c r="O177" s="112"/>
      <c r="R177" s="87" t="s">
        <v>179</v>
      </c>
      <c r="S177" s="111"/>
      <c r="T177" s="111"/>
      <c r="U177" s="111"/>
      <c r="V177" s="111"/>
      <c r="W177" s="112"/>
      <c r="Z177" s="87" t="s">
        <v>179</v>
      </c>
      <c r="AA177" s="111"/>
      <c r="AB177" s="111"/>
      <c r="AC177" s="111"/>
      <c r="AD177" s="111"/>
      <c r="AE177" s="112"/>
      <c r="AH177" s="87" t="s">
        <v>179</v>
      </c>
      <c r="AI177" s="111"/>
      <c r="AJ177" s="111"/>
      <c r="AK177" s="111"/>
      <c r="AL177" s="111"/>
      <c r="AM177" s="112"/>
      <c r="AP177" s="87" t="s">
        <v>179</v>
      </c>
      <c r="AQ177" s="111"/>
      <c r="AR177" s="111"/>
      <c r="AS177" s="111"/>
      <c r="AT177" s="111"/>
      <c r="AU177" s="112"/>
      <c r="AX177" s="87" t="s">
        <v>179</v>
      </c>
      <c r="AY177" s="111"/>
      <c r="AZ177" s="111"/>
      <c r="BA177" s="111"/>
      <c r="BB177" s="111"/>
      <c r="BC177" s="112"/>
      <c r="BF177" s="87" t="s">
        <v>179</v>
      </c>
      <c r="BG177" s="111"/>
      <c r="BH177" s="111"/>
      <c r="BI177" s="111"/>
      <c r="BJ177" s="111"/>
      <c r="BK177" s="112"/>
      <c r="BN177" s="87" t="s">
        <v>179</v>
      </c>
      <c r="BO177" s="111"/>
      <c r="BP177" s="111"/>
      <c r="BQ177" s="111"/>
      <c r="BR177" s="111"/>
      <c r="BS177" s="112"/>
      <c r="BV177" s="87" t="s">
        <v>179</v>
      </c>
      <c r="BW177" s="111"/>
      <c r="BX177" s="111"/>
      <c r="BY177" s="111"/>
      <c r="BZ177" s="111"/>
      <c r="CA177" s="112"/>
      <c r="CD177" s="87" t="s">
        <v>179</v>
      </c>
      <c r="CE177" s="111"/>
      <c r="CF177" s="111"/>
      <c r="CG177" s="111"/>
      <c r="CH177" s="111"/>
      <c r="CI177" s="112"/>
      <c r="CL177" s="87" t="s">
        <v>179</v>
      </c>
      <c r="CM177" s="111"/>
      <c r="CN177" s="111"/>
      <c r="CO177" s="111"/>
      <c r="CP177" s="111"/>
      <c r="CQ177" s="112"/>
      <c r="CT177" s="87" t="s">
        <v>179</v>
      </c>
      <c r="CU177" s="111"/>
      <c r="CV177" s="111"/>
      <c r="CW177" s="111"/>
      <c r="CX177" s="111"/>
      <c r="CY177" s="112"/>
      <c r="DB177" s="87" t="s">
        <v>179</v>
      </c>
      <c r="DC177" s="111"/>
      <c r="DD177" s="111"/>
      <c r="DE177" s="111"/>
      <c r="DF177" s="111"/>
      <c r="DG177" s="112"/>
    </row>
    <row r="178" spans="2:111" ht="15" thickBot="1">
      <c r="B178" s="85" t="str">
        <f>B164</f>
        <v>PET-CT</v>
      </c>
      <c r="C178" s="113">
        <f ca="1">SUM(C168:C176)</f>
        <v>3181339.1732890946</v>
      </c>
      <c r="D178" s="113">
        <f ca="1">SUM(D168:D176)</f>
        <v>6401980.437638036</v>
      </c>
      <c r="E178" s="113">
        <f ca="1">SUM(E168:E176)</f>
        <v>9659416.2161025796</v>
      </c>
      <c r="F178" s="113">
        <f ca="1">SUM(F168:F176)</f>
        <v>12951048.965170497</v>
      </c>
      <c r="G178" s="114">
        <f ca="1">SUM(G168:G176)</f>
        <v>16274191.393978339</v>
      </c>
      <c r="J178" s="85">
        <f>J164</f>
        <v>0</v>
      </c>
      <c r="K178" s="113">
        <f ca="1">SUM(K168:K176)</f>
        <v>0</v>
      </c>
      <c r="L178" s="113">
        <f ca="1">SUM(L168:L176)</f>
        <v>0</v>
      </c>
      <c r="M178" s="113">
        <f ca="1">SUM(M168:M176)</f>
        <v>0</v>
      </c>
      <c r="N178" s="113">
        <f ca="1">SUM(N168:N176)</f>
        <v>0</v>
      </c>
      <c r="O178" s="114">
        <f ca="1">SUM(O168:O176)</f>
        <v>0</v>
      </c>
      <c r="R178" s="85">
        <f>R164</f>
        <v>0</v>
      </c>
      <c r="S178" s="113">
        <f ca="1">SUM(S168:S176)</f>
        <v>0</v>
      </c>
      <c r="T178" s="113">
        <f ca="1">SUM(T168:T176)</f>
        <v>0</v>
      </c>
      <c r="U178" s="113">
        <f ca="1">SUM(U168:U176)</f>
        <v>0</v>
      </c>
      <c r="V178" s="113">
        <f ca="1">SUM(V168:V176)</f>
        <v>0</v>
      </c>
      <c r="W178" s="114">
        <f ca="1">SUM(W168:W176)</f>
        <v>0</v>
      </c>
      <c r="Z178" s="85">
        <f>Z164</f>
        <v>0</v>
      </c>
      <c r="AA178" s="113">
        <f ca="1">SUM(AA168:AA176)</f>
        <v>0</v>
      </c>
      <c r="AB178" s="113">
        <f ca="1">SUM(AB168:AB176)</f>
        <v>0</v>
      </c>
      <c r="AC178" s="113">
        <f ca="1">SUM(AC168:AC176)</f>
        <v>0</v>
      </c>
      <c r="AD178" s="113">
        <f ca="1">SUM(AD168:AD176)</f>
        <v>0</v>
      </c>
      <c r="AE178" s="114">
        <f ca="1">SUM(AE168:AE176)</f>
        <v>0</v>
      </c>
      <c r="AH178" s="85" t="str">
        <f>AH164</f>
        <v>CT scan + scintigraphy</v>
      </c>
      <c r="AI178" s="113">
        <f ca="1">SUM(AI168:AI176)</f>
        <v>4672382.1483881408</v>
      </c>
      <c r="AJ178" s="113">
        <f ca="1">SUM(AJ168:AJ176)</f>
        <v>3525932.4943602746</v>
      </c>
      <c r="AK178" s="113">
        <f ca="1">SUM(AK168:AK176)</f>
        <v>2364438.4452364366</v>
      </c>
      <c r="AL178" s="113">
        <f ca="1">SUM(AL168:AL176)</f>
        <v>1188812.4523123673</v>
      </c>
      <c r="AM178" s="114">
        <f ca="1">SUM(AM168:AM176)</f>
        <v>0</v>
      </c>
      <c r="AP178" s="85">
        <f>AP164</f>
        <v>0</v>
      </c>
      <c r="AQ178" s="113">
        <f ca="1">SUM(AQ168:AQ176)</f>
        <v>0</v>
      </c>
      <c r="AR178" s="113">
        <f ca="1">SUM(AR168:AR176)</f>
        <v>0</v>
      </c>
      <c r="AS178" s="113">
        <f ca="1">SUM(AS168:AS176)</f>
        <v>0</v>
      </c>
      <c r="AT178" s="113">
        <f ca="1">SUM(AT168:AT176)</f>
        <v>0</v>
      </c>
      <c r="AU178" s="114">
        <f ca="1">SUM(AU168:AU176)</f>
        <v>0</v>
      </c>
      <c r="AX178" s="85">
        <f>AX164</f>
        <v>0</v>
      </c>
      <c r="AY178" s="113">
        <f ca="1">SUM(AY168:AY176)</f>
        <v>0</v>
      </c>
      <c r="AZ178" s="113">
        <f ca="1">SUM(AZ168:AZ176)</f>
        <v>0</v>
      </c>
      <c r="BA178" s="113">
        <f ca="1">SUM(BA168:BA176)</f>
        <v>0</v>
      </c>
      <c r="BB178" s="113">
        <f ca="1">SUM(BB168:BB176)</f>
        <v>0</v>
      </c>
      <c r="BC178" s="114">
        <f ca="1">SUM(BC168:BC176)</f>
        <v>0</v>
      </c>
      <c r="BF178" s="85">
        <f>BF164</f>
        <v>0</v>
      </c>
      <c r="BG178" s="113">
        <f ca="1">SUM(BG168:BG176)</f>
        <v>0</v>
      </c>
      <c r="BH178" s="113">
        <f ca="1">SUM(BH168:BH176)</f>
        <v>0</v>
      </c>
      <c r="BI178" s="113">
        <f ca="1">SUM(BI168:BI176)</f>
        <v>0</v>
      </c>
      <c r="BJ178" s="113">
        <f ca="1">SUM(BJ168:BJ176)</f>
        <v>0</v>
      </c>
      <c r="BK178" s="114">
        <f ca="1">SUM(BK168:BK176)</f>
        <v>0</v>
      </c>
      <c r="BN178" s="85">
        <f>BN164</f>
        <v>0</v>
      </c>
      <c r="BO178" s="113">
        <f ca="1">SUM(BO168:BO176)</f>
        <v>0</v>
      </c>
      <c r="BP178" s="113">
        <f ca="1">SUM(BP168:BP176)</f>
        <v>0</v>
      </c>
      <c r="BQ178" s="113">
        <f ca="1">SUM(BQ168:BQ176)</f>
        <v>0</v>
      </c>
      <c r="BR178" s="113">
        <f ca="1">SUM(BR168:BR176)</f>
        <v>0</v>
      </c>
      <c r="BS178" s="114">
        <f ca="1">SUM(BS168:BS176)</f>
        <v>0</v>
      </c>
      <c r="BV178" s="85">
        <f>BV164</f>
        <v>0</v>
      </c>
      <c r="BW178" s="113">
        <f ca="1">SUM(BW168:BW176)</f>
        <v>0</v>
      </c>
      <c r="BX178" s="113">
        <f ca="1">SUM(BX168:BX176)</f>
        <v>0</v>
      </c>
      <c r="BY178" s="113">
        <f ca="1">SUM(BY168:BY176)</f>
        <v>0</v>
      </c>
      <c r="BZ178" s="113">
        <f ca="1">SUM(BZ168:BZ176)</f>
        <v>0</v>
      </c>
      <c r="CA178" s="114">
        <f ca="1">SUM(CA168:CA176)</f>
        <v>0</v>
      </c>
      <c r="CD178" s="85">
        <f>CD164</f>
        <v>0</v>
      </c>
      <c r="CE178" s="113">
        <f ca="1">SUM(CE168:CE176)</f>
        <v>0</v>
      </c>
      <c r="CF178" s="113">
        <f ca="1">SUM(CF168:CF176)</f>
        <v>0</v>
      </c>
      <c r="CG178" s="113">
        <f ca="1">SUM(CG168:CG176)</f>
        <v>0</v>
      </c>
      <c r="CH178" s="113">
        <f ca="1">SUM(CH168:CH176)</f>
        <v>0</v>
      </c>
      <c r="CI178" s="114">
        <f ca="1">SUM(CI168:CI176)</f>
        <v>0</v>
      </c>
      <c r="CL178" s="85">
        <f>CL164</f>
        <v>0</v>
      </c>
      <c r="CM178" s="113">
        <f ca="1">SUM(CM168:CM176)</f>
        <v>0</v>
      </c>
      <c r="CN178" s="113">
        <f ca="1">SUM(CN168:CN176)</f>
        <v>0</v>
      </c>
      <c r="CO178" s="113">
        <f ca="1">SUM(CO168:CO176)</f>
        <v>0</v>
      </c>
      <c r="CP178" s="113">
        <f ca="1">SUM(CP168:CP176)</f>
        <v>0</v>
      </c>
      <c r="CQ178" s="114">
        <f ca="1">SUM(CQ168:CQ176)</f>
        <v>0</v>
      </c>
      <c r="CT178" s="85">
        <f>CT164</f>
        <v>0</v>
      </c>
      <c r="CU178" s="113">
        <f ca="1">SUM(CU168:CU176)</f>
        <v>0</v>
      </c>
      <c r="CV178" s="113">
        <f ca="1">SUM(CV168:CV176)</f>
        <v>0</v>
      </c>
      <c r="CW178" s="113">
        <f ca="1">SUM(CW168:CW176)</f>
        <v>0</v>
      </c>
      <c r="CX178" s="113">
        <f ca="1">SUM(CX168:CX176)</f>
        <v>0</v>
      </c>
      <c r="CY178" s="114">
        <f ca="1">SUM(CY168:CY176)</f>
        <v>0</v>
      </c>
      <c r="DB178" s="85">
        <f>DB164</f>
        <v>0</v>
      </c>
      <c r="DC178" s="113">
        <f ca="1">SUM(DC168:DC176)</f>
        <v>0</v>
      </c>
      <c r="DD178" s="113">
        <f ca="1">SUM(DD168:DD176)</f>
        <v>0</v>
      </c>
      <c r="DE178" s="113">
        <f ca="1">SUM(DE168:DE176)</f>
        <v>0</v>
      </c>
      <c r="DF178" s="113">
        <f ca="1">SUM(DF168:DF176)</f>
        <v>0</v>
      </c>
      <c r="DG178" s="114">
        <f ca="1">SUM(DG168:DG176)</f>
        <v>0</v>
      </c>
    </row>
    <row r="179" spans="2:111" ht="15" thickBot="1">
      <c r="B179" s="83"/>
      <c r="C179" s="86"/>
      <c r="D179" s="86"/>
      <c r="E179" s="86"/>
      <c r="F179" s="86"/>
      <c r="G179" s="86"/>
      <c r="J179" s="83"/>
      <c r="K179" s="86"/>
      <c r="L179" s="86"/>
      <c r="M179" s="86"/>
      <c r="N179" s="86"/>
      <c r="O179" s="86"/>
      <c r="R179" s="83"/>
      <c r="S179" s="86"/>
      <c r="T179" s="86"/>
      <c r="U179" s="86"/>
      <c r="V179" s="86"/>
      <c r="W179" s="86"/>
      <c r="Z179" s="83"/>
      <c r="AA179" s="86"/>
      <c r="AB179" s="86"/>
      <c r="AC179" s="86"/>
      <c r="AD179" s="86"/>
      <c r="AE179" s="86"/>
      <c r="AH179" s="83"/>
      <c r="AI179" s="86"/>
      <c r="AJ179" s="86"/>
      <c r="AK179" s="86"/>
      <c r="AL179" s="86"/>
      <c r="AM179" s="86"/>
      <c r="AP179" s="83"/>
      <c r="AQ179" s="86"/>
      <c r="AR179" s="86"/>
      <c r="AS179" s="86"/>
      <c r="AT179" s="86"/>
      <c r="AU179" s="86"/>
      <c r="AX179" s="83"/>
      <c r="AY179" s="86"/>
      <c r="AZ179" s="86"/>
      <c r="BA179" s="86"/>
      <c r="BB179" s="86"/>
      <c r="BC179" s="86"/>
      <c r="BF179" s="83"/>
      <c r="BG179" s="86"/>
      <c r="BH179" s="86"/>
      <c r="BI179" s="86"/>
      <c r="BJ179" s="86"/>
      <c r="BK179" s="86"/>
      <c r="BN179" s="83"/>
      <c r="BO179" s="86"/>
      <c r="BP179" s="86"/>
      <c r="BQ179" s="86"/>
      <c r="BR179" s="86"/>
      <c r="BS179" s="86"/>
      <c r="BV179" s="83"/>
      <c r="BW179" s="86"/>
      <c r="BX179" s="86"/>
      <c r="BY179" s="86"/>
      <c r="BZ179" s="86"/>
      <c r="CA179" s="86"/>
      <c r="CD179" s="83"/>
      <c r="CE179" s="86"/>
      <c r="CF179" s="86"/>
      <c r="CG179" s="86"/>
      <c r="CH179" s="86"/>
      <c r="CI179" s="86"/>
      <c r="CL179" s="83"/>
      <c r="CM179" s="86"/>
      <c r="CN179" s="86"/>
      <c r="CO179" s="86"/>
      <c r="CP179" s="86"/>
      <c r="CQ179" s="86"/>
      <c r="CT179" s="83"/>
      <c r="CU179" s="86"/>
      <c r="CV179" s="86"/>
      <c r="CW179" s="86"/>
      <c r="CX179" s="86"/>
      <c r="CY179" s="86"/>
      <c r="DB179" s="83"/>
      <c r="DC179" s="86"/>
      <c r="DD179" s="86"/>
      <c r="DE179" s="86"/>
      <c r="DF179" s="86"/>
      <c r="DG179" s="86"/>
    </row>
    <row r="180" spans="2:111" ht="15" thickBot="1">
      <c r="B180" s="507" t="str">
        <f>B119</f>
        <v>With PET-CT 10-50%</v>
      </c>
      <c r="C180" s="505"/>
      <c r="D180" s="505"/>
      <c r="E180" s="505"/>
      <c r="F180" s="505"/>
      <c r="G180" s="506"/>
      <c r="J180" s="507" t="str">
        <f>J119</f>
        <v>With PET-CT 10-50%</v>
      </c>
      <c r="K180" s="505"/>
      <c r="L180" s="505"/>
      <c r="M180" s="505"/>
      <c r="N180" s="505"/>
      <c r="O180" s="506"/>
      <c r="R180" s="507" t="str">
        <f>R119</f>
        <v>With PET-CT 10-50%</v>
      </c>
      <c r="S180" s="505"/>
      <c r="T180" s="505"/>
      <c r="U180" s="505"/>
      <c r="V180" s="505"/>
      <c r="W180" s="506"/>
      <c r="Z180" s="507" t="str">
        <f>Z119</f>
        <v>With PET-CT 10-50%</v>
      </c>
      <c r="AA180" s="505"/>
      <c r="AB180" s="505"/>
      <c r="AC180" s="505"/>
      <c r="AD180" s="505"/>
      <c r="AE180" s="506"/>
      <c r="AH180" s="507" t="str">
        <f>AH119</f>
        <v>With PET-CT 10-50%</v>
      </c>
      <c r="AI180" s="505"/>
      <c r="AJ180" s="505"/>
      <c r="AK180" s="505"/>
      <c r="AL180" s="505"/>
      <c r="AM180" s="506"/>
      <c r="AP180" s="507" t="str">
        <f>AP119</f>
        <v>With PET-CT 10-50%</v>
      </c>
      <c r="AQ180" s="505"/>
      <c r="AR180" s="505"/>
      <c r="AS180" s="505"/>
      <c r="AT180" s="505"/>
      <c r="AU180" s="506"/>
      <c r="AX180" s="507" t="str">
        <f>AX119</f>
        <v>With PET-CT 10-50%</v>
      </c>
      <c r="AY180" s="505"/>
      <c r="AZ180" s="505"/>
      <c r="BA180" s="505"/>
      <c r="BB180" s="505"/>
      <c r="BC180" s="506"/>
      <c r="BF180" s="507" t="str">
        <f>BF119</f>
        <v>With PET-CT 10-50%</v>
      </c>
      <c r="BG180" s="505"/>
      <c r="BH180" s="505"/>
      <c r="BI180" s="505"/>
      <c r="BJ180" s="505"/>
      <c r="BK180" s="506"/>
      <c r="BN180" s="507" t="str">
        <f>BN119</f>
        <v>With PET-CT 10-50%</v>
      </c>
      <c r="BO180" s="505"/>
      <c r="BP180" s="505"/>
      <c r="BQ180" s="505"/>
      <c r="BR180" s="505"/>
      <c r="BS180" s="506"/>
      <c r="BV180" s="507" t="str">
        <f>BV119</f>
        <v>With PET-CT 10-50%</v>
      </c>
      <c r="BW180" s="505"/>
      <c r="BX180" s="505"/>
      <c r="BY180" s="505"/>
      <c r="BZ180" s="505"/>
      <c r="CA180" s="506"/>
      <c r="CD180" s="507" t="str">
        <f>CD119</f>
        <v>With PET-CT 10-50%</v>
      </c>
      <c r="CE180" s="505"/>
      <c r="CF180" s="505"/>
      <c r="CG180" s="505"/>
      <c r="CH180" s="505"/>
      <c r="CI180" s="506"/>
      <c r="CL180" s="507" t="str">
        <f>CL119</f>
        <v>With PET-CT 10-50%</v>
      </c>
      <c r="CM180" s="505"/>
      <c r="CN180" s="505"/>
      <c r="CO180" s="505"/>
      <c r="CP180" s="505"/>
      <c r="CQ180" s="506"/>
      <c r="CT180" s="507" t="str">
        <f>CT119</f>
        <v>With PET-CT 10-50%</v>
      </c>
      <c r="CU180" s="505"/>
      <c r="CV180" s="505"/>
      <c r="CW180" s="505"/>
      <c r="CX180" s="505"/>
      <c r="CY180" s="506"/>
      <c r="DB180" s="507" t="str">
        <f>DB119</f>
        <v>With PET-CT 10-50%</v>
      </c>
      <c r="DC180" s="505"/>
      <c r="DD180" s="505"/>
      <c r="DE180" s="505"/>
      <c r="DF180" s="505"/>
      <c r="DG180" s="506"/>
    </row>
    <row r="181" spans="2:111">
      <c r="B181" s="84"/>
      <c r="C181" s="101">
        <f>C120</f>
        <v>2024</v>
      </c>
      <c r="D181" s="101">
        <f t="shared" ref="D181:F181" si="356">D120</f>
        <v>2025</v>
      </c>
      <c r="E181" s="101">
        <f t="shared" si="356"/>
        <v>2026</v>
      </c>
      <c r="F181" s="101">
        <f t="shared" si="356"/>
        <v>2027</v>
      </c>
      <c r="G181" s="102">
        <f>G120</f>
        <v>2028</v>
      </c>
      <c r="J181" s="84"/>
      <c r="K181" s="101">
        <f>K120</f>
        <v>2024</v>
      </c>
      <c r="L181" s="101">
        <f t="shared" ref="L181:N181" si="357">L120</f>
        <v>2025</v>
      </c>
      <c r="M181" s="101">
        <f t="shared" si="357"/>
        <v>2026</v>
      </c>
      <c r="N181" s="101">
        <f t="shared" si="357"/>
        <v>2027</v>
      </c>
      <c r="O181" s="102">
        <f>O120</f>
        <v>2028</v>
      </c>
      <c r="R181" s="84"/>
      <c r="S181" s="101">
        <f>S120</f>
        <v>2024</v>
      </c>
      <c r="T181" s="101">
        <f t="shared" ref="T181:V181" si="358">T120</f>
        <v>2025</v>
      </c>
      <c r="U181" s="101">
        <f t="shared" si="358"/>
        <v>2026</v>
      </c>
      <c r="V181" s="101">
        <f t="shared" si="358"/>
        <v>2027</v>
      </c>
      <c r="W181" s="102">
        <f>W120</f>
        <v>2028</v>
      </c>
      <c r="Z181" s="84"/>
      <c r="AA181" s="101">
        <f>AA120</f>
        <v>2024</v>
      </c>
      <c r="AB181" s="101">
        <f t="shared" ref="AB181:AD181" si="359">AB120</f>
        <v>2025</v>
      </c>
      <c r="AC181" s="101">
        <f t="shared" si="359"/>
        <v>2026</v>
      </c>
      <c r="AD181" s="101">
        <f t="shared" si="359"/>
        <v>2027</v>
      </c>
      <c r="AE181" s="102">
        <f>AE120</f>
        <v>2028</v>
      </c>
      <c r="AH181" s="84"/>
      <c r="AI181" s="101">
        <f>AI120</f>
        <v>2024</v>
      </c>
      <c r="AJ181" s="101">
        <f t="shared" ref="AJ181:AL181" si="360">AJ120</f>
        <v>2025</v>
      </c>
      <c r="AK181" s="101">
        <f t="shared" si="360"/>
        <v>2026</v>
      </c>
      <c r="AL181" s="101">
        <f t="shared" si="360"/>
        <v>2027</v>
      </c>
      <c r="AM181" s="102">
        <f>AM120</f>
        <v>2028</v>
      </c>
      <c r="AP181" s="84"/>
      <c r="AQ181" s="101">
        <f>AQ120</f>
        <v>2024</v>
      </c>
      <c r="AR181" s="101">
        <f t="shared" ref="AR181:AT181" si="361">AR120</f>
        <v>2025</v>
      </c>
      <c r="AS181" s="101">
        <f t="shared" si="361"/>
        <v>2026</v>
      </c>
      <c r="AT181" s="101">
        <f t="shared" si="361"/>
        <v>2027</v>
      </c>
      <c r="AU181" s="102">
        <f>AU120</f>
        <v>2028</v>
      </c>
      <c r="AX181" s="84"/>
      <c r="AY181" s="101">
        <f>AY120</f>
        <v>2024</v>
      </c>
      <c r="AZ181" s="101">
        <f t="shared" ref="AZ181:BB181" si="362">AZ120</f>
        <v>2025</v>
      </c>
      <c r="BA181" s="101">
        <f t="shared" si="362"/>
        <v>2026</v>
      </c>
      <c r="BB181" s="101">
        <f t="shared" si="362"/>
        <v>2027</v>
      </c>
      <c r="BC181" s="102">
        <f>BC120</f>
        <v>2028</v>
      </c>
      <c r="BF181" s="84"/>
      <c r="BG181" s="101">
        <f>BG120</f>
        <v>2024</v>
      </c>
      <c r="BH181" s="101">
        <f t="shared" ref="BH181:BJ181" si="363">BH120</f>
        <v>2025</v>
      </c>
      <c r="BI181" s="101">
        <f t="shared" si="363"/>
        <v>2026</v>
      </c>
      <c r="BJ181" s="101">
        <f t="shared" si="363"/>
        <v>2027</v>
      </c>
      <c r="BK181" s="102">
        <f>BK120</f>
        <v>2028</v>
      </c>
      <c r="BN181" s="84"/>
      <c r="BO181" s="101">
        <f>BO120</f>
        <v>2024</v>
      </c>
      <c r="BP181" s="101">
        <f t="shared" ref="BP181:BR181" si="364">BP120</f>
        <v>2025</v>
      </c>
      <c r="BQ181" s="101">
        <f t="shared" si="364"/>
        <v>2026</v>
      </c>
      <c r="BR181" s="101">
        <f t="shared" si="364"/>
        <v>2027</v>
      </c>
      <c r="BS181" s="102">
        <f>BS120</f>
        <v>2028</v>
      </c>
      <c r="BV181" s="84"/>
      <c r="BW181" s="101">
        <f>BW120</f>
        <v>2024</v>
      </c>
      <c r="BX181" s="101">
        <f t="shared" ref="BX181:BZ181" si="365">BX120</f>
        <v>2025</v>
      </c>
      <c r="BY181" s="101">
        <f t="shared" si="365"/>
        <v>2026</v>
      </c>
      <c r="BZ181" s="101">
        <f t="shared" si="365"/>
        <v>2027</v>
      </c>
      <c r="CA181" s="102">
        <f>CA120</f>
        <v>2028</v>
      </c>
      <c r="CD181" s="84"/>
      <c r="CE181" s="101">
        <f>CE120</f>
        <v>2024</v>
      </c>
      <c r="CF181" s="101">
        <f t="shared" ref="CF181:CH181" si="366">CF120</f>
        <v>2025</v>
      </c>
      <c r="CG181" s="101">
        <f t="shared" si="366"/>
        <v>2026</v>
      </c>
      <c r="CH181" s="101">
        <f t="shared" si="366"/>
        <v>2027</v>
      </c>
      <c r="CI181" s="102">
        <f>CI120</f>
        <v>2028</v>
      </c>
      <c r="CL181" s="84"/>
      <c r="CM181" s="101">
        <f>CM120</f>
        <v>2024</v>
      </c>
      <c r="CN181" s="101">
        <f t="shared" ref="CN181:CP181" si="367">CN120</f>
        <v>2025</v>
      </c>
      <c r="CO181" s="101">
        <f t="shared" si="367"/>
        <v>2026</v>
      </c>
      <c r="CP181" s="101">
        <f t="shared" si="367"/>
        <v>2027</v>
      </c>
      <c r="CQ181" s="102">
        <f>CQ120</f>
        <v>2028</v>
      </c>
      <c r="CT181" s="84"/>
      <c r="CU181" s="101">
        <f>CU120</f>
        <v>2024</v>
      </c>
      <c r="CV181" s="101">
        <f t="shared" ref="CV181:CX181" si="368">CV120</f>
        <v>2025</v>
      </c>
      <c r="CW181" s="101">
        <f t="shared" si="368"/>
        <v>2026</v>
      </c>
      <c r="CX181" s="101">
        <f t="shared" si="368"/>
        <v>2027</v>
      </c>
      <c r="CY181" s="102">
        <f>CY120</f>
        <v>2028</v>
      </c>
      <c r="DB181" s="84"/>
      <c r="DC181" s="101">
        <f>DC120</f>
        <v>2024</v>
      </c>
      <c r="DD181" s="101">
        <f t="shared" ref="DD181:DF181" si="369">DD120</f>
        <v>2025</v>
      </c>
      <c r="DE181" s="101">
        <f t="shared" si="369"/>
        <v>2026</v>
      </c>
      <c r="DF181" s="101">
        <f t="shared" si="369"/>
        <v>2027</v>
      </c>
      <c r="DG181" s="102">
        <f>DG120</f>
        <v>2028</v>
      </c>
    </row>
    <row r="182" spans="2:111">
      <c r="B182" s="87" t="s">
        <v>170</v>
      </c>
      <c r="C182" s="109">
        <f ca="1">(C58*ci_int1)+(C58*ct_int1*'Time on treatment'!$D$12)</f>
        <v>1590669.5866445473</v>
      </c>
      <c r="D182" s="109">
        <f ca="1">(D58*ct_int1*'Time on treatment'!$E$12)</f>
        <v>0</v>
      </c>
      <c r="E182" s="109">
        <f ca="1">(E58*ct_int1*'Time on treatment'!$F$12)</f>
        <v>0</v>
      </c>
      <c r="F182" s="109">
        <f ca="1">(F58*ct_int1*'Time on treatment'!$G$12)</f>
        <v>0</v>
      </c>
      <c r="G182" s="110">
        <f ca="1">(G58*ct_int1*'Time on treatment'!$H$12)</f>
        <v>0</v>
      </c>
      <c r="J182" s="87" t="s">
        <v>170</v>
      </c>
      <c r="K182" s="109">
        <f ca="1">(K58*ci_int2)+(K58*ct_int2*'Time on treatment'!$D$13)</f>
        <v>0</v>
      </c>
      <c r="L182" s="109">
        <f ca="1">(L58*ct_int2*'Time on treatment'!$E$13)</f>
        <v>0</v>
      </c>
      <c r="M182" s="109">
        <f ca="1">(M58*ct_int2*'Time on treatment'!$F$13)</f>
        <v>0</v>
      </c>
      <c r="N182" s="109">
        <f ca="1">(N58*ct_int2*'Time on treatment'!$G$13)</f>
        <v>0</v>
      </c>
      <c r="O182" s="110">
        <f ca="1">(O58*ct_int2*'Time on treatment'!$H$13)</f>
        <v>0</v>
      </c>
      <c r="R182" s="87" t="s">
        <v>170</v>
      </c>
      <c r="S182" s="109">
        <f ca="1">(S58*ci_int3)+(S58*ct_int3*'Time on treatment'!$D$14)</f>
        <v>0</v>
      </c>
      <c r="T182" s="109">
        <f ca="1">(T58*ct_int3*'Time on treatment'!$E$14)</f>
        <v>0</v>
      </c>
      <c r="U182" s="109">
        <f ca="1">(U58*ct_int3*'Time on treatment'!$F$14)</f>
        <v>0</v>
      </c>
      <c r="V182" s="109">
        <f ca="1">(V58*ct_int3*'Time on treatment'!$G$14)</f>
        <v>0</v>
      </c>
      <c r="W182" s="110">
        <f ca="1">(W58*ct_int3*'Time on treatment'!$H$14)</f>
        <v>0</v>
      </c>
      <c r="Z182" s="87" t="s">
        <v>170</v>
      </c>
      <c r="AA182" s="109">
        <f ca="1">(AA58*ci_int4)+(AA58*ct_int4*'Time on treatment'!$D$15)</f>
        <v>0</v>
      </c>
      <c r="AB182" s="109">
        <f ca="1">(AB58*ct_int4*'Time on treatment'!$E$15)</f>
        <v>0</v>
      </c>
      <c r="AC182" s="109">
        <f ca="1">(AC58*ct_int4*'Time on treatment'!$F$15)</f>
        <v>0</v>
      </c>
      <c r="AD182" s="109">
        <f ca="1">(AD58*ct_int4*'Time on treatment'!$G$15)</f>
        <v>0</v>
      </c>
      <c r="AE182" s="110">
        <f ca="1">(AE58*ct_int4*'Time on treatment'!$H$15)</f>
        <v>0</v>
      </c>
      <c r="AH182" s="87" t="s">
        <v>170</v>
      </c>
      <c r="AI182" s="109">
        <f ca="1">(AI58*ci_comp1)+(AI58*ct_comp1*'Time on treatment'!$D$19)</f>
        <v>5256429.9169366583</v>
      </c>
      <c r="AJ182" s="109">
        <f ca="1">(AJ58*ct_comp1*'Time on treatment'!$E$19)</f>
        <v>0</v>
      </c>
      <c r="AK182" s="109">
        <f ca="1">(AK58*ct_comp1*'Time on treatment'!$F$19)</f>
        <v>0</v>
      </c>
      <c r="AL182" s="109">
        <f ca="1">(AL58*ct_comp1*'Time on treatment'!$G$19)</f>
        <v>0</v>
      </c>
      <c r="AM182" s="110">
        <f ca="1">(AM58*ct_comp1*'Time on treatment'!$H$19)</f>
        <v>0</v>
      </c>
      <c r="AP182" s="87" t="s">
        <v>170</v>
      </c>
      <c r="AQ182" s="109">
        <f ca="1">(AQ58*ci_comp2)+(AQ58*ct_comp2*'Time on treatment'!$D$20)</f>
        <v>0</v>
      </c>
      <c r="AR182" s="109">
        <f ca="1">(AR58*ct_comp2*'Time on treatment'!$E$20)</f>
        <v>0</v>
      </c>
      <c r="AS182" s="109">
        <f ca="1">(AS58*ct_comp2*'Time on treatment'!$F$20)</f>
        <v>0</v>
      </c>
      <c r="AT182" s="109">
        <f ca="1">(AT58*ct_comp2*'Time on treatment'!$G$20)</f>
        <v>0</v>
      </c>
      <c r="AU182" s="110">
        <f ca="1">(AU58*ct_comp2*'Time on treatment'!$H$20)</f>
        <v>0</v>
      </c>
      <c r="AX182" s="87" t="s">
        <v>170</v>
      </c>
      <c r="AY182" s="109">
        <f ca="1">(AY58*ci_comp3)+(AY58*ct_comp3*'Time on treatment'!$D$21)</f>
        <v>0</v>
      </c>
      <c r="AZ182" s="109">
        <f ca="1">(AZ58*ct_comp3*'Time on treatment'!$E$21)</f>
        <v>0</v>
      </c>
      <c r="BA182" s="109">
        <f ca="1">(BA58*ct_comp3*'Time on treatment'!$F$21)</f>
        <v>0</v>
      </c>
      <c r="BB182" s="109">
        <f ca="1">(BB58*ct_comp3*'Time on treatment'!$G$21)</f>
        <v>0</v>
      </c>
      <c r="BC182" s="110">
        <f ca="1">(BC58*ct_comp3*'Time on treatment'!$H$21)</f>
        <v>0</v>
      </c>
      <c r="BF182" s="87" t="s">
        <v>170</v>
      </c>
      <c r="BG182" s="109">
        <f ca="1">(BG58*ci_comp4)+(BG58*ct_comp4*'Time on treatment'!$D$22)</f>
        <v>0</v>
      </c>
      <c r="BH182" s="109">
        <f ca="1">(BH58*ct_comp4*'Time on treatment'!$E$22)</f>
        <v>0</v>
      </c>
      <c r="BI182" s="109">
        <f ca="1">(BI58*ct_comp4*'Time on treatment'!$F$22)</f>
        <v>0</v>
      </c>
      <c r="BJ182" s="109">
        <f ca="1">(BJ58*ct_comp4*'Time on treatment'!$G$22)</f>
        <v>0</v>
      </c>
      <c r="BK182" s="110">
        <f ca="1">(BK58*ct_comp4*'Time on treatment'!$H$22)</f>
        <v>0</v>
      </c>
      <c r="BN182" s="87" t="s">
        <v>170</v>
      </c>
      <c r="BO182" s="109">
        <f ca="1">(BO58*ci_comp5)+(BO58*ct_comp5*'Time on treatment'!$D$23)</f>
        <v>0</v>
      </c>
      <c r="BP182" s="109">
        <f ca="1">(BP58*ct_comp5*'Time on treatment'!$E$23)</f>
        <v>0</v>
      </c>
      <c r="BQ182" s="109">
        <f ca="1">(BQ58*ct_comp5*'Time on treatment'!$F$23)</f>
        <v>0</v>
      </c>
      <c r="BR182" s="109">
        <f ca="1">(BR58*ct_comp5*'Time on treatment'!$G$23)</f>
        <v>0</v>
      </c>
      <c r="BS182" s="110">
        <f ca="1">(BS58*ct_comp5*'Time on treatment'!$H$23)</f>
        <v>0</v>
      </c>
      <c r="BV182" s="87" t="s">
        <v>170</v>
      </c>
      <c r="BW182" s="109">
        <f ca="1">(BW58*ci_comp6)+(BW58*ct_comp6*'Time on treatment'!$D$24)</f>
        <v>0</v>
      </c>
      <c r="BX182" s="109">
        <f ca="1">(BX58*ct_comp6*'Time on treatment'!$E$24)</f>
        <v>0</v>
      </c>
      <c r="BY182" s="109">
        <f ca="1">(BY58*ct_comp6*'Time on treatment'!$F$24)</f>
        <v>0</v>
      </c>
      <c r="BZ182" s="109">
        <f ca="1">(BZ58*ct_comp6*'Time on treatment'!$G$24)</f>
        <v>0</v>
      </c>
      <c r="CA182" s="110">
        <f ca="1">(CA58*ct_comp6*'Time on treatment'!$H$24)</f>
        <v>0</v>
      </c>
      <c r="CD182" s="87" t="s">
        <v>170</v>
      </c>
      <c r="CE182" s="109">
        <f ca="1">(CE58*ci_comp7)+(CE58*ct_comp7*'Time on treatment'!$D$25)</f>
        <v>0</v>
      </c>
      <c r="CF182" s="109">
        <f ca="1">(CF58*ct_comp7*'Time on treatment'!$E$25)</f>
        <v>0</v>
      </c>
      <c r="CG182" s="109">
        <f ca="1">(CG58*ct_comp7*'Time on treatment'!$F$25)</f>
        <v>0</v>
      </c>
      <c r="CH182" s="109">
        <f ca="1">(CH58*ct_comp7*'Time on treatment'!$G$25)</f>
        <v>0</v>
      </c>
      <c r="CI182" s="110">
        <f ca="1">(CI58*ct_comp7*'Time on treatment'!$H$25)</f>
        <v>0</v>
      </c>
      <c r="CL182" s="87" t="s">
        <v>170</v>
      </c>
      <c r="CM182" s="109">
        <f ca="1">(CM58*ci_comp8)+(CM58*ct_comp8*'Time on treatment'!$D$26)</f>
        <v>0</v>
      </c>
      <c r="CN182" s="109">
        <f ca="1">(CN58*ct_comp8*'Time on treatment'!$E$26)</f>
        <v>0</v>
      </c>
      <c r="CO182" s="109">
        <f ca="1">(CO58*ct_comp8*'Time on treatment'!$F$26)</f>
        <v>0</v>
      </c>
      <c r="CP182" s="109">
        <f ca="1">(CP58*ct_comp8*'Time on treatment'!$G$26)</f>
        <v>0</v>
      </c>
      <c r="CQ182" s="110">
        <f ca="1">(CQ58*ct_comp8*'Time on treatment'!$H$26)</f>
        <v>0</v>
      </c>
      <c r="CT182" s="87" t="s">
        <v>170</v>
      </c>
      <c r="CU182" s="109">
        <f ca="1">(CU58*ci_comp9)+(CU58*ct_comp9*'Time on treatment'!$D$27)</f>
        <v>0</v>
      </c>
      <c r="CV182" s="109">
        <f ca="1">(CV58*ct_comp9*'Time on treatment'!$E$27)</f>
        <v>0</v>
      </c>
      <c r="CW182" s="109">
        <f ca="1">(CW58*ct_comp9*'Time on treatment'!$F$27)</f>
        <v>0</v>
      </c>
      <c r="CX182" s="109">
        <f ca="1">(CX58*ct_comp9*'Time on treatment'!$G$27)</f>
        <v>0</v>
      </c>
      <c r="CY182" s="110">
        <f ca="1">(CY58*ct_comp9*'Time on treatment'!$H$27)</f>
        <v>0</v>
      </c>
      <c r="DB182" s="87" t="s">
        <v>170</v>
      </c>
      <c r="DC182" s="109">
        <f ca="1">(DC58*ci_comp10)+(DC58*ct_comp10*'Time on treatment'!$D$28)</f>
        <v>0</v>
      </c>
      <c r="DD182" s="109">
        <f ca="1">(DD58*ct_comp10*'Time on treatment'!$E$28)</f>
        <v>0</v>
      </c>
      <c r="DE182" s="109">
        <f ca="1">(DE58*ct_comp10*'Time on treatment'!$F$28)</f>
        <v>0</v>
      </c>
      <c r="DF182" s="109">
        <f ca="1">(DF58*ct_comp10*'Time on treatment'!$G$28)</f>
        <v>0</v>
      </c>
      <c r="DG182" s="110">
        <f ca="1">(DG58*ct_comp10*'Time on treatment'!$H$28)</f>
        <v>0</v>
      </c>
    </row>
    <row r="183" spans="2:111">
      <c r="B183" s="87" t="s">
        <v>175</v>
      </c>
      <c r="C183" s="109"/>
      <c r="D183" s="109"/>
      <c r="E183" s="109"/>
      <c r="F183" s="109"/>
      <c r="G183" s="110"/>
      <c r="J183" s="87" t="s">
        <v>175</v>
      </c>
      <c r="K183" s="109"/>
      <c r="L183" s="109"/>
      <c r="M183" s="109"/>
      <c r="N183" s="109"/>
      <c r="O183" s="110"/>
      <c r="R183" s="87" t="s">
        <v>175</v>
      </c>
      <c r="S183" s="109"/>
      <c r="T183" s="109"/>
      <c r="U183" s="109"/>
      <c r="V183" s="109"/>
      <c r="W183" s="110"/>
      <c r="Z183" s="87" t="s">
        <v>175</v>
      </c>
      <c r="AA183" s="109"/>
      <c r="AB183" s="109"/>
      <c r="AC183" s="109"/>
      <c r="AD183" s="109"/>
      <c r="AE183" s="110"/>
      <c r="AH183" s="87" t="s">
        <v>175</v>
      </c>
      <c r="AI183" s="109"/>
      <c r="AJ183" s="109"/>
      <c r="AK183" s="109"/>
      <c r="AL183" s="109"/>
      <c r="AM183" s="110"/>
      <c r="AP183" s="87" t="s">
        <v>175</v>
      </c>
      <c r="AQ183" s="109"/>
      <c r="AR183" s="109"/>
      <c r="AS183" s="109"/>
      <c r="AT183" s="109"/>
      <c r="AU183" s="110"/>
      <c r="AX183" s="87" t="s">
        <v>175</v>
      </c>
      <c r="AY183" s="109"/>
      <c r="AZ183" s="109"/>
      <c r="BA183" s="109"/>
      <c r="BB183" s="109"/>
      <c r="BC183" s="110"/>
      <c r="BF183" s="87" t="s">
        <v>175</v>
      </c>
      <c r="BG183" s="109"/>
      <c r="BH183" s="109"/>
      <c r="BI183" s="109"/>
      <c r="BJ183" s="109"/>
      <c r="BK183" s="110"/>
      <c r="BN183" s="87" t="s">
        <v>175</v>
      </c>
      <c r="BO183" s="109"/>
      <c r="BP183" s="109"/>
      <c r="BQ183" s="109"/>
      <c r="BR183" s="109"/>
      <c r="BS183" s="110"/>
      <c r="BV183" s="87" t="s">
        <v>175</v>
      </c>
      <c r="BW183" s="109"/>
      <c r="BX183" s="109"/>
      <c r="BY183" s="109"/>
      <c r="BZ183" s="109"/>
      <c r="CA183" s="110"/>
      <c r="CD183" s="87" t="s">
        <v>175</v>
      </c>
      <c r="CE183" s="109"/>
      <c r="CF183" s="109"/>
      <c r="CG183" s="109"/>
      <c r="CH183" s="109"/>
      <c r="CI183" s="110"/>
      <c r="CL183" s="87" t="s">
        <v>175</v>
      </c>
      <c r="CM183" s="109"/>
      <c r="CN183" s="109"/>
      <c r="CO183" s="109"/>
      <c r="CP183" s="109"/>
      <c r="CQ183" s="110"/>
      <c r="CT183" s="87" t="s">
        <v>175</v>
      </c>
      <c r="CU183" s="109"/>
      <c r="CV183" s="109"/>
      <c r="CW183" s="109"/>
      <c r="CX183" s="109"/>
      <c r="CY183" s="110"/>
      <c r="DB183" s="87" t="s">
        <v>175</v>
      </c>
      <c r="DC183" s="109"/>
      <c r="DD183" s="109"/>
      <c r="DE183" s="109"/>
      <c r="DF183" s="109"/>
      <c r="DG183" s="110"/>
    </row>
    <row r="184" spans="2:111">
      <c r="B184" s="87" t="s">
        <v>171</v>
      </c>
      <c r="C184" s="111"/>
      <c r="D184" s="109">
        <f ca="1">(D60*ci_int1)+(D60*ct_int1*'Time on treatment'!$D$12)</f>
        <v>3200990.218819018</v>
      </c>
      <c r="E184" s="109">
        <f ca="1">(E60*ct_int1*'Time on treatment'!$E$12)</f>
        <v>0</v>
      </c>
      <c r="F184" s="109">
        <f ca="1">(F60*ct_int1*'Time on treatment'!$F$12)</f>
        <v>0</v>
      </c>
      <c r="G184" s="110">
        <f ca="1">(G60*ct_int1*'Time on treatment'!$G$12)</f>
        <v>0</v>
      </c>
      <c r="J184" s="87" t="s">
        <v>171</v>
      </c>
      <c r="K184" s="111"/>
      <c r="L184" s="109">
        <f ca="1">(L60*ci_int2)+(L60*ct_int2*'Time on treatment'!$D$13)</f>
        <v>0</v>
      </c>
      <c r="M184" s="109">
        <f ca="1">(M60*ct_int2*'Time on treatment'!$E$13)</f>
        <v>0</v>
      </c>
      <c r="N184" s="109">
        <f ca="1">(N60*ct_int2*'Time on treatment'!$F$13)</f>
        <v>0</v>
      </c>
      <c r="O184" s="110">
        <f ca="1">(O60*ct_int2*'Time on treatment'!$G$13)</f>
        <v>0</v>
      </c>
      <c r="R184" s="87" t="s">
        <v>171</v>
      </c>
      <c r="S184" s="111"/>
      <c r="T184" s="109">
        <f ca="1">(T60*ci_int3)+(T60*ct_int3*'Time on treatment'!$D$14)</f>
        <v>0</v>
      </c>
      <c r="U184" s="109">
        <f ca="1">(U60*ct_int3*'Time on treatment'!$E$14)</f>
        <v>0</v>
      </c>
      <c r="V184" s="109">
        <f ca="1">(V60*ct_int3*'Time on treatment'!$F$14)</f>
        <v>0</v>
      </c>
      <c r="W184" s="110">
        <f ca="1">(W60*ct_int3*'Time on treatment'!$G$14)</f>
        <v>0</v>
      </c>
      <c r="Z184" s="87" t="s">
        <v>171</v>
      </c>
      <c r="AA184" s="111"/>
      <c r="AB184" s="109">
        <f ca="1">(AB60*ci_int4)+(AB60*ct_int4*'Time on treatment'!$D$15)</f>
        <v>0</v>
      </c>
      <c r="AC184" s="109">
        <f ca="1">(AC60*ct_int4*'Time on treatment'!$E$15)</f>
        <v>0</v>
      </c>
      <c r="AD184" s="109">
        <f ca="1">(AD60*ct_int4*'Time on treatment'!$F$15)</f>
        <v>0</v>
      </c>
      <c r="AE184" s="110">
        <f ca="1">(AE60*ct_int4*'Time on treatment'!$G$15)</f>
        <v>0</v>
      </c>
      <c r="AH184" s="87" t="s">
        <v>171</v>
      </c>
      <c r="AI184" s="111"/>
      <c r="AJ184" s="109">
        <f ca="1">(AJ60*ci_comp1)+(AJ60*ct_comp1*'Time on treatment'!$D$19)</f>
        <v>4701243.3258136995</v>
      </c>
      <c r="AK184" s="109">
        <f ca="1">(AK60*ct_comp1*'Time on treatment'!$E$19)</f>
        <v>0</v>
      </c>
      <c r="AL184" s="109">
        <f ca="1">(AL60*ct_comp1*'Time on treatment'!$F$19)</f>
        <v>0</v>
      </c>
      <c r="AM184" s="110">
        <f ca="1">(AM60*ct_comp1*'Time on treatment'!$G$19)</f>
        <v>0</v>
      </c>
      <c r="AP184" s="87" t="s">
        <v>171</v>
      </c>
      <c r="AQ184" s="111"/>
      <c r="AR184" s="109">
        <f ca="1">(AR60*ci_comp2)+(AR60*ct_comp2*'Time on treatment'!$D$20)</f>
        <v>0</v>
      </c>
      <c r="AS184" s="109">
        <f ca="1">(AS60*ct_comp2*'Time on treatment'!$E$20)</f>
        <v>0</v>
      </c>
      <c r="AT184" s="109">
        <f ca="1">(AT60*ct_comp2*'Time on treatment'!$F$20)</f>
        <v>0</v>
      </c>
      <c r="AU184" s="110">
        <f ca="1">(AU60*ct_comp2*'Time on treatment'!$G$20)</f>
        <v>0</v>
      </c>
      <c r="AX184" s="87" t="s">
        <v>171</v>
      </c>
      <c r="AY184" s="111"/>
      <c r="AZ184" s="109">
        <f ca="1">(AZ60*ci_comp3)+(AZ60*ct_comp3*'Time on treatment'!$D$21)</f>
        <v>0</v>
      </c>
      <c r="BA184" s="109">
        <f ca="1">(BA60*ct_comp3*'Time on treatment'!$E$21)</f>
        <v>0</v>
      </c>
      <c r="BB184" s="109">
        <f ca="1">(BB60*ct_comp3*'Time on treatment'!$F$21)</f>
        <v>0</v>
      </c>
      <c r="BC184" s="110">
        <f ca="1">(BC60*ct_comp3*'Time on treatment'!$G$21)</f>
        <v>0</v>
      </c>
      <c r="BF184" s="87" t="s">
        <v>171</v>
      </c>
      <c r="BG184" s="111"/>
      <c r="BH184" s="109">
        <f ca="1">(BH60*ci_comp4)+(BH60*ct_comp4*'Time on treatment'!$D$22)</f>
        <v>0</v>
      </c>
      <c r="BI184" s="109">
        <f ca="1">(BI60*ct_comp4*'Time on treatment'!$E$22)</f>
        <v>0</v>
      </c>
      <c r="BJ184" s="109">
        <f ca="1">(BJ60*ct_comp4*'Time on treatment'!$F$22)</f>
        <v>0</v>
      </c>
      <c r="BK184" s="110">
        <f ca="1">(BK60*ct_comp4*'Time on treatment'!$G$22)</f>
        <v>0</v>
      </c>
      <c r="BN184" s="87" t="s">
        <v>171</v>
      </c>
      <c r="BO184" s="111"/>
      <c r="BP184" s="109">
        <f ca="1">(BP60*ci_comp5)+(BP60*ct_comp5*'Time on treatment'!$D$23)</f>
        <v>0</v>
      </c>
      <c r="BQ184" s="109">
        <f ca="1">(BQ60*ct_comp5*'Time on treatment'!$E$23)</f>
        <v>0</v>
      </c>
      <c r="BR184" s="109">
        <f ca="1">(BR60*ct_comp5*'Time on treatment'!$F$23)</f>
        <v>0</v>
      </c>
      <c r="BS184" s="110">
        <f ca="1">(BS60*ct_comp5*'Time on treatment'!$G$23)</f>
        <v>0</v>
      </c>
      <c r="BV184" s="87" t="s">
        <v>171</v>
      </c>
      <c r="BW184" s="111"/>
      <c r="BX184" s="109">
        <f ca="1">(BX60*ci_comp6)+(BX60*ct_comp6*'Time on treatment'!$D$24)</f>
        <v>0</v>
      </c>
      <c r="BY184" s="109">
        <f ca="1">(BY60*ct_comp6*'Time on treatment'!$E$24)</f>
        <v>0</v>
      </c>
      <c r="BZ184" s="109">
        <f ca="1">(BZ60*ct_comp6*'Time on treatment'!$F$24)</f>
        <v>0</v>
      </c>
      <c r="CA184" s="110">
        <f ca="1">(CA60*ct_comp6*'Time on treatment'!$G$24)</f>
        <v>0</v>
      </c>
      <c r="CD184" s="87" t="s">
        <v>171</v>
      </c>
      <c r="CE184" s="111"/>
      <c r="CF184" s="109">
        <f ca="1">(CF60*ci_comp7)+(CF60*ct_comp7*'Time on treatment'!$D$25)</f>
        <v>0</v>
      </c>
      <c r="CG184" s="109">
        <f ca="1">(CG60*ct_comp7*'Time on treatment'!$E$25)</f>
        <v>0</v>
      </c>
      <c r="CH184" s="109">
        <f ca="1">(CH60*ct_comp7*'Time on treatment'!$F$25)</f>
        <v>0</v>
      </c>
      <c r="CI184" s="110">
        <f ca="1">(CI60*ct_comp7*'Time on treatment'!$G$25)</f>
        <v>0</v>
      </c>
      <c r="CL184" s="87" t="s">
        <v>171</v>
      </c>
      <c r="CM184" s="111"/>
      <c r="CN184" s="109">
        <f ca="1">(CN60*ci_comp8)+(CN60*ct_comp8*'Time on treatment'!$D$26)</f>
        <v>0</v>
      </c>
      <c r="CO184" s="109">
        <f ca="1">(CO60*ct_comp8*'Time on treatment'!$E$26)</f>
        <v>0</v>
      </c>
      <c r="CP184" s="109">
        <f ca="1">(CP60*ct_comp8*'Time on treatment'!$F$26)</f>
        <v>0</v>
      </c>
      <c r="CQ184" s="110">
        <f ca="1">(CQ60*ct_comp8*'Time on treatment'!$G$26)</f>
        <v>0</v>
      </c>
      <c r="CT184" s="87" t="s">
        <v>171</v>
      </c>
      <c r="CU184" s="111"/>
      <c r="CV184" s="109">
        <f ca="1">(CV60*ci_comp9)+(CV60*ct_comp9*'Time on treatment'!$D$27)</f>
        <v>0</v>
      </c>
      <c r="CW184" s="109">
        <f ca="1">(CW60*ct_comp9*'Time on treatment'!$E$27)</f>
        <v>0</v>
      </c>
      <c r="CX184" s="109">
        <f ca="1">(CX60*ct_comp9*'Time on treatment'!$F$27)</f>
        <v>0</v>
      </c>
      <c r="CY184" s="110">
        <f ca="1">(CY60*ct_comp9*'Time on treatment'!$G$27)</f>
        <v>0</v>
      </c>
      <c r="DB184" s="87" t="s">
        <v>171</v>
      </c>
      <c r="DC184" s="111"/>
      <c r="DD184" s="109">
        <f ca="1">(DD60*ci_comp10)+(DD60*ct_comp10*'Time on treatment'!$D$28)</f>
        <v>0</v>
      </c>
      <c r="DE184" s="109">
        <f ca="1">(DE60*ct_comp10*'Time on treatment'!$E$28)</f>
        <v>0</v>
      </c>
      <c r="DF184" s="109">
        <f ca="1">(DF60*ct_comp10*'Time on treatment'!$F$28)</f>
        <v>0</v>
      </c>
      <c r="DG184" s="110">
        <f ca="1">(DG60*ct_comp10*'Time on treatment'!$G$28)</f>
        <v>0</v>
      </c>
    </row>
    <row r="185" spans="2:111">
      <c r="B185" s="87" t="s">
        <v>176</v>
      </c>
      <c r="C185" s="111"/>
      <c r="D185" s="109"/>
      <c r="E185" s="109"/>
      <c r="F185" s="109"/>
      <c r="G185" s="110"/>
      <c r="J185" s="87" t="s">
        <v>176</v>
      </c>
      <c r="K185" s="111"/>
      <c r="L185" s="109"/>
      <c r="M185" s="109"/>
      <c r="N185" s="109"/>
      <c r="O185" s="110"/>
      <c r="R185" s="87" t="s">
        <v>176</v>
      </c>
      <c r="S185" s="111"/>
      <c r="T185" s="109"/>
      <c r="U185" s="109"/>
      <c r="V185" s="109"/>
      <c r="W185" s="110"/>
      <c r="Z185" s="87" t="s">
        <v>176</v>
      </c>
      <c r="AA185" s="111"/>
      <c r="AB185" s="109"/>
      <c r="AC185" s="109"/>
      <c r="AD185" s="109"/>
      <c r="AE185" s="110"/>
      <c r="AH185" s="87" t="s">
        <v>176</v>
      </c>
      <c r="AI185" s="111"/>
      <c r="AJ185" s="109"/>
      <c r="AK185" s="109"/>
      <c r="AL185" s="109"/>
      <c r="AM185" s="110"/>
      <c r="AP185" s="87" t="s">
        <v>176</v>
      </c>
      <c r="AQ185" s="111"/>
      <c r="AR185" s="109"/>
      <c r="AS185" s="109"/>
      <c r="AT185" s="109"/>
      <c r="AU185" s="110"/>
      <c r="AX185" s="87" t="s">
        <v>176</v>
      </c>
      <c r="AY185" s="111"/>
      <c r="AZ185" s="109"/>
      <c r="BA185" s="109"/>
      <c r="BB185" s="109"/>
      <c r="BC185" s="110"/>
      <c r="BF185" s="87" t="s">
        <v>176</v>
      </c>
      <c r="BG185" s="111"/>
      <c r="BH185" s="109"/>
      <c r="BI185" s="109"/>
      <c r="BJ185" s="109"/>
      <c r="BK185" s="110"/>
      <c r="BN185" s="87" t="s">
        <v>176</v>
      </c>
      <c r="BO185" s="111"/>
      <c r="BP185" s="109"/>
      <c r="BQ185" s="109"/>
      <c r="BR185" s="109"/>
      <c r="BS185" s="110"/>
      <c r="BV185" s="87" t="s">
        <v>176</v>
      </c>
      <c r="BW185" s="111"/>
      <c r="BX185" s="109"/>
      <c r="BY185" s="109"/>
      <c r="BZ185" s="109"/>
      <c r="CA185" s="110"/>
      <c r="CD185" s="87" t="s">
        <v>176</v>
      </c>
      <c r="CE185" s="111"/>
      <c r="CF185" s="109"/>
      <c r="CG185" s="109"/>
      <c r="CH185" s="109"/>
      <c r="CI185" s="110"/>
      <c r="CL185" s="87" t="s">
        <v>176</v>
      </c>
      <c r="CM185" s="111"/>
      <c r="CN185" s="109"/>
      <c r="CO185" s="109"/>
      <c r="CP185" s="109"/>
      <c r="CQ185" s="110"/>
      <c r="CT185" s="87" t="s">
        <v>176</v>
      </c>
      <c r="CU185" s="111"/>
      <c r="CV185" s="109"/>
      <c r="CW185" s="109"/>
      <c r="CX185" s="109"/>
      <c r="CY185" s="110"/>
      <c r="DB185" s="87" t="s">
        <v>176</v>
      </c>
      <c r="DC185" s="111"/>
      <c r="DD185" s="109"/>
      <c r="DE185" s="109"/>
      <c r="DF185" s="109"/>
      <c r="DG185" s="110"/>
    </row>
    <row r="186" spans="2:111">
      <c r="B186" s="87" t="s">
        <v>172</v>
      </c>
      <c r="C186" s="111"/>
      <c r="D186" s="111"/>
      <c r="E186" s="109">
        <f ca="1">(E62*ci_int1)+(E62*ct_int1*'Time on treatment'!$D$12)</f>
        <v>4829708.1080512898</v>
      </c>
      <c r="F186" s="109">
        <f ca="1">(F62*ct_int1*'Time on treatment'!$E$12)</f>
        <v>0</v>
      </c>
      <c r="G186" s="110">
        <f ca="1">(G62*ct_int1*'Time on treatment'!$F$12)</f>
        <v>0</v>
      </c>
      <c r="J186" s="87" t="s">
        <v>172</v>
      </c>
      <c r="K186" s="111"/>
      <c r="L186" s="111"/>
      <c r="M186" s="109">
        <f ca="1">(M62*ci_int2)+(M62*ct_int2*'Time on treatment'!$D$13)</f>
        <v>0</v>
      </c>
      <c r="N186" s="109">
        <f ca="1">(N62*ct_int2*'Time on treatment'!$E$13)</f>
        <v>0</v>
      </c>
      <c r="O186" s="110">
        <f ca="1">(O62*ct_int2*'Time on treatment'!$F$13)</f>
        <v>0</v>
      </c>
      <c r="R186" s="87" t="s">
        <v>172</v>
      </c>
      <c r="S186" s="111"/>
      <c r="T186" s="111"/>
      <c r="U186" s="109">
        <f ca="1">(U62*ci_int3)+(U62*ct_int3*'Time on treatment'!$D$14)</f>
        <v>0</v>
      </c>
      <c r="V186" s="109">
        <f ca="1">(V62*ct_int3*'Time on treatment'!$E$14)</f>
        <v>0</v>
      </c>
      <c r="W186" s="110">
        <f ca="1">(W62*ct_int3*'Time on treatment'!$F$14)</f>
        <v>0</v>
      </c>
      <c r="Z186" s="87" t="s">
        <v>172</v>
      </c>
      <c r="AA186" s="111"/>
      <c r="AB186" s="111"/>
      <c r="AC186" s="109">
        <f ca="1">(AC62*ci_int4)+(AC62*ct_int4*'Time on treatment'!$D$15)</f>
        <v>0</v>
      </c>
      <c r="AD186" s="109">
        <f ca="1">(AD62*ct_int4*'Time on treatment'!$E$15)</f>
        <v>0</v>
      </c>
      <c r="AE186" s="110">
        <f ca="1">(AE62*ct_int4*'Time on treatment'!$F$15)</f>
        <v>0</v>
      </c>
      <c r="AH186" s="87" t="s">
        <v>172</v>
      </c>
      <c r="AI186" s="111"/>
      <c r="AJ186" s="111"/>
      <c r="AK186" s="109">
        <f ca="1">(AK62*ci_comp1)+(AK62*ct_comp1*'Time on treatment'!$D$19)</f>
        <v>4137767.2791637639</v>
      </c>
      <c r="AL186" s="109">
        <f ca="1">(AL62*ct_comp1*'Time on treatment'!$E$19)</f>
        <v>0</v>
      </c>
      <c r="AM186" s="110">
        <f ca="1">(AM62*ct_comp1*'Time on treatment'!$F$19)</f>
        <v>0</v>
      </c>
      <c r="AP186" s="87" t="s">
        <v>172</v>
      </c>
      <c r="AQ186" s="111"/>
      <c r="AR186" s="111"/>
      <c r="AS186" s="109">
        <f ca="1">(AS62*ci_comp2)+(AS62*ct_comp2*'Time on treatment'!$D$20)</f>
        <v>0</v>
      </c>
      <c r="AT186" s="109">
        <f ca="1">(AT62*ct_comp2*'Time on treatment'!$E$20)</f>
        <v>0</v>
      </c>
      <c r="AU186" s="110">
        <f ca="1">(AU62*ct_comp2*'Time on treatment'!$F$20)</f>
        <v>0</v>
      </c>
      <c r="AX186" s="87" t="s">
        <v>172</v>
      </c>
      <c r="AY186" s="111"/>
      <c r="AZ186" s="111"/>
      <c r="BA186" s="109">
        <f ca="1">(BA62*ci_comp3)+(BA62*ct_comp3*'Time on treatment'!$D$21)</f>
        <v>0</v>
      </c>
      <c r="BB186" s="109">
        <f ca="1">(BB62*ct_comp3*'Time on treatment'!$E$21)</f>
        <v>0</v>
      </c>
      <c r="BC186" s="110">
        <f ca="1">(BC62*ct_comp3*'Time on treatment'!$F$21)</f>
        <v>0</v>
      </c>
      <c r="BF186" s="87" t="s">
        <v>172</v>
      </c>
      <c r="BG186" s="111"/>
      <c r="BH186" s="111"/>
      <c r="BI186" s="109">
        <f ca="1">(BI62*ci_comp4)+(BI62*ct_comp4*'Time on treatment'!$D$22)</f>
        <v>0</v>
      </c>
      <c r="BJ186" s="109">
        <f ca="1">(BJ62*ct_comp4*'Time on treatment'!$E$22)</f>
        <v>0</v>
      </c>
      <c r="BK186" s="110">
        <f ca="1">(BK62*ct_comp4*'Time on treatment'!$F$22)</f>
        <v>0</v>
      </c>
      <c r="BN186" s="87" t="s">
        <v>172</v>
      </c>
      <c r="BO186" s="111"/>
      <c r="BP186" s="111"/>
      <c r="BQ186" s="109">
        <f ca="1">(BQ62*ci_comp5)+(BQ62*ct_comp5*'Time on treatment'!$D$23)</f>
        <v>0</v>
      </c>
      <c r="BR186" s="109">
        <f ca="1">(BR62*ct_comp5*'Time on treatment'!$E$23)</f>
        <v>0</v>
      </c>
      <c r="BS186" s="110">
        <f ca="1">(BS62*ct_comp5*'Time on treatment'!$F$23)</f>
        <v>0</v>
      </c>
      <c r="BV186" s="87" t="s">
        <v>172</v>
      </c>
      <c r="BW186" s="111"/>
      <c r="BX186" s="111"/>
      <c r="BY186" s="109">
        <f ca="1">(BY62*ci_comp6)+(BY62*ct_comp6*'Time on treatment'!$D$24)</f>
        <v>0</v>
      </c>
      <c r="BZ186" s="109">
        <f ca="1">(BZ62*ct_comp6*'Time on treatment'!$E$24)</f>
        <v>0</v>
      </c>
      <c r="CA186" s="110">
        <f ca="1">(CA62*ct_comp6*'Time on treatment'!$F$24)</f>
        <v>0</v>
      </c>
      <c r="CD186" s="87" t="s">
        <v>172</v>
      </c>
      <c r="CE186" s="111"/>
      <c r="CF186" s="111"/>
      <c r="CG186" s="109">
        <f ca="1">(CG62*ci_comp7)+(CG62*ct_comp7*'Time on treatment'!$D$25)</f>
        <v>0</v>
      </c>
      <c r="CH186" s="109">
        <f ca="1">(CH62*ct_comp7*'Time on treatment'!$E$25)</f>
        <v>0</v>
      </c>
      <c r="CI186" s="110">
        <f ca="1">(CI62*ct_comp7*'Time on treatment'!$F$25)</f>
        <v>0</v>
      </c>
      <c r="CL186" s="87" t="s">
        <v>172</v>
      </c>
      <c r="CM186" s="111"/>
      <c r="CN186" s="111"/>
      <c r="CO186" s="109">
        <f ca="1">(CO62*ci_comp8)+(CO62*ct_comp8*'Time on treatment'!$D$26)</f>
        <v>0</v>
      </c>
      <c r="CP186" s="109">
        <f ca="1">(CP62*ct_comp8*'Time on treatment'!$E$26)</f>
        <v>0</v>
      </c>
      <c r="CQ186" s="110">
        <f ca="1">(CQ62*ct_comp8*'Time on treatment'!$F$26)</f>
        <v>0</v>
      </c>
      <c r="CT186" s="87" t="s">
        <v>172</v>
      </c>
      <c r="CU186" s="111"/>
      <c r="CV186" s="111"/>
      <c r="CW186" s="109">
        <f ca="1">(CW62*ci_comp9)+(CW62*ct_comp9*'Time on treatment'!$D$27)</f>
        <v>0</v>
      </c>
      <c r="CX186" s="109">
        <f ca="1">(CX62*ct_comp9*'Time on treatment'!$E$27)</f>
        <v>0</v>
      </c>
      <c r="CY186" s="110">
        <f ca="1">(CY62*ct_comp9*'Time on treatment'!$F$27)</f>
        <v>0</v>
      </c>
      <c r="DB186" s="87" t="s">
        <v>172</v>
      </c>
      <c r="DC186" s="111"/>
      <c r="DD186" s="111"/>
      <c r="DE186" s="109">
        <f ca="1">(DE62*ci_comp10)+(DE62*ct_comp10*'Time on treatment'!$D$28)</f>
        <v>0</v>
      </c>
      <c r="DF186" s="109">
        <f ca="1">(DF62*ct_comp10*'Time on treatment'!$E$28)</f>
        <v>0</v>
      </c>
      <c r="DG186" s="110">
        <f ca="1">(DG62*ct_comp10*'Time on treatment'!$F$28)</f>
        <v>0</v>
      </c>
    </row>
    <row r="187" spans="2:111">
      <c r="B187" s="87" t="s">
        <v>177</v>
      </c>
      <c r="C187" s="111"/>
      <c r="D187" s="111"/>
      <c r="E187" s="109"/>
      <c r="F187" s="109"/>
      <c r="G187" s="110"/>
      <c r="J187" s="87" t="s">
        <v>177</v>
      </c>
      <c r="K187" s="111"/>
      <c r="L187" s="111"/>
      <c r="M187" s="109"/>
      <c r="N187" s="109"/>
      <c r="O187" s="110"/>
      <c r="R187" s="87" t="s">
        <v>177</v>
      </c>
      <c r="S187" s="111"/>
      <c r="T187" s="111"/>
      <c r="U187" s="109"/>
      <c r="V187" s="109"/>
      <c r="W187" s="110"/>
      <c r="Z187" s="87" t="s">
        <v>177</v>
      </c>
      <c r="AA187" s="111"/>
      <c r="AB187" s="111"/>
      <c r="AC187" s="109"/>
      <c r="AD187" s="109"/>
      <c r="AE187" s="110"/>
      <c r="AH187" s="87" t="s">
        <v>177</v>
      </c>
      <c r="AI187" s="111"/>
      <c r="AJ187" s="111"/>
      <c r="AK187" s="109"/>
      <c r="AL187" s="109"/>
      <c r="AM187" s="110"/>
      <c r="AP187" s="87" t="s">
        <v>177</v>
      </c>
      <c r="AQ187" s="111"/>
      <c r="AR187" s="111"/>
      <c r="AS187" s="109"/>
      <c r="AT187" s="109"/>
      <c r="AU187" s="110"/>
      <c r="AX187" s="87" t="s">
        <v>177</v>
      </c>
      <c r="AY187" s="111"/>
      <c r="AZ187" s="111"/>
      <c r="BA187" s="109"/>
      <c r="BB187" s="109"/>
      <c r="BC187" s="110"/>
      <c r="BF187" s="87" t="s">
        <v>177</v>
      </c>
      <c r="BG187" s="111"/>
      <c r="BH187" s="111"/>
      <c r="BI187" s="109"/>
      <c r="BJ187" s="109"/>
      <c r="BK187" s="110"/>
      <c r="BN187" s="87" t="s">
        <v>177</v>
      </c>
      <c r="BO187" s="111"/>
      <c r="BP187" s="111"/>
      <c r="BQ187" s="109"/>
      <c r="BR187" s="109"/>
      <c r="BS187" s="110"/>
      <c r="BV187" s="87" t="s">
        <v>177</v>
      </c>
      <c r="BW187" s="111"/>
      <c r="BX187" s="111"/>
      <c r="BY187" s="109"/>
      <c r="BZ187" s="109"/>
      <c r="CA187" s="110"/>
      <c r="CD187" s="87" t="s">
        <v>177</v>
      </c>
      <c r="CE187" s="111"/>
      <c r="CF187" s="111"/>
      <c r="CG187" s="109"/>
      <c r="CH187" s="109"/>
      <c r="CI187" s="110"/>
      <c r="CL187" s="87" t="s">
        <v>177</v>
      </c>
      <c r="CM187" s="111"/>
      <c r="CN187" s="111"/>
      <c r="CO187" s="109"/>
      <c r="CP187" s="109"/>
      <c r="CQ187" s="110"/>
      <c r="CT187" s="87" t="s">
        <v>177</v>
      </c>
      <c r="CU187" s="111"/>
      <c r="CV187" s="111"/>
      <c r="CW187" s="109"/>
      <c r="CX187" s="109"/>
      <c r="CY187" s="110"/>
      <c r="DB187" s="87" t="s">
        <v>177</v>
      </c>
      <c r="DC187" s="111"/>
      <c r="DD187" s="111"/>
      <c r="DE187" s="109"/>
      <c r="DF187" s="109"/>
      <c r="DG187" s="110"/>
    </row>
    <row r="188" spans="2:111">
      <c r="B188" s="87" t="s">
        <v>173</v>
      </c>
      <c r="C188" s="111"/>
      <c r="D188" s="111"/>
      <c r="E188" s="111"/>
      <c r="F188" s="109">
        <f ca="1">(F64*ci_int1)+(F64*ct_int1*'Time on treatment'!$D$12)</f>
        <v>6475524.4825852485</v>
      </c>
      <c r="G188" s="110">
        <f ca="1">(G64*ct_int1*'Time on treatment'!$E$12)</f>
        <v>0</v>
      </c>
      <c r="J188" s="87" t="s">
        <v>173</v>
      </c>
      <c r="K188" s="111"/>
      <c r="L188" s="111"/>
      <c r="M188" s="111"/>
      <c r="N188" s="109">
        <f ca="1">(N64*ci_int2)+(N64*ct_int2*'Time on treatment'!$D$13)</f>
        <v>0</v>
      </c>
      <c r="O188" s="110">
        <f ca="1">(O64*ct_int2*'Time on treatment'!$E$13)</f>
        <v>0</v>
      </c>
      <c r="R188" s="87" t="s">
        <v>173</v>
      </c>
      <c r="S188" s="111"/>
      <c r="T188" s="111"/>
      <c r="U188" s="111"/>
      <c r="V188" s="109">
        <f ca="1">(V64*ci_int3)+(V64*ct_int3*'Time on treatment'!$D$14)</f>
        <v>0</v>
      </c>
      <c r="W188" s="110">
        <f ca="1">(W64*ct_int3*'Time on treatment'!$E$14)</f>
        <v>0</v>
      </c>
      <c r="Z188" s="87" t="s">
        <v>173</v>
      </c>
      <c r="AA188" s="111"/>
      <c r="AB188" s="111"/>
      <c r="AC188" s="111"/>
      <c r="AD188" s="109">
        <f ca="1">(AD64*ci_int4)+(AD64*ct_int4*'Time on treatment'!$D$15)</f>
        <v>0</v>
      </c>
      <c r="AE188" s="110">
        <f ca="1">(AE64*ct_int4*'Time on treatment'!$E$15)</f>
        <v>0</v>
      </c>
      <c r="AH188" s="87" t="s">
        <v>173</v>
      </c>
      <c r="AI188" s="111"/>
      <c r="AJ188" s="111"/>
      <c r="AK188" s="111"/>
      <c r="AL188" s="109">
        <f ca="1">(AL64*ci_comp1)+(AL64*ct_comp1*'Time on treatment'!$D$19)</f>
        <v>3566437.3569371025</v>
      </c>
      <c r="AM188" s="110">
        <f ca="1">(AM64*ct_comp1*'Time on treatment'!$E$19)</f>
        <v>0</v>
      </c>
      <c r="AP188" s="87" t="s">
        <v>173</v>
      </c>
      <c r="AQ188" s="111"/>
      <c r="AR188" s="111"/>
      <c r="AS188" s="111"/>
      <c r="AT188" s="109">
        <f ca="1">(AT64*ci_comp2)+(AT64*ct_comp2*'Time on treatment'!$D$20)</f>
        <v>0</v>
      </c>
      <c r="AU188" s="110">
        <f ca="1">(AU64*ct_comp2*'Time on treatment'!$E$20)</f>
        <v>0</v>
      </c>
      <c r="AX188" s="87" t="s">
        <v>173</v>
      </c>
      <c r="AY188" s="111"/>
      <c r="AZ188" s="111"/>
      <c r="BA188" s="111"/>
      <c r="BB188" s="109">
        <f ca="1">(BB64*ci_comp3)+(BB64*ct_comp3*'Time on treatment'!$D$21)</f>
        <v>0</v>
      </c>
      <c r="BC188" s="110">
        <f ca="1">(BC64*ct_comp3*'Time on treatment'!$E$21)</f>
        <v>0</v>
      </c>
      <c r="BF188" s="87" t="s">
        <v>173</v>
      </c>
      <c r="BG188" s="111"/>
      <c r="BH188" s="111"/>
      <c r="BI188" s="111"/>
      <c r="BJ188" s="109">
        <f ca="1">(BJ64*ci_comp4)+(BJ64*ct_comp4*'Time on treatment'!$D$22)</f>
        <v>0</v>
      </c>
      <c r="BK188" s="110">
        <f ca="1">(BK64*ct_comp4*'Time on treatment'!$E$22)</f>
        <v>0</v>
      </c>
      <c r="BN188" s="87" t="s">
        <v>173</v>
      </c>
      <c r="BO188" s="111"/>
      <c r="BP188" s="111"/>
      <c r="BQ188" s="111"/>
      <c r="BR188" s="109">
        <f ca="1">(BR64*ci_comp5)+(BR64*ct_comp5*'Time on treatment'!$D$23)</f>
        <v>0</v>
      </c>
      <c r="BS188" s="110">
        <f ca="1">(BS64*ct_comp5*'Time on treatment'!$E$23)</f>
        <v>0</v>
      </c>
      <c r="BV188" s="87" t="s">
        <v>173</v>
      </c>
      <c r="BW188" s="111"/>
      <c r="BX188" s="111"/>
      <c r="BY188" s="111"/>
      <c r="BZ188" s="109">
        <f ca="1">(BZ64*ci_comp6)+(BZ64*ct_comp6*'Time on treatment'!$D$24)</f>
        <v>0</v>
      </c>
      <c r="CA188" s="110">
        <f ca="1">(CA64*ct_comp6*'Time on treatment'!$E$24)</f>
        <v>0</v>
      </c>
      <c r="CD188" s="87" t="s">
        <v>173</v>
      </c>
      <c r="CE188" s="111"/>
      <c r="CF188" s="111"/>
      <c r="CG188" s="111"/>
      <c r="CH188" s="109">
        <f ca="1">(CH64*ci_comp7)+(CH64*ct_comp7*'Time on treatment'!$D$25)</f>
        <v>0</v>
      </c>
      <c r="CI188" s="110">
        <f ca="1">(CI64*ct_comp7*'Time on treatment'!$E$25)</f>
        <v>0</v>
      </c>
      <c r="CL188" s="87" t="s">
        <v>173</v>
      </c>
      <c r="CM188" s="111"/>
      <c r="CN188" s="111"/>
      <c r="CO188" s="111"/>
      <c r="CP188" s="109">
        <f ca="1">(CP64*ci_comp8)+(CP64*ct_comp8*'Time on treatment'!$D$26)</f>
        <v>0</v>
      </c>
      <c r="CQ188" s="110">
        <f ca="1">(CQ64*ct_comp8*'Time on treatment'!$E$26)</f>
        <v>0</v>
      </c>
      <c r="CT188" s="87" t="s">
        <v>173</v>
      </c>
      <c r="CU188" s="111"/>
      <c r="CV188" s="111"/>
      <c r="CW188" s="111"/>
      <c r="CX188" s="109">
        <f ca="1">(CX64*ci_comp9)+(CX64*ct_comp9*'Time on treatment'!$D$27)</f>
        <v>0</v>
      </c>
      <c r="CY188" s="110">
        <f ca="1">(CY64*ct_comp9*'Time on treatment'!$E$27)</f>
        <v>0</v>
      </c>
      <c r="DB188" s="87" t="s">
        <v>173</v>
      </c>
      <c r="DC188" s="111"/>
      <c r="DD188" s="111"/>
      <c r="DE188" s="111"/>
      <c r="DF188" s="109">
        <f ca="1">(DF64*ci_comp10)+(DF64*ct_comp10*'Time on treatment'!$D$28)</f>
        <v>0</v>
      </c>
      <c r="DG188" s="110">
        <f ca="1">(DG64*ct_comp10*'Time on treatment'!$E$28)</f>
        <v>0</v>
      </c>
    </row>
    <row r="189" spans="2:111">
      <c r="B189" s="87" t="s">
        <v>178</v>
      </c>
      <c r="C189" s="111"/>
      <c r="D189" s="111"/>
      <c r="E189" s="111"/>
      <c r="F189" s="109"/>
      <c r="G189" s="110"/>
      <c r="J189" s="87" t="s">
        <v>178</v>
      </c>
      <c r="K189" s="111"/>
      <c r="L189" s="111"/>
      <c r="M189" s="111"/>
      <c r="N189" s="109"/>
      <c r="O189" s="110"/>
      <c r="R189" s="87" t="s">
        <v>178</v>
      </c>
      <c r="S189" s="111"/>
      <c r="T189" s="111"/>
      <c r="U189" s="111"/>
      <c r="V189" s="109"/>
      <c r="W189" s="110"/>
      <c r="Z189" s="87" t="s">
        <v>178</v>
      </c>
      <c r="AA189" s="111"/>
      <c r="AB189" s="111"/>
      <c r="AC189" s="111"/>
      <c r="AD189" s="109"/>
      <c r="AE189" s="110"/>
      <c r="AH189" s="87" t="s">
        <v>178</v>
      </c>
      <c r="AI189" s="111"/>
      <c r="AJ189" s="111"/>
      <c r="AK189" s="111"/>
      <c r="AL189" s="109"/>
      <c r="AM189" s="110"/>
      <c r="AP189" s="87" t="s">
        <v>178</v>
      </c>
      <c r="AQ189" s="111"/>
      <c r="AR189" s="111"/>
      <c r="AS189" s="111"/>
      <c r="AT189" s="109"/>
      <c r="AU189" s="110"/>
      <c r="AX189" s="87" t="s">
        <v>178</v>
      </c>
      <c r="AY189" s="111"/>
      <c r="AZ189" s="111"/>
      <c r="BA189" s="111"/>
      <c r="BB189" s="109"/>
      <c r="BC189" s="110"/>
      <c r="BF189" s="87" t="s">
        <v>178</v>
      </c>
      <c r="BG189" s="111"/>
      <c r="BH189" s="111"/>
      <c r="BI189" s="111"/>
      <c r="BJ189" s="109"/>
      <c r="BK189" s="110"/>
      <c r="BN189" s="87" t="s">
        <v>178</v>
      </c>
      <c r="BO189" s="111"/>
      <c r="BP189" s="111"/>
      <c r="BQ189" s="111"/>
      <c r="BR189" s="109"/>
      <c r="BS189" s="110"/>
      <c r="BV189" s="87" t="s">
        <v>178</v>
      </c>
      <c r="BW189" s="111"/>
      <c r="BX189" s="111"/>
      <c r="BY189" s="111"/>
      <c r="BZ189" s="109"/>
      <c r="CA189" s="110"/>
      <c r="CD189" s="87" t="s">
        <v>178</v>
      </c>
      <c r="CE189" s="111"/>
      <c r="CF189" s="111"/>
      <c r="CG189" s="111"/>
      <c r="CH189" s="109"/>
      <c r="CI189" s="110"/>
      <c r="CL189" s="87" t="s">
        <v>178</v>
      </c>
      <c r="CM189" s="111"/>
      <c r="CN189" s="111"/>
      <c r="CO189" s="111"/>
      <c r="CP189" s="109"/>
      <c r="CQ189" s="110"/>
      <c r="CT189" s="87" t="s">
        <v>178</v>
      </c>
      <c r="CU189" s="111"/>
      <c r="CV189" s="111"/>
      <c r="CW189" s="111"/>
      <c r="CX189" s="109"/>
      <c r="CY189" s="110"/>
      <c r="DB189" s="87" t="s">
        <v>178</v>
      </c>
      <c r="DC189" s="111"/>
      <c r="DD189" s="111"/>
      <c r="DE189" s="111"/>
      <c r="DF189" s="109"/>
      <c r="DG189" s="110"/>
    </row>
    <row r="190" spans="2:111">
      <c r="B190" s="87" t="s">
        <v>174</v>
      </c>
      <c r="C190" s="111"/>
      <c r="D190" s="111"/>
      <c r="E190" s="111"/>
      <c r="F190" s="111"/>
      <c r="G190" s="110">
        <f ca="1">(G66*ci_int1)+(G66*ct_int1*'Time on treatment'!$D$12)</f>
        <v>8137095.6969891693</v>
      </c>
      <c r="J190" s="87" t="s">
        <v>174</v>
      </c>
      <c r="K190" s="111"/>
      <c r="L190" s="111"/>
      <c r="M190" s="111"/>
      <c r="N190" s="111"/>
      <c r="O190" s="110">
        <f ca="1">(O66*ci_int2)+(O66*ct_int2*'Time on treatment'!$D$13)</f>
        <v>0</v>
      </c>
      <c r="R190" s="87" t="s">
        <v>174</v>
      </c>
      <c r="S190" s="111"/>
      <c r="T190" s="111"/>
      <c r="U190" s="111"/>
      <c r="V190" s="111"/>
      <c r="W190" s="110">
        <f ca="1">(W66*ci_int3)+(W66*ct_int3*'Time on treatment'!$D$14)</f>
        <v>0</v>
      </c>
      <c r="Z190" s="87" t="s">
        <v>174</v>
      </c>
      <c r="AA190" s="111"/>
      <c r="AB190" s="111"/>
      <c r="AC190" s="111"/>
      <c r="AD190" s="111"/>
      <c r="AE190" s="110">
        <f ca="1">(AE66*ci_int4)+(AE66*ct_int4*'Time on treatment'!$D$15)</f>
        <v>0</v>
      </c>
      <c r="AH190" s="87" t="s">
        <v>174</v>
      </c>
      <c r="AI190" s="111"/>
      <c r="AJ190" s="111"/>
      <c r="AK190" s="111"/>
      <c r="AL190" s="111"/>
      <c r="AM190" s="110">
        <f ca="1">(AM66*ci_comp1)+(AM66*ct_comp1*'Time on treatment'!$D$19)</f>
        <v>2987705.6958870851</v>
      </c>
      <c r="AP190" s="87" t="s">
        <v>174</v>
      </c>
      <c r="AQ190" s="111"/>
      <c r="AR190" s="111"/>
      <c r="AS190" s="111"/>
      <c r="AT190" s="111"/>
      <c r="AU190" s="110">
        <f ca="1">(AU66*ci_comp2)+(AU66*ct_comp2*'Time on treatment'!$D$20)</f>
        <v>0</v>
      </c>
      <c r="AX190" s="87" t="s">
        <v>174</v>
      </c>
      <c r="AY190" s="111"/>
      <c r="AZ190" s="111"/>
      <c r="BA190" s="111"/>
      <c r="BB190" s="111"/>
      <c r="BC190" s="110">
        <f ca="1">(BC66*ci_comp3)+(BC66*ct_comp3*'Time on treatment'!$D$21)</f>
        <v>0</v>
      </c>
      <c r="BF190" s="87" t="s">
        <v>174</v>
      </c>
      <c r="BG190" s="111"/>
      <c r="BH190" s="111"/>
      <c r="BI190" s="111"/>
      <c r="BJ190" s="111"/>
      <c r="BK190" s="110">
        <f ca="1">(BK66*ci_comp4)+(BK66*ct_comp4*'Time on treatment'!$D$22)</f>
        <v>0</v>
      </c>
      <c r="BN190" s="87" t="s">
        <v>174</v>
      </c>
      <c r="BO190" s="111"/>
      <c r="BP190" s="111"/>
      <c r="BQ190" s="111"/>
      <c r="BR190" s="111"/>
      <c r="BS190" s="110">
        <f ca="1">(BS66*ci_comp5)+(BS66*ct_comp5*'Time on treatment'!$D$23)</f>
        <v>0</v>
      </c>
      <c r="BV190" s="87" t="s">
        <v>174</v>
      </c>
      <c r="BW190" s="111"/>
      <c r="BX190" s="111"/>
      <c r="BY190" s="111"/>
      <c r="BZ190" s="111"/>
      <c r="CA190" s="110">
        <f ca="1">(CA66*ci_comp6)+(CA66*ct_comp6*'Time on treatment'!$D$24)</f>
        <v>0</v>
      </c>
      <c r="CD190" s="87" t="s">
        <v>174</v>
      </c>
      <c r="CE190" s="111"/>
      <c r="CF190" s="111"/>
      <c r="CG190" s="111"/>
      <c r="CH190" s="111"/>
      <c r="CI190" s="110">
        <f ca="1">(CI66*ci_comp7)+(CI66*ct_comp7*'Time on treatment'!$D$25)</f>
        <v>0</v>
      </c>
      <c r="CL190" s="87" t="s">
        <v>174</v>
      </c>
      <c r="CM190" s="111"/>
      <c r="CN190" s="111"/>
      <c r="CO190" s="111"/>
      <c r="CP190" s="111"/>
      <c r="CQ190" s="110">
        <f ca="1">(CQ66*ci_comp8)+(CQ66*ct_comp8*'Time on treatment'!$D$26)</f>
        <v>0</v>
      </c>
      <c r="CT190" s="87" t="s">
        <v>174</v>
      </c>
      <c r="CU190" s="111"/>
      <c r="CV190" s="111"/>
      <c r="CW190" s="111"/>
      <c r="CX190" s="111"/>
      <c r="CY190" s="110">
        <f ca="1">(CY66*ci_comp9)+(CY66*ct_comp9*'Time on treatment'!$D$27)</f>
        <v>0</v>
      </c>
      <c r="DB190" s="87" t="s">
        <v>174</v>
      </c>
      <c r="DC190" s="111"/>
      <c r="DD190" s="111"/>
      <c r="DE190" s="111"/>
      <c r="DF190" s="111"/>
      <c r="DG190" s="110">
        <f ca="1">(DG66*ci_comp10)+(DG66*ct_comp10*'Time on treatment'!$D$28)</f>
        <v>0</v>
      </c>
    </row>
    <row r="191" spans="2:111" ht="15" thickBot="1">
      <c r="B191" s="87" t="s">
        <v>179</v>
      </c>
      <c r="C191" s="111"/>
      <c r="D191" s="111"/>
      <c r="E191" s="111"/>
      <c r="F191" s="111"/>
      <c r="G191" s="112"/>
      <c r="J191" s="87" t="s">
        <v>179</v>
      </c>
      <c r="K191" s="111"/>
      <c r="L191" s="111"/>
      <c r="M191" s="111"/>
      <c r="N191" s="111"/>
      <c r="O191" s="112"/>
      <c r="R191" s="87" t="s">
        <v>179</v>
      </c>
      <c r="S191" s="111"/>
      <c r="T191" s="111"/>
      <c r="U191" s="111"/>
      <c r="V191" s="111"/>
      <c r="W191" s="112"/>
      <c r="Z191" s="87" t="s">
        <v>179</v>
      </c>
      <c r="AA191" s="111"/>
      <c r="AB191" s="111"/>
      <c r="AC191" s="111"/>
      <c r="AD191" s="111"/>
      <c r="AE191" s="112"/>
      <c r="AH191" s="87" t="s">
        <v>179</v>
      </c>
      <c r="AI191" s="111"/>
      <c r="AJ191" s="111"/>
      <c r="AK191" s="111"/>
      <c r="AL191" s="111"/>
      <c r="AM191" s="112"/>
      <c r="AP191" s="87" t="s">
        <v>179</v>
      </c>
      <c r="AQ191" s="111"/>
      <c r="AR191" s="111"/>
      <c r="AS191" s="111"/>
      <c r="AT191" s="111"/>
      <c r="AU191" s="112"/>
      <c r="AX191" s="87" t="s">
        <v>179</v>
      </c>
      <c r="AY191" s="111"/>
      <c r="AZ191" s="111"/>
      <c r="BA191" s="111"/>
      <c r="BB191" s="111"/>
      <c r="BC191" s="112"/>
      <c r="BF191" s="87" t="s">
        <v>179</v>
      </c>
      <c r="BG191" s="111"/>
      <c r="BH191" s="111"/>
      <c r="BI191" s="111"/>
      <c r="BJ191" s="111"/>
      <c r="BK191" s="112"/>
      <c r="BN191" s="87" t="s">
        <v>179</v>
      </c>
      <c r="BO191" s="111"/>
      <c r="BP191" s="111"/>
      <c r="BQ191" s="111"/>
      <c r="BR191" s="111"/>
      <c r="BS191" s="112"/>
      <c r="BV191" s="87" t="s">
        <v>179</v>
      </c>
      <c r="BW191" s="111"/>
      <c r="BX191" s="111"/>
      <c r="BY191" s="111"/>
      <c r="BZ191" s="111"/>
      <c r="CA191" s="112"/>
      <c r="CD191" s="87" t="s">
        <v>179</v>
      </c>
      <c r="CE191" s="111"/>
      <c r="CF191" s="111"/>
      <c r="CG191" s="111"/>
      <c r="CH191" s="111"/>
      <c r="CI191" s="112"/>
      <c r="CL191" s="87" t="s">
        <v>179</v>
      </c>
      <c r="CM191" s="111"/>
      <c r="CN191" s="111"/>
      <c r="CO191" s="111"/>
      <c r="CP191" s="111"/>
      <c r="CQ191" s="112"/>
      <c r="CT191" s="87" t="s">
        <v>179</v>
      </c>
      <c r="CU191" s="111"/>
      <c r="CV191" s="111"/>
      <c r="CW191" s="111"/>
      <c r="CX191" s="111"/>
      <c r="CY191" s="112"/>
      <c r="DB191" s="87" t="s">
        <v>179</v>
      </c>
      <c r="DC191" s="111"/>
      <c r="DD191" s="111"/>
      <c r="DE191" s="111"/>
      <c r="DF191" s="111"/>
      <c r="DG191" s="112"/>
    </row>
    <row r="192" spans="2:111" ht="15" thickBot="1">
      <c r="B192" s="85" t="str">
        <f>B164</f>
        <v>PET-CT</v>
      </c>
      <c r="C192" s="113">
        <f ca="1">SUM(C182:C190)</f>
        <v>1590669.5866445473</v>
      </c>
      <c r="D192" s="113">
        <f ca="1">SUM(D182:D190)</f>
        <v>3200990.218819018</v>
      </c>
      <c r="E192" s="113">
        <f ca="1">SUM(E182:E190)</f>
        <v>4829708.1080512898</v>
      </c>
      <c r="F192" s="113">
        <f ca="1">SUM(F182:F190)</f>
        <v>6475524.4825852485</v>
      </c>
      <c r="G192" s="114">
        <f ca="1">SUM(G182:G190)</f>
        <v>8137095.6969891693</v>
      </c>
      <c r="J192" s="85">
        <f>J164</f>
        <v>0</v>
      </c>
      <c r="K192" s="113">
        <f ca="1">SUM(K182:K190)</f>
        <v>0</v>
      </c>
      <c r="L192" s="113">
        <f ca="1">SUM(L182:L190)</f>
        <v>0</v>
      </c>
      <c r="M192" s="113">
        <f ca="1">SUM(M182:M190)</f>
        <v>0</v>
      </c>
      <c r="N192" s="113">
        <f ca="1">SUM(N182:N190)</f>
        <v>0</v>
      </c>
      <c r="O192" s="114">
        <f ca="1">SUM(O182:O190)</f>
        <v>0</v>
      </c>
      <c r="R192" s="85">
        <f>R164</f>
        <v>0</v>
      </c>
      <c r="S192" s="113">
        <f ca="1">SUM(S182:S190)</f>
        <v>0</v>
      </c>
      <c r="T192" s="113">
        <f ca="1">SUM(T182:T190)</f>
        <v>0</v>
      </c>
      <c r="U192" s="113">
        <f ca="1">SUM(U182:U190)</f>
        <v>0</v>
      </c>
      <c r="V192" s="113">
        <f ca="1">SUM(V182:V190)</f>
        <v>0</v>
      </c>
      <c r="W192" s="114">
        <f ca="1">SUM(W182:W190)</f>
        <v>0</v>
      </c>
      <c r="Z192" s="85">
        <f>Z164</f>
        <v>0</v>
      </c>
      <c r="AA192" s="113">
        <f ca="1">SUM(AA182:AA190)</f>
        <v>0</v>
      </c>
      <c r="AB192" s="113">
        <f ca="1">SUM(AB182:AB190)</f>
        <v>0</v>
      </c>
      <c r="AC192" s="113">
        <f ca="1">SUM(AC182:AC190)</f>
        <v>0</v>
      </c>
      <c r="AD192" s="113">
        <f ca="1">SUM(AD182:AD190)</f>
        <v>0</v>
      </c>
      <c r="AE192" s="114">
        <f ca="1">SUM(AE182:AE190)</f>
        <v>0</v>
      </c>
      <c r="AH192" s="85" t="str">
        <f>AH164</f>
        <v>CT scan + scintigraphy</v>
      </c>
      <c r="AI192" s="113">
        <f ca="1">SUM(AI182:AI190)</f>
        <v>5256429.9169366583</v>
      </c>
      <c r="AJ192" s="113">
        <f ca="1">SUM(AJ182:AJ190)</f>
        <v>4701243.3258136995</v>
      </c>
      <c r="AK192" s="113">
        <f ca="1">SUM(AK182:AK190)</f>
        <v>4137767.2791637639</v>
      </c>
      <c r="AL192" s="113">
        <f ca="1">SUM(AL182:AL190)</f>
        <v>3566437.3569371025</v>
      </c>
      <c r="AM192" s="114">
        <f ca="1">SUM(AM182:AM190)</f>
        <v>2987705.6958870851</v>
      </c>
      <c r="AP192" s="85">
        <f>AP164</f>
        <v>0</v>
      </c>
      <c r="AQ192" s="113">
        <f ca="1">SUM(AQ182:AQ190)</f>
        <v>0</v>
      </c>
      <c r="AR192" s="113">
        <f ca="1">SUM(AR182:AR190)</f>
        <v>0</v>
      </c>
      <c r="AS192" s="113">
        <f ca="1">SUM(AS182:AS190)</f>
        <v>0</v>
      </c>
      <c r="AT192" s="113">
        <f ca="1">SUM(AT182:AT190)</f>
        <v>0</v>
      </c>
      <c r="AU192" s="114">
        <f ca="1">SUM(AU182:AU190)</f>
        <v>0</v>
      </c>
      <c r="AX192" s="85">
        <f>AX164</f>
        <v>0</v>
      </c>
      <c r="AY192" s="113">
        <f ca="1">SUM(AY182:AY190)</f>
        <v>0</v>
      </c>
      <c r="AZ192" s="113">
        <f ca="1">SUM(AZ182:AZ190)</f>
        <v>0</v>
      </c>
      <c r="BA192" s="113">
        <f ca="1">SUM(BA182:BA190)</f>
        <v>0</v>
      </c>
      <c r="BB192" s="113">
        <f ca="1">SUM(BB182:BB190)</f>
        <v>0</v>
      </c>
      <c r="BC192" s="114">
        <f ca="1">SUM(BC182:BC190)</f>
        <v>0</v>
      </c>
      <c r="BF192" s="85">
        <f>BF164</f>
        <v>0</v>
      </c>
      <c r="BG192" s="113">
        <f ca="1">SUM(BG182:BG190)</f>
        <v>0</v>
      </c>
      <c r="BH192" s="113">
        <f ca="1">SUM(BH182:BH190)</f>
        <v>0</v>
      </c>
      <c r="BI192" s="113">
        <f ca="1">SUM(BI182:BI190)</f>
        <v>0</v>
      </c>
      <c r="BJ192" s="113">
        <f ca="1">SUM(BJ182:BJ190)</f>
        <v>0</v>
      </c>
      <c r="BK192" s="114">
        <f ca="1">SUM(BK182:BK190)</f>
        <v>0</v>
      </c>
      <c r="BN192" s="85">
        <f>BN164</f>
        <v>0</v>
      </c>
      <c r="BO192" s="113">
        <f ca="1">SUM(BO182:BO190)</f>
        <v>0</v>
      </c>
      <c r="BP192" s="113">
        <f ca="1">SUM(BP182:BP190)</f>
        <v>0</v>
      </c>
      <c r="BQ192" s="113">
        <f ca="1">SUM(BQ182:BQ190)</f>
        <v>0</v>
      </c>
      <c r="BR192" s="113">
        <f ca="1">SUM(BR182:BR190)</f>
        <v>0</v>
      </c>
      <c r="BS192" s="114">
        <f ca="1">SUM(BS182:BS190)</f>
        <v>0</v>
      </c>
      <c r="BV192" s="85">
        <f>BV164</f>
        <v>0</v>
      </c>
      <c r="BW192" s="113">
        <f ca="1">SUM(BW182:BW190)</f>
        <v>0</v>
      </c>
      <c r="BX192" s="113">
        <f ca="1">SUM(BX182:BX190)</f>
        <v>0</v>
      </c>
      <c r="BY192" s="113">
        <f ca="1">SUM(BY182:BY190)</f>
        <v>0</v>
      </c>
      <c r="BZ192" s="113">
        <f ca="1">SUM(BZ182:BZ190)</f>
        <v>0</v>
      </c>
      <c r="CA192" s="114">
        <f ca="1">SUM(CA182:CA190)</f>
        <v>0</v>
      </c>
      <c r="CD192" s="85">
        <f>CD164</f>
        <v>0</v>
      </c>
      <c r="CE192" s="113">
        <f ca="1">SUM(CE182:CE190)</f>
        <v>0</v>
      </c>
      <c r="CF192" s="113">
        <f ca="1">SUM(CF182:CF190)</f>
        <v>0</v>
      </c>
      <c r="CG192" s="113">
        <f ca="1">SUM(CG182:CG190)</f>
        <v>0</v>
      </c>
      <c r="CH192" s="113">
        <f ca="1">SUM(CH182:CH190)</f>
        <v>0</v>
      </c>
      <c r="CI192" s="114">
        <f ca="1">SUM(CI182:CI190)</f>
        <v>0</v>
      </c>
      <c r="CL192" s="85">
        <f>CL164</f>
        <v>0</v>
      </c>
      <c r="CM192" s="113">
        <f ca="1">SUM(CM182:CM190)</f>
        <v>0</v>
      </c>
      <c r="CN192" s="113">
        <f ca="1">SUM(CN182:CN190)</f>
        <v>0</v>
      </c>
      <c r="CO192" s="113">
        <f ca="1">SUM(CO182:CO190)</f>
        <v>0</v>
      </c>
      <c r="CP192" s="113">
        <f ca="1">SUM(CP182:CP190)</f>
        <v>0</v>
      </c>
      <c r="CQ192" s="114">
        <f ca="1">SUM(CQ182:CQ190)</f>
        <v>0</v>
      </c>
      <c r="CT192" s="85">
        <f>CT164</f>
        <v>0</v>
      </c>
      <c r="CU192" s="113">
        <f ca="1">SUM(CU182:CU190)</f>
        <v>0</v>
      </c>
      <c r="CV192" s="113">
        <f ca="1">SUM(CV182:CV190)</f>
        <v>0</v>
      </c>
      <c r="CW192" s="113">
        <f ca="1">SUM(CW182:CW190)</f>
        <v>0</v>
      </c>
      <c r="CX192" s="113">
        <f ca="1">SUM(CX182:CX190)</f>
        <v>0</v>
      </c>
      <c r="CY192" s="114">
        <f ca="1">SUM(CY182:CY190)</f>
        <v>0</v>
      </c>
      <c r="DB192" s="85">
        <f>DB164</f>
        <v>0</v>
      </c>
      <c r="DC192" s="113">
        <f ca="1">SUM(DC182:DC190)</f>
        <v>0</v>
      </c>
      <c r="DD192" s="113">
        <f ca="1">SUM(DD182:DD190)</f>
        <v>0</v>
      </c>
      <c r="DE192" s="113">
        <f ca="1">SUM(DE182:DE190)</f>
        <v>0</v>
      </c>
      <c r="DF192" s="113">
        <f ca="1">SUM(DF182:DF190)</f>
        <v>0</v>
      </c>
      <c r="DG192" s="114">
        <f ca="1">SUM(DG182:DG190)</f>
        <v>0</v>
      </c>
    </row>
    <row r="193" spans="2:111" ht="15" thickBot="1">
      <c r="B193" s="83"/>
      <c r="C193" s="83"/>
      <c r="D193" s="83"/>
      <c r="E193" s="83"/>
      <c r="F193" s="83"/>
      <c r="G193" s="83"/>
      <c r="J193" s="83"/>
      <c r="K193" s="83"/>
      <c r="L193" s="83"/>
      <c r="M193" s="83"/>
      <c r="N193" s="83"/>
      <c r="O193" s="83"/>
      <c r="R193" s="83"/>
      <c r="S193" s="83"/>
      <c r="T193" s="83"/>
      <c r="U193" s="83"/>
      <c r="V193" s="83"/>
      <c r="W193" s="83"/>
      <c r="Z193" s="83"/>
      <c r="AA193" s="83"/>
      <c r="AB193" s="83"/>
      <c r="AC193" s="83"/>
      <c r="AD193" s="83"/>
      <c r="AE193" s="83"/>
      <c r="AH193" s="83"/>
      <c r="AI193" s="83"/>
      <c r="AJ193" s="83"/>
      <c r="AK193" s="83"/>
      <c r="AL193" s="83"/>
      <c r="AM193" s="83"/>
      <c r="AP193" s="83"/>
      <c r="AQ193" s="83"/>
      <c r="AR193" s="83"/>
      <c r="AS193" s="83"/>
      <c r="AT193" s="83"/>
      <c r="AU193" s="83"/>
      <c r="AX193" s="83"/>
      <c r="AY193" s="83"/>
      <c r="AZ193" s="83"/>
      <c r="BA193" s="83"/>
      <c r="BB193" s="83"/>
      <c r="BC193" s="83"/>
      <c r="BF193" s="83"/>
      <c r="BG193" s="83"/>
      <c r="BH193" s="83"/>
      <c r="BI193" s="83"/>
      <c r="BJ193" s="83"/>
      <c r="BK193" s="83"/>
      <c r="BN193" s="83"/>
      <c r="BO193" s="83"/>
      <c r="BP193" s="83"/>
      <c r="BQ193" s="83"/>
      <c r="BR193" s="83"/>
      <c r="BS193" s="83"/>
      <c r="BV193" s="83"/>
      <c r="BW193" s="83"/>
      <c r="BX193" s="83"/>
      <c r="BY193" s="83"/>
      <c r="BZ193" s="83"/>
      <c r="CA193" s="83"/>
      <c r="CD193" s="83"/>
      <c r="CE193" s="83"/>
      <c r="CF193" s="83"/>
      <c r="CG193" s="83"/>
      <c r="CH193" s="83"/>
      <c r="CI193" s="83"/>
      <c r="CL193" s="83"/>
      <c r="CM193" s="83"/>
      <c r="CN193" s="83"/>
      <c r="CO193" s="83"/>
      <c r="CP193" s="83"/>
      <c r="CQ193" s="83"/>
      <c r="CT193" s="83"/>
      <c r="CU193" s="83"/>
      <c r="CV193" s="83"/>
      <c r="CW193" s="83"/>
      <c r="CX193" s="83"/>
      <c r="CY193" s="83"/>
      <c r="DB193" s="83"/>
      <c r="DC193" s="83"/>
      <c r="DD193" s="83"/>
      <c r="DE193" s="83"/>
      <c r="DF193" s="83"/>
      <c r="DG193" s="83"/>
    </row>
    <row r="194" spans="2:111" ht="15" thickBot="1">
      <c r="B194" s="507">
        <f>B133</f>
        <v>0</v>
      </c>
      <c r="C194" s="505"/>
      <c r="D194" s="505"/>
      <c r="E194" s="505"/>
      <c r="F194" s="505"/>
      <c r="G194" s="506"/>
      <c r="J194" s="507">
        <f>J133</f>
        <v>0</v>
      </c>
      <c r="K194" s="505"/>
      <c r="L194" s="505"/>
      <c r="M194" s="505"/>
      <c r="N194" s="505"/>
      <c r="O194" s="506"/>
      <c r="R194" s="507">
        <f>R133</f>
        <v>0</v>
      </c>
      <c r="S194" s="505"/>
      <c r="T194" s="505"/>
      <c r="U194" s="505"/>
      <c r="V194" s="505"/>
      <c r="W194" s="506"/>
      <c r="Z194" s="507">
        <f>Z133</f>
        <v>0</v>
      </c>
      <c r="AA194" s="505"/>
      <c r="AB194" s="505"/>
      <c r="AC194" s="505"/>
      <c r="AD194" s="505"/>
      <c r="AE194" s="506"/>
      <c r="AH194" s="507">
        <f>AH133</f>
        <v>0</v>
      </c>
      <c r="AI194" s="505"/>
      <c r="AJ194" s="505"/>
      <c r="AK194" s="505"/>
      <c r="AL194" s="505"/>
      <c r="AM194" s="506"/>
      <c r="AP194" s="507">
        <f>AP133</f>
        <v>0</v>
      </c>
      <c r="AQ194" s="505"/>
      <c r="AR194" s="505"/>
      <c r="AS194" s="505"/>
      <c r="AT194" s="505"/>
      <c r="AU194" s="506"/>
      <c r="AX194" s="507">
        <f>AX133</f>
        <v>0</v>
      </c>
      <c r="AY194" s="505"/>
      <c r="AZ194" s="505"/>
      <c r="BA194" s="505"/>
      <c r="BB194" s="505"/>
      <c r="BC194" s="506"/>
      <c r="BF194" s="507">
        <f>BF133</f>
        <v>0</v>
      </c>
      <c r="BG194" s="505"/>
      <c r="BH194" s="505"/>
      <c r="BI194" s="505"/>
      <c r="BJ194" s="505"/>
      <c r="BK194" s="506"/>
      <c r="BN194" s="507">
        <f>BN133</f>
        <v>0</v>
      </c>
      <c r="BO194" s="505"/>
      <c r="BP194" s="505"/>
      <c r="BQ194" s="505"/>
      <c r="BR194" s="505"/>
      <c r="BS194" s="506"/>
      <c r="BV194" s="507">
        <f>BV133</f>
        <v>0</v>
      </c>
      <c r="BW194" s="505"/>
      <c r="BX194" s="505"/>
      <c r="BY194" s="505"/>
      <c r="BZ194" s="505"/>
      <c r="CA194" s="506"/>
      <c r="CD194" s="507">
        <f>CD133</f>
        <v>0</v>
      </c>
      <c r="CE194" s="505"/>
      <c r="CF194" s="505"/>
      <c r="CG194" s="505"/>
      <c r="CH194" s="505"/>
      <c r="CI194" s="506"/>
      <c r="CL194" s="507">
        <f>CL133</f>
        <v>0</v>
      </c>
      <c r="CM194" s="505"/>
      <c r="CN194" s="505"/>
      <c r="CO194" s="505"/>
      <c r="CP194" s="505"/>
      <c r="CQ194" s="506"/>
      <c r="CT194" s="507">
        <f>CT133</f>
        <v>0</v>
      </c>
      <c r="CU194" s="505"/>
      <c r="CV194" s="505"/>
      <c r="CW194" s="505"/>
      <c r="CX194" s="505"/>
      <c r="CY194" s="506"/>
      <c r="DB194" s="507">
        <f>DB133</f>
        <v>0</v>
      </c>
      <c r="DC194" s="505"/>
      <c r="DD194" s="505"/>
      <c r="DE194" s="505"/>
      <c r="DF194" s="505"/>
      <c r="DG194" s="506"/>
    </row>
    <row r="195" spans="2:111">
      <c r="B195" s="84"/>
      <c r="C195" s="101">
        <f>C134</f>
        <v>2024</v>
      </c>
      <c r="D195" s="101">
        <f t="shared" ref="D195:F195" si="370">D134</f>
        <v>2025</v>
      </c>
      <c r="E195" s="101">
        <f t="shared" si="370"/>
        <v>2026</v>
      </c>
      <c r="F195" s="101">
        <f t="shared" si="370"/>
        <v>2027</v>
      </c>
      <c r="G195" s="102">
        <f>G134</f>
        <v>2028</v>
      </c>
      <c r="J195" s="84"/>
      <c r="K195" s="101">
        <f>K134</f>
        <v>2024</v>
      </c>
      <c r="L195" s="101">
        <f t="shared" ref="L195:N195" si="371">L134</f>
        <v>2025</v>
      </c>
      <c r="M195" s="101">
        <f t="shared" si="371"/>
        <v>2026</v>
      </c>
      <c r="N195" s="101">
        <f t="shared" si="371"/>
        <v>2027</v>
      </c>
      <c r="O195" s="102">
        <f>O134</f>
        <v>2028</v>
      </c>
      <c r="R195" s="84"/>
      <c r="S195" s="101">
        <f>S134</f>
        <v>2024</v>
      </c>
      <c r="T195" s="101">
        <f t="shared" ref="T195:V195" si="372">T134</f>
        <v>2025</v>
      </c>
      <c r="U195" s="101">
        <f t="shared" si="372"/>
        <v>2026</v>
      </c>
      <c r="V195" s="101">
        <f t="shared" si="372"/>
        <v>2027</v>
      </c>
      <c r="W195" s="102">
        <f>W134</f>
        <v>2028</v>
      </c>
      <c r="Z195" s="84"/>
      <c r="AA195" s="101">
        <f>AA134</f>
        <v>2024</v>
      </c>
      <c r="AB195" s="101">
        <f t="shared" ref="AB195:AD195" si="373">AB134</f>
        <v>2025</v>
      </c>
      <c r="AC195" s="101">
        <f t="shared" si="373"/>
        <v>2026</v>
      </c>
      <c r="AD195" s="101">
        <f t="shared" si="373"/>
        <v>2027</v>
      </c>
      <c r="AE195" s="102">
        <f>AE134</f>
        <v>2028</v>
      </c>
      <c r="AH195" s="84"/>
      <c r="AI195" s="101">
        <f>AI134</f>
        <v>2024</v>
      </c>
      <c r="AJ195" s="101">
        <f t="shared" ref="AJ195:AL195" si="374">AJ134</f>
        <v>2025</v>
      </c>
      <c r="AK195" s="101">
        <f t="shared" si="374"/>
        <v>2026</v>
      </c>
      <c r="AL195" s="101">
        <f t="shared" si="374"/>
        <v>2027</v>
      </c>
      <c r="AM195" s="102">
        <f>AM134</f>
        <v>2028</v>
      </c>
      <c r="AP195" s="84"/>
      <c r="AQ195" s="101">
        <f>AQ134</f>
        <v>2024</v>
      </c>
      <c r="AR195" s="101">
        <f t="shared" ref="AR195:AT195" si="375">AR134</f>
        <v>2025</v>
      </c>
      <c r="AS195" s="101">
        <f t="shared" si="375"/>
        <v>2026</v>
      </c>
      <c r="AT195" s="101">
        <f t="shared" si="375"/>
        <v>2027</v>
      </c>
      <c r="AU195" s="102">
        <f>AU134</f>
        <v>2028</v>
      </c>
      <c r="AX195" s="84"/>
      <c r="AY195" s="101">
        <f>AY134</f>
        <v>2024</v>
      </c>
      <c r="AZ195" s="101">
        <f t="shared" ref="AZ195:BB195" si="376">AZ134</f>
        <v>2025</v>
      </c>
      <c r="BA195" s="101">
        <f t="shared" si="376"/>
        <v>2026</v>
      </c>
      <c r="BB195" s="101">
        <f t="shared" si="376"/>
        <v>2027</v>
      </c>
      <c r="BC195" s="102">
        <f>BC134</f>
        <v>2028</v>
      </c>
      <c r="BF195" s="84"/>
      <c r="BG195" s="101">
        <f>BG134</f>
        <v>2024</v>
      </c>
      <c r="BH195" s="101">
        <f t="shared" ref="BH195:BJ195" si="377">BH134</f>
        <v>2025</v>
      </c>
      <c r="BI195" s="101">
        <f t="shared" si="377"/>
        <v>2026</v>
      </c>
      <c r="BJ195" s="101">
        <f t="shared" si="377"/>
        <v>2027</v>
      </c>
      <c r="BK195" s="102">
        <f>BK134</f>
        <v>2028</v>
      </c>
      <c r="BN195" s="84"/>
      <c r="BO195" s="101">
        <f>BO134</f>
        <v>2024</v>
      </c>
      <c r="BP195" s="101">
        <f t="shared" ref="BP195:BR195" si="378">BP134</f>
        <v>2025</v>
      </c>
      <c r="BQ195" s="101">
        <f t="shared" si="378"/>
        <v>2026</v>
      </c>
      <c r="BR195" s="101">
        <f t="shared" si="378"/>
        <v>2027</v>
      </c>
      <c r="BS195" s="102">
        <f>BS134</f>
        <v>2028</v>
      </c>
      <c r="BV195" s="84"/>
      <c r="BW195" s="101">
        <f>BW134</f>
        <v>2024</v>
      </c>
      <c r="BX195" s="101">
        <f t="shared" ref="BX195:BZ195" si="379">BX134</f>
        <v>2025</v>
      </c>
      <c r="BY195" s="101">
        <f t="shared" si="379"/>
        <v>2026</v>
      </c>
      <c r="BZ195" s="101">
        <f t="shared" si="379"/>
        <v>2027</v>
      </c>
      <c r="CA195" s="102">
        <f>CA134</f>
        <v>2028</v>
      </c>
      <c r="CD195" s="84"/>
      <c r="CE195" s="101">
        <f>CE134</f>
        <v>2024</v>
      </c>
      <c r="CF195" s="101">
        <f t="shared" ref="CF195:CH195" si="380">CF134</f>
        <v>2025</v>
      </c>
      <c r="CG195" s="101">
        <f t="shared" si="380"/>
        <v>2026</v>
      </c>
      <c r="CH195" s="101">
        <f t="shared" si="380"/>
        <v>2027</v>
      </c>
      <c r="CI195" s="102">
        <f>CI134</f>
        <v>2028</v>
      </c>
      <c r="CL195" s="84"/>
      <c r="CM195" s="101">
        <f>CM134</f>
        <v>2024</v>
      </c>
      <c r="CN195" s="101">
        <f t="shared" ref="CN195:CP195" si="381">CN134</f>
        <v>2025</v>
      </c>
      <c r="CO195" s="101">
        <f t="shared" si="381"/>
        <v>2026</v>
      </c>
      <c r="CP195" s="101">
        <f t="shared" si="381"/>
        <v>2027</v>
      </c>
      <c r="CQ195" s="102">
        <f>CQ134</f>
        <v>2028</v>
      </c>
      <c r="CT195" s="84"/>
      <c r="CU195" s="101">
        <f>CU134</f>
        <v>2024</v>
      </c>
      <c r="CV195" s="101">
        <f t="shared" ref="CV195:CX195" si="382">CV134</f>
        <v>2025</v>
      </c>
      <c r="CW195" s="101">
        <f t="shared" si="382"/>
        <v>2026</v>
      </c>
      <c r="CX195" s="101">
        <f t="shared" si="382"/>
        <v>2027</v>
      </c>
      <c r="CY195" s="102">
        <f>CY134</f>
        <v>2028</v>
      </c>
      <c r="DB195" s="84"/>
      <c r="DC195" s="101">
        <f>DC134</f>
        <v>2024</v>
      </c>
      <c r="DD195" s="101">
        <f t="shared" ref="DD195:DF195" si="383">DD134</f>
        <v>2025</v>
      </c>
      <c r="DE195" s="101">
        <f t="shared" si="383"/>
        <v>2026</v>
      </c>
      <c r="DF195" s="101">
        <f t="shared" si="383"/>
        <v>2027</v>
      </c>
      <c r="DG195" s="102">
        <f>DG134</f>
        <v>2028</v>
      </c>
    </row>
    <row r="196" spans="2:111">
      <c r="B196" s="87" t="s">
        <v>170</v>
      </c>
      <c r="C196" s="109">
        <f ca="1">(C73*ci_int1)+(C73*ct_int1*'Time on treatment'!$D$12)</f>
        <v>0</v>
      </c>
      <c r="D196" s="109">
        <f ca="1">(D73*ct_int1*'Time on treatment'!$E$12)</f>
        <v>0</v>
      </c>
      <c r="E196" s="109">
        <f ca="1">(E73*ct_int1*'Time on treatment'!$F$12)</f>
        <v>0</v>
      </c>
      <c r="F196" s="109">
        <f ca="1">(F73*ct_int1*'Time on treatment'!$G$12)</f>
        <v>0</v>
      </c>
      <c r="G196" s="110">
        <f ca="1">(G73*ct_int1*'Time on treatment'!$H$12)</f>
        <v>0</v>
      </c>
      <c r="J196" s="87" t="s">
        <v>170</v>
      </c>
      <c r="K196" s="109">
        <f ca="1">(K73*ci_int2)+(K73*ct_int2*'Time on treatment'!$D$13)</f>
        <v>0</v>
      </c>
      <c r="L196" s="109">
        <f ca="1">(L73*ct_int2*'Time on treatment'!$E$13)</f>
        <v>0</v>
      </c>
      <c r="M196" s="109">
        <f ca="1">(M73*ct_int2*'Time on treatment'!$F$13)</f>
        <v>0</v>
      </c>
      <c r="N196" s="109">
        <f ca="1">(N73*ct_int2*'Time on treatment'!$G$13)</f>
        <v>0</v>
      </c>
      <c r="O196" s="110">
        <f ca="1">(O73*ct_int2*'Time on treatment'!$H$13)</f>
        <v>0</v>
      </c>
      <c r="R196" s="87" t="s">
        <v>170</v>
      </c>
      <c r="S196" s="109">
        <f ca="1">(S73*ci_int3)+(S73*ct_int3*'Time on treatment'!$D$14)</f>
        <v>0</v>
      </c>
      <c r="T196" s="109">
        <f ca="1">(T73*ct_int3*'Time on treatment'!$E$14)</f>
        <v>0</v>
      </c>
      <c r="U196" s="109">
        <f ca="1">(U73*ct_int3*'Time on treatment'!$F$14)</f>
        <v>0</v>
      </c>
      <c r="V196" s="109">
        <f ca="1">(V73*ct_int3*'Time on treatment'!$G$14)</f>
        <v>0</v>
      </c>
      <c r="W196" s="110">
        <f ca="1">(W73*ct_int3*'Time on treatment'!$H$14)</f>
        <v>0</v>
      </c>
      <c r="Z196" s="87" t="s">
        <v>170</v>
      </c>
      <c r="AA196" s="109">
        <f ca="1">(AA73*ci_int4)+(AA73*ct_int4*'Time on treatment'!$D$15)</f>
        <v>0</v>
      </c>
      <c r="AB196" s="109">
        <f ca="1">(AB73*ct_int4*'Time on treatment'!$E$15)</f>
        <v>0</v>
      </c>
      <c r="AC196" s="109">
        <f ca="1">(AC73*ct_int4*'Time on treatment'!$F$15)</f>
        <v>0</v>
      </c>
      <c r="AD196" s="109">
        <f ca="1">(AD73*ct_int4*'Time on treatment'!$G$15)</f>
        <v>0</v>
      </c>
      <c r="AE196" s="110">
        <f ca="1">(AE73*ct_int4*'Time on treatment'!$H$15)</f>
        <v>0</v>
      </c>
      <c r="AH196" s="87" t="s">
        <v>170</v>
      </c>
      <c r="AI196" s="109">
        <f ca="1">(AI73*ci_comp1)+(AI73*ct_comp1*'Time on treatment'!$D$19)</f>
        <v>0</v>
      </c>
      <c r="AJ196" s="109">
        <f ca="1">(AJ73*ct_comp1*'Time on treatment'!$E$19)</f>
        <v>0</v>
      </c>
      <c r="AK196" s="109">
        <f ca="1">(AK73*ct_comp1*'Time on treatment'!$F$19)</f>
        <v>0</v>
      </c>
      <c r="AL196" s="109">
        <f ca="1">(AL73*ct_comp1*'Time on treatment'!$G$19)</f>
        <v>0</v>
      </c>
      <c r="AM196" s="110">
        <f ca="1">(AM73*ct_comp1*'Time on treatment'!$H$19)</f>
        <v>0</v>
      </c>
      <c r="AP196" s="87" t="s">
        <v>170</v>
      </c>
      <c r="AQ196" s="109">
        <f ca="1">(AQ73*ci_comp2)+(AQ73*ct_comp2*'Time on treatment'!$D$20)</f>
        <v>0</v>
      </c>
      <c r="AR196" s="109">
        <f ca="1">(AR73*ct_comp2*'Time on treatment'!$E$20)</f>
        <v>0</v>
      </c>
      <c r="AS196" s="109">
        <f ca="1">(AS73*ct_comp2*'Time on treatment'!$F$20)</f>
        <v>0</v>
      </c>
      <c r="AT196" s="109">
        <f ca="1">(AT73*ct_comp2*'Time on treatment'!$G$20)</f>
        <v>0</v>
      </c>
      <c r="AU196" s="110">
        <f ca="1">(AU73*ct_comp2*'Time on treatment'!$H$20)</f>
        <v>0</v>
      </c>
      <c r="AX196" s="87" t="s">
        <v>170</v>
      </c>
      <c r="AY196" s="109">
        <f ca="1">(AY73*ci_comp3)+(AY73*ct_comp3*'Time on treatment'!$D$21)</f>
        <v>0</v>
      </c>
      <c r="AZ196" s="109">
        <f ca="1">(AZ73*ct_comp3*'Time on treatment'!$E$21)</f>
        <v>0</v>
      </c>
      <c r="BA196" s="109">
        <f ca="1">(BA73*ct_comp3*'Time on treatment'!$F$21)</f>
        <v>0</v>
      </c>
      <c r="BB196" s="109">
        <f ca="1">(BB73*ct_comp3*'Time on treatment'!$G$21)</f>
        <v>0</v>
      </c>
      <c r="BC196" s="110">
        <f ca="1">(BC73*ct_comp3*'Time on treatment'!$H$21)</f>
        <v>0</v>
      </c>
      <c r="BF196" s="87" t="s">
        <v>170</v>
      </c>
      <c r="BG196" s="109">
        <f ca="1">(BG73*ci_comp4)+(BG73*ct_comp4*'Time on treatment'!$D$22)</f>
        <v>0</v>
      </c>
      <c r="BH196" s="109">
        <f ca="1">(BH73*ct_comp4*'Time on treatment'!$E$22)</f>
        <v>0</v>
      </c>
      <c r="BI196" s="109">
        <f ca="1">(BI73*ct_comp4*'Time on treatment'!$F$22)</f>
        <v>0</v>
      </c>
      <c r="BJ196" s="109">
        <f ca="1">(BJ73*ct_comp4*'Time on treatment'!$G$22)</f>
        <v>0</v>
      </c>
      <c r="BK196" s="110">
        <f ca="1">(BK73*ct_comp4*'Time on treatment'!$H$22)</f>
        <v>0</v>
      </c>
      <c r="BN196" s="87" t="s">
        <v>170</v>
      </c>
      <c r="BO196" s="109">
        <f ca="1">(BO73*ci_comp5)+(BO73*ct_comp5*'Time on treatment'!$D$23)</f>
        <v>0</v>
      </c>
      <c r="BP196" s="109">
        <f ca="1">(BP73*ct_comp5*'Time on treatment'!$E$23)</f>
        <v>0</v>
      </c>
      <c r="BQ196" s="109">
        <f ca="1">(BQ73*ct_comp5*'Time on treatment'!$F$23)</f>
        <v>0</v>
      </c>
      <c r="BR196" s="109">
        <f ca="1">(BR73*ct_comp5*'Time on treatment'!$G$23)</f>
        <v>0</v>
      </c>
      <c r="BS196" s="110">
        <f ca="1">(BS73*ct_comp5*'Time on treatment'!$H$23)</f>
        <v>0</v>
      </c>
      <c r="BV196" s="87" t="s">
        <v>170</v>
      </c>
      <c r="BW196" s="109">
        <f ca="1">(BW73*ci_comp6)+(BW73*ct_comp6*'Time on treatment'!$D$24)</f>
        <v>0</v>
      </c>
      <c r="BX196" s="109">
        <f ca="1">(BX73*ct_comp6*'Time on treatment'!$E$24)</f>
        <v>0</v>
      </c>
      <c r="BY196" s="109">
        <f ca="1">(BY73*ct_comp6*'Time on treatment'!$F$24)</f>
        <v>0</v>
      </c>
      <c r="BZ196" s="109">
        <f ca="1">(BZ73*ct_comp6*'Time on treatment'!$G$24)</f>
        <v>0</v>
      </c>
      <c r="CA196" s="110">
        <f ca="1">(CA73*ct_comp6*'Time on treatment'!$H$24)</f>
        <v>0</v>
      </c>
      <c r="CD196" s="87" t="s">
        <v>170</v>
      </c>
      <c r="CE196" s="109">
        <f ca="1">(CE73*ci_comp7)+(CE73*ct_comp7*'Time on treatment'!$D$25)</f>
        <v>0</v>
      </c>
      <c r="CF196" s="109">
        <f ca="1">(CF73*ct_comp7*'Time on treatment'!$E$25)</f>
        <v>0</v>
      </c>
      <c r="CG196" s="109">
        <f ca="1">(CG73*ct_comp7*'Time on treatment'!$F$25)</f>
        <v>0</v>
      </c>
      <c r="CH196" s="109">
        <f ca="1">(CH73*ct_comp7*'Time on treatment'!$G$25)</f>
        <v>0</v>
      </c>
      <c r="CI196" s="110">
        <f ca="1">(CI73*ct_comp7*'Time on treatment'!$H$25)</f>
        <v>0</v>
      </c>
      <c r="CL196" s="87" t="s">
        <v>170</v>
      </c>
      <c r="CM196" s="109">
        <f ca="1">(CM73*ci_comp8)+(CM73*ct_comp8*'Time on treatment'!$D$26)</f>
        <v>0</v>
      </c>
      <c r="CN196" s="109">
        <f ca="1">(CN73*ct_comp8*'Time on treatment'!$E$26)</f>
        <v>0</v>
      </c>
      <c r="CO196" s="109">
        <f ca="1">(CO73*ct_comp8*'Time on treatment'!$F$26)</f>
        <v>0</v>
      </c>
      <c r="CP196" s="109">
        <f ca="1">(CP73*ct_comp8*'Time on treatment'!$G$26)</f>
        <v>0</v>
      </c>
      <c r="CQ196" s="110">
        <f ca="1">(CQ73*ct_comp8*'Time on treatment'!$H$26)</f>
        <v>0</v>
      </c>
      <c r="CT196" s="87" t="s">
        <v>170</v>
      </c>
      <c r="CU196" s="109">
        <f ca="1">(CU73*ci_comp9)+(CU73*ct_comp9*'Time on treatment'!$D$27)</f>
        <v>0</v>
      </c>
      <c r="CV196" s="109">
        <f ca="1">(CV73*ct_comp9*'Time on treatment'!$E$27)</f>
        <v>0</v>
      </c>
      <c r="CW196" s="109">
        <f ca="1">(CW73*ct_comp9*'Time on treatment'!$F$27)</f>
        <v>0</v>
      </c>
      <c r="CX196" s="109">
        <f ca="1">(CX73*ct_comp9*'Time on treatment'!$G$27)</f>
        <v>0</v>
      </c>
      <c r="CY196" s="110">
        <f ca="1">(CY73*ct_comp9*'Time on treatment'!$H$27)</f>
        <v>0</v>
      </c>
      <c r="DB196" s="87" t="s">
        <v>170</v>
      </c>
      <c r="DC196" s="109">
        <f ca="1">(DC73*ci_comp10)+(DC73*ct_comp10*'Time on treatment'!$D$28)</f>
        <v>0</v>
      </c>
      <c r="DD196" s="109">
        <f ca="1">(DD73*ct_comp10*'Time on treatment'!$E$28)</f>
        <v>0</v>
      </c>
      <c r="DE196" s="109">
        <f ca="1">(DE73*ct_comp10*'Time on treatment'!$F$28)</f>
        <v>0</v>
      </c>
      <c r="DF196" s="109">
        <f ca="1">(DF73*ct_comp10*'Time on treatment'!$G$28)</f>
        <v>0</v>
      </c>
      <c r="DG196" s="110">
        <f ca="1">(DG73*ct_comp10*'Time on treatment'!$H$28)</f>
        <v>0</v>
      </c>
    </row>
    <row r="197" spans="2:111">
      <c r="B197" s="87" t="s">
        <v>175</v>
      </c>
      <c r="C197" s="109"/>
      <c r="D197" s="109"/>
      <c r="E197" s="109"/>
      <c r="F197" s="109"/>
      <c r="G197" s="110"/>
      <c r="J197" s="87" t="s">
        <v>175</v>
      </c>
      <c r="K197" s="109"/>
      <c r="L197" s="109"/>
      <c r="M197" s="109"/>
      <c r="N197" s="109"/>
      <c r="O197" s="110"/>
      <c r="R197" s="87" t="s">
        <v>175</v>
      </c>
      <c r="S197" s="109"/>
      <c r="T197" s="109"/>
      <c r="U197" s="109"/>
      <c r="V197" s="109"/>
      <c r="W197" s="110"/>
      <c r="Z197" s="87" t="s">
        <v>175</v>
      </c>
      <c r="AA197" s="109"/>
      <c r="AB197" s="109"/>
      <c r="AC197" s="109"/>
      <c r="AD197" s="109"/>
      <c r="AE197" s="110"/>
      <c r="AH197" s="87" t="s">
        <v>175</v>
      </c>
      <c r="AI197" s="109"/>
      <c r="AJ197" s="109"/>
      <c r="AK197" s="109"/>
      <c r="AL197" s="109"/>
      <c r="AM197" s="110"/>
      <c r="AP197" s="87" t="s">
        <v>175</v>
      </c>
      <c r="AQ197" s="109"/>
      <c r="AR197" s="109"/>
      <c r="AS197" s="109"/>
      <c r="AT197" s="109"/>
      <c r="AU197" s="110"/>
      <c r="AX197" s="87" t="s">
        <v>175</v>
      </c>
      <c r="AY197" s="109"/>
      <c r="AZ197" s="109"/>
      <c r="BA197" s="109"/>
      <c r="BB197" s="109"/>
      <c r="BC197" s="110"/>
      <c r="BF197" s="87" t="s">
        <v>175</v>
      </c>
      <c r="BG197" s="109"/>
      <c r="BH197" s="109"/>
      <c r="BI197" s="109"/>
      <c r="BJ197" s="109"/>
      <c r="BK197" s="110"/>
      <c r="BN197" s="87" t="s">
        <v>175</v>
      </c>
      <c r="BO197" s="109"/>
      <c r="BP197" s="109"/>
      <c r="BQ197" s="109"/>
      <c r="BR197" s="109"/>
      <c r="BS197" s="110"/>
      <c r="BV197" s="87" t="s">
        <v>175</v>
      </c>
      <c r="BW197" s="109"/>
      <c r="BX197" s="109"/>
      <c r="BY197" s="109"/>
      <c r="BZ197" s="109"/>
      <c r="CA197" s="110"/>
      <c r="CD197" s="87" t="s">
        <v>175</v>
      </c>
      <c r="CE197" s="109"/>
      <c r="CF197" s="109"/>
      <c r="CG197" s="109"/>
      <c r="CH197" s="109"/>
      <c r="CI197" s="110"/>
      <c r="CL197" s="87" t="s">
        <v>175</v>
      </c>
      <c r="CM197" s="109"/>
      <c r="CN197" s="109"/>
      <c r="CO197" s="109"/>
      <c r="CP197" s="109"/>
      <c r="CQ197" s="110"/>
      <c r="CT197" s="87" t="s">
        <v>175</v>
      </c>
      <c r="CU197" s="109"/>
      <c r="CV197" s="109"/>
      <c r="CW197" s="109"/>
      <c r="CX197" s="109"/>
      <c r="CY197" s="110"/>
      <c r="DB197" s="87" t="s">
        <v>175</v>
      </c>
      <c r="DC197" s="109"/>
      <c r="DD197" s="109"/>
      <c r="DE197" s="109"/>
      <c r="DF197" s="109"/>
      <c r="DG197" s="110"/>
    </row>
    <row r="198" spans="2:111">
      <c r="B198" s="87" t="s">
        <v>171</v>
      </c>
      <c r="C198" s="111"/>
      <c r="D198" s="109">
        <f ca="1">(D75*ci_int1)+(D75*ct_int1*'Time on treatment'!$D$12)</f>
        <v>0</v>
      </c>
      <c r="E198" s="109">
        <f ca="1">(E75*ct_int1*'Time on treatment'!$E$12)</f>
        <v>0</v>
      </c>
      <c r="F198" s="109">
        <f ca="1">(F75*ct_int1*'Time on treatment'!$F$12)</f>
        <v>0</v>
      </c>
      <c r="G198" s="110">
        <f ca="1">(G75*ct_int1*'Time on treatment'!$G$12)</f>
        <v>0</v>
      </c>
      <c r="J198" s="87" t="s">
        <v>171</v>
      </c>
      <c r="K198" s="111"/>
      <c r="L198" s="109">
        <f ca="1">(L75*ci_int2)+(L75*ct_int2*'Time on treatment'!$D$13)</f>
        <v>0</v>
      </c>
      <c r="M198" s="109">
        <f ca="1">(M75*ct_int2*'Time on treatment'!$E$13)</f>
        <v>0</v>
      </c>
      <c r="N198" s="109">
        <f ca="1">(N75*ct_int2*'Time on treatment'!$F$13)</f>
        <v>0</v>
      </c>
      <c r="O198" s="110">
        <f ca="1">(O75*ct_int2*'Time on treatment'!$G$13)</f>
        <v>0</v>
      </c>
      <c r="R198" s="87" t="s">
        <v>171</v>
      </c>
      <c r="S198" s="111"/>
      <c r="T198" s="109">
        <f ca="1">(T75*ci_int3)+(T75*ct_int3*'Time on treatment'!$D$14)</f>
        <v>0</v>
      </c>
      <c r="U198" s="109">
        <f ca="1">(U75*ct_int3*'Time on treatment'!$E$14)</f>
        <v>0</v>
      </c>
      <c r="V198" s="109">
        <f ca="1">(V75*ct_int3*'Time on treatment'!$F$14)</f>
        <v>0</v>
      </c>
      <c r="W198" s="110">
        <f ca="1">(W75*ct_int3*'Time on treatment'!$G$14)</f>
        <v>0</v>
      </c>
      <c r="Z198" s="87" t="s">
        <v>171</v>
      </c>
      <c r="AA198" s="111"/>
      <c r="AB198" s="109">
        <f ca="1">(AB75*ci_int4)+(AB75*ct_int4*'Time on treatment'!$D$15)</f>
        <v>0</v>
      </c>
      <c r="AC198" s="109">
        <f ca="1">(AC75*ct_int4*'Time on treatment'!$E$15)</f>
        <v>0</v>
      </c>
      <c r="AD198" s="109">
        <f ca="1">(AD75*ct_int4*'Time on treatment'!$F$15)</f>
        <v>0</v>
      </c>
      <c r="AE198" s="110">
        <f ca="1">(AE75*ct_int4*'Time on treatment'!$G$15)</f>
        <v>0</v>
      </c>
      <c r="AH198" s="87" t="s">
        <v>171</v>
      </c>
      <c r="AI198" s="111"/>
      <c r="AJ198" s="109">
        <f ca="1">(AJ75*ci_comp1)+(AJ75*ct_comp1*'Time on treatment'!$D$19)</f>
        <v>0</v>
      </c>
      <c r="AK198" s="109">
        <f ca="1">(AK75*ct_comp1*'Time on treatment'!$E$19)</f>
        <v>0</v>
      </c>
      <c r="AL198" s="109">
        <f ca="1">(AL75*ct_comp1*'Time on treatment'!$F$19)</f>
        <v>0</v>
      </c>
      <c r="AM198" s="110">
        <f ca="1">(AM75*ct_comp1*'Time on treatment'!$G$19)</f>
        <v>0</v>
      </c>
      <c r="AP198" s="87" t="s">
        <v>171</v>
      </c>
      <c r="AQ198" s="111"/>
      <c r="AR198" s="109">
        <f ca="1">(AR75*ci_comp2)+(AR75*ct_comp2*'Time on treatment'!$D$20)</f>
        <v>0</v>
      </c>
      <c r="AS198" s="109">
        <f ca="1">(AS75*ct_comp2*'Time on treatment'!$E$20)</f>
        <v>0</v>
      </c>
      <c r="AT198" s="109">
        <f ca="1">(AT75*ct_comp2*'Time on treatment'!$F$20)</f>
        <v>0</v>
      </c>
      <c r="AU198" s="110">
        <f ca="1">(AU75*ct_comp2*'Time on treatment'!$G$20)</f>
        <v>0</v>
      </c>
      <c r="AX198" s="87" t="s">
        <v>171</v>
      </c>
      <c r="AY198" s="111"/>
      <c r="AZ198" s="109">
        <f ca="1">(AZ75*ci_comp3)+(AZ75*ct_comp3*'Time on treatment'!$D$21)</f>
        <v>0</v>
      </c>
      <c r="BA198" s="109">
        <f ca="1">(BA75*ct_comp3*'Time on treatment'!$E$21)</f>
        <v>0</v>
      </c>
      <c r="BB198" s="109">
        <f ca="1">(BB75*ct_comp3*'Time on treatment'!$F$21)</f>
        <v>0</v>
      </c>
      <c r="BC198" s="110">
        <f ca="1">(BC75*ct_comp3*'Time on treatment'!$G$21)</f>
        <v>0</v>
      </c>
      <c r="BF198" s="87" t="s">
        <v>171</v>
      </c>
      <c r="BG198" s="111"/>
      <c r="BH198" s="109">
        <f ca="1">(BH75*ci_comp4)+(BH75*ct_comp4*'Time on treatment'!$D$22)</f>
        <v>0</v>
      </c>
      <c r="BI198" s="109">
        <f ca="1">(BI75*ct_comp4*'Time on treatment'!$E$22)</f>
        <v>0</v>
      </c>
      <c r="BJ198" s="109">
        <f ca="1">(BJ75*ct_comp4*'Time on treatment'!$F$22)</f>
        <v>0</v>
      </c>
      <c r="BK198" s="110">
        <f ca="1">(BK75*ct_comp4*'Time on treatment'!$G$22)</f>
        <v>0</v>
      </c>
      <c r="BN198" s="87" t="s">
        <v>171</v>
      </c>
      <c r="BO198" s="111"/>
      <c r="BP198" s="109">
        <f ca="1">(BP75*ci_comp5)+(BP75*ct_comp5*'Time on treatment'!$D$23)</f>
        <v>0</v>
      </c>
      <c r="BQ198" s="109">
        <f ca="1">(BQ75*ct_comp5*'Time on treatment'!$E$23)</f>
        <v>0</v>
      </c>
      <c r="BR198" s="109">
        <f ca="1">(BR75*ct_comp5*'Time on treatment'!$F$23)</f>
        <v>0</v>
      </c>
      <c r="BS198" s="110">
        <f ca="1">(BS75*ct_comp5*'Time on treatment'!$G$23)</f>
        <v>0</v>
      </c>
      <c r="BV198" s="87" t="s">
        <v>171</v>
      </c>
      <c r="BW198" s="111"/>
      <c r="BX198" s="109">
        <f ca="1">(BX75*ci_comp6)+(BX75*ct_comp6*'Time on treatment'!$D$24)</f>
        <v>0</v>
      </c>
      <c r="BY198" s="109">
        <f ca="1">(BY75*ct_comp6*'Time on treatment'!$E$24)</f>
        <v>0</v>
      </c>
      <c r="BZ198" s="109">
        <f ca="1">(BZ75*ct_comp6*'Time on treatment'!$F$24)</f>
        <v>0</v>
      </c>
      <c r="CA198" s="110">
        <f ca="1">(CA75*ct_comp6*'Time on treatment'!$G$24)</f>
        <v>0</v>
      </c>
      <c r="CD198" s="87" t="s">
        <v>171</v>
      </c>
      <c r="CE198" s="111"/>
      <c r="CF198" s="109">
        <f ca="1">(CF75*ci_comp7)+(CF75*ct_comp7*'Time on treatment'!$D$25)</f>
        <v>0</v>
      </c>
      <c r="CG198" s="109">
        <f ca="1">(CG75*ct_comp7*'Time on treatment'!$E$25)</f>
        <v>0</v>
      </c>
      <c r="CH198" s="109">
        <f ca="1">(CH75*ct_comp7*'Time on treatment'!$F$25)</f>
        <v>0</v>
      </c>
      <c r="CI198" s="110">
        <f ca="1">(CI75*ct_comp7*'Time on treatment'!$G$25)</f>
        <v>0</v>
      </c>
      <c r="CL198" s="87" t="s">
        <v>171</v>
      </c>
      <c r="CM198" s="111"/>
      <c r="CN198" s="109">
        <f ca="1">(CN75*ci_comp8)+(CN75*ct_comp8*'Time on treatment'!$D$26)</f>
        <v>0</v>
      </c>
      <c r="CO198" s="109">
        <f ca="1">(CO75*ct_comp8*'Time on treatment'!$E$26)</f>
        <v>0</v>
      </c>
      <c r="CP198" s="109">
        <f ca="1">(CP75*ct_comp8*'Time on treatment'!$F$26)</f>
        <v>0</v>
      </c>
      <c r="CQ198" s="110">
        <f ca="1">(CQ75*ct_comp8*'Time on treatment'!$G$26)</f>
        <v>0</v>
      </c>
      <c r="CT198" s="87" t="s">
        <v>171</v>
      </c>
      <c r="CU198" s="111"/>
      <c r="CV198" s="109">
        <f ca="1">(CV75*ci_comp9)+(CV75*ct_comp9*'Time on treatment'!$D$27)</f>
        <v>0</v>
      </c>
      <c r="CW198" s="109">
        <f ca="1">(CW75*ct_comp9*'Time on treatment'!$E$27)</f>
        <v>0</v>
      </c>
      <c r="CX198" s="109">
        <f ca="1">(CX75*ct_comp9*'Time on treatment'!$F$27)</f>
        <v>0</v>
      </c>
      <c r="CY198" s="110">
        <f ca="1">(CY75*ct_comp9*'Time on treatment'!$G$27)</f>
        <v>0</v>
      </c>
      <c r="DB198" s="87" t="s">
        <v>171</v>
      </c>
      <c r="DC198" s="111"/>
      <c r="DD198" s="109">
        <f ca="1">(DD75*ci_comp10)+(DD75*ct_comp10*'Time on treatment'!$D$28)</f>
        <v>0</v>
      </c>
      <c r="DE198" s="109">
        <f ca="1">(DE75*ct_comp10*'Time on treatment'!$E$28)</f>
        <v>0</v>
      </c>
      <c r="DF198" s="109">
        <f ca="1">(DF75*ct_comp10*'Time on treatment'!$F$28)</f>
        <v>0</v>
      </c>
      <c r="DG198" s="110">
        <f ca="1">(DG75*ct_comp10*'Time on treatment'!$G$28)</f>
        <v>0</v>
      </c>
    </row>
    <row r="199" spans="2:111">
      <c r="B199" s="87" t="s">
        <v>176</v>
      </c>
      <c r="C199" s="111"/>
      <c r="D199" s="109"/>
      <c r="E199" s="109"/>
      <c r="F199" s="109"/>
      <c r="G199" s="110"/>
      <c r="J199" s="87" t="s">
        <v>176</v>
      </c>
      <c r="K199" s="111"/>
      <c r="L199" s="109"/>
      <c r="M199" s="109"/>
      <c r="N199" s="109"/>
      <c r="O199" s="110"/>
      <c r="R199" s="87" t="s">
        <v>176</v>
      </c>
      <c r="S199" s="111"/>
      <c r="T199" s="109"/>
      <c r="U199" s="109"/>
      <c r="V199" s="109"/>
      <c r="W199" s="110"/>
      <c r="Z199" s="87" t="s">
        <v>176</v>
      </c>
      <c r="AA199" s="111"/>
      <c r="AB199" s="109"/>
      <c r="AC199" s="109"/>
      <c r="AD199" s="109"/>
      <c r="AE199" s="110"/>
      <c r="AH199" s="87" t="s">
        <v>176</v>
      </c>
      <c r="AI199" s="111"/>
      <c r="AJ199" s="109"/>
      <c r="AK199" s="109"/>
      <c r="AL199" s="109"/>
      <c r="AM199" s="110"/>
      <c r="AP199" s="87" t="s">
        <v>176</v>
      </c>
      <c r="AQ199" s="111"/>
      <c r="AR199" s="109"/>
      <c r="AS199" s="109"/>
      <c r="AT199" s="109"/>
      <c r="AU199" s="110"/>
      <c r="AX199" s="87" t="s">
        <v>176</v>
      </c>
      <c r="AY199" s="111"/>
      <c r="AZ199" s="109"/>
      <c r="BA199" s="109"/>
      <c r="BB199" s="109"/>
      <c r="BC199" s="110"/>
      <c r="BF199" s="87" t="s">
        <v>176</v>
      </c>
      <c r="BG199" s="111"/>
      <c r="BH199" s="109"/>
      <c r="BI199" s="109"/>
      <c r="BJ199" s="109"/>
      <c r="BK199" s="110"/>
      <c r="BN199" s="87" t="s">
        <v>176</v>
      </c>
      <c r="BO199" s="111"/>
      <c r="BP199" s="109"/>
      <c r="BQ199" s="109"/>
      <c r="BR199" s="109"/>
      <c r="BS199" s="110"/>
      <c r="BV199" s="87" t="s">
        <v>176</v>
      </c>
      <c r="BW199" s="111"/>
      <c r="BX199" s="109"/>
      <c r="BY199" s="109"/>
      <c r="BZ199" s="109"/>
      <c r="CA199" s="110"/>
      <c r="CD199" s="87" t="s">
        <v>176</v>
      </c>
      <c r="CE199" s="111"/>
      <c r="CF199" s="109"/>
      <c r="CG199" s="109"/>
      <c r="CH199" s="109"/>
      <c r="CI199" s="110"/>
      <c r="CL199" s="87" t="s">
        <v>176</v>
      </c>
      <c r="CM199" s="111"/>
      <c r="CN199" s="109"/>
      <c r="CO199" s="109"/>
      <c r="CP199" s="109"/>
      <c r="CQ199" s="110"/>
      <c r="CT199" s="87" t="s">
        <v>176</v>
      </c>
      <c r="CU199" s="111"/>
      <c r="CV199" s="109"/>
      <c r="CW199" s="109"/>
      <c r="CX199" s="109"/>
      <c r="CY199" s="110"/>
      <c r="DB199" s="87" t="s">
        <v>176</v>
      </c>
      <c r="DC199" s="111"/>
      <c r="DD199" s="109"/>
      <c r="DE199" s="109"/>
      <c r="DF199" s="109"/>
      <c r="DG199" s="110"/>
    </row>
    <row r="200" spans="2:111">
      <c r="B200" s="87" t="s">
        <v>172</v>
      </c>
      <c r="C200" s="111"/>
      <c r="D200" s="111"/>
      <c r="E200" s="109">
        <f ca="1">(E77*ci_int1)+(E77*ct_int1*'Time on treatment'!$D$12)</f>
        <v>0</v>
      </c>
      <c r="F200" s="109">
        <f ca="1">(F77*ct_int1*'Time on treatment'!$E$12)</f>
        <v>0</v>
      </c>
      <c r="G200" s="110">
        <f ca="1">(G77*ct_int1*'Time on treatment'!$F$12)</f>
        <v>0</v>
      </c>
      <c r="J200" s="87" t="s">
        <v>172</v>
      </c>
      <c r="K200" s="111"/>
      <c r="L200" s="111"/>
      <c r="M200" s="109">
        <f ca="1">(M77*ci_int2)+(M77*ct_int2*'Time on treatment'!$D$13)</f>
        <v>0</v>
      </c>
      <c r="N200" s="109">
        <f ca="1">(N77*ct_int2*'Time on treatment'!$E$13)</f>
        <v>0</v>
      </c>
      <c r="O200" s="110">
        <f ca="1">(O77*ct_int2*'Time on treatment'!$F$13)</f>
        <v>0</v>
      </c>
      <c r="R200" s="87" t="s">
        <v>172</v>
      </c>
      <c r="S200" s="111"/>
      <c r="T200" s="111"/>
      <c r="U200" s="109">
        <f ca="1">(U77*ci_int3)+(U77*ct_int3*'Time on treatment'!$D$14)</f>
        <v>0</v>
      </c>
      <c r="V200" s="109">
        <f ca="1">(V77*ct_int3*'Time on treatment'!$E$14)</f>
        <v>0</v>
      </c>
      <c r="W200" s="110">
        <f ca="1">(W77*ct_int3*'Time on treatment'!$F$14)</f>
        <v>0</v>
      </c>
      <c r="Z200" s="87" t="s">
        <v>172</v>
      </c>
      <c r="AA200" s="111"/>
      <c r="AB200" s="111"/>
      <c r="AC200" s="109">
        <f ca="1">(AC77*ci_int4)+(AC77*ct_int4*'Time on treatment'!$D$15)</f>
        <v>0</v>
      </c>
      <c r="AD200" s="109">
        <f ca="1">(AD77*ct_int4*'Time on treatment'!$E$15)</f>
        <v>0</v>
      </c>
      <c r="AE200" s="110">
        <f ca="1">(AE77*ct_int4*'Time on treatment'!$F$15)</f>
        <v>0</v>
      </c>
      <c r="AH200" s="87" t="s">
        <v>172</v>
      </c>
      <c r="AI200" s="111"/>
      <c r="AJ200" s="111"/>
      <c r="AK200" s="109">
        <f ca="1">(AK77*ci_comp1)+(AK77*ct_comp1*'Time on treatment'!$D$19)</f>
        <v>0</v>
      </c>
      <c r="AL200" s="109">
        <f ca="1">(AL77*ct_comp1*'Time on treatment'!$E$19)</f>
        <v>0</v>
      </c>
      <c r="AM200" s="110">
        <f ca="1">(AM77*ct_comp1*'Time on treatment'!$F$19)</f>
        <v>0</v>
      </c>
      <c r="AP200" s="87" t="s">
        <v>172</v>
      </c>
      <c r="AQ200" s="111"/>
      <c r="AR200" s="111"/>
      <c r="AS200" s="109">
        <f ca="1">(AS77*ci_comp2)+(AS77*ct_comp2*'Time on treatment'!$D$20)</f>
        <v>0</v>
      </c>
      <c r="AT200" s="109">
        <f ca="1">(AT77*ct_comp2*'Time on treatment'!$E$20)</f>
        <v>0</v>
      </c>
      <c r="AU200" s="110">
        <f ca="1">(AU77*ct_comp2*'Time on treatment'!$F$20)</f>
        <v>0</v>
      </c>
      <c r="AX200" s="87" t="s">
        <v>172</v>
      </c>
      <c r="AY200" s="111"/>
      <c r="AZ200" s="111"/>
      <c r="BA200" s="109">
        <f ca="1">(BA77*ci_comp3)+(BA77*ct_comp3*'Time on treatment'!$D$21)</f>
        <v>0</v>
      </c>
      <c r="BB200" s="109">
        <f ca="1">(BB77*ct_comp3*'Time on treatment'!$E$21)</f>
        <v>0</v>
      </c>
      <c r="BC200" s="110">
        <f ca="1">(BC77*ct_comp3*'Time on treatment'!$F$21)</f>
        <v>0</v>
      </c>
      <c r="BF200" s="87" t="s">
        <v>172</v>
      </c>
      <c r="BG200" s="111"/>
      <c r="BH200" s="111"/>
      <c r="BI200" s="109">
        <f ca="1">(BI77*ci_comp4)+(BI77*ct_comp4*'Time on treatment'!$D$22)</f>
        <v>0</v>
      </c>
      <c r="BJ200" s="109">
        <f ca="1">(BJ77*ct_comp4*'Time on treatment'!$E$22)</f>
        <v>0</v>
      </c>
      <c r="BK200" s="110">
        <f ca="1">(BK77*ct_comp4*'Time on treatment'!$F$22)</f>
        <v>0</v>
      </c>
      <c r="BN200" s="87" t="s">
        <v>172</v>
      </c>
      <c r="BO200" s="111"/>
      <c r="BP200" s="111"/>
      <c r="BQ200" s="109">
        <f ca="1">(BQ77*ci_comp5)+(BQ77*ct_comp5*'Time on treatment'!$D$23)</f>
        <v>0</v>
      </c>
      <c r="BR200" s="109">
        <f ca="1">(BR77*ct_comp5*'Time on treatment'!$E$23)</f>
        <v>0</v>
      </c>
      <c r="BS200" s="110">
        <f ca="1">(BS77*ct_comp5*'Time on treatment'!$F$23)</f>
        <v>0</v>
      </c>
      <c r="BV200" s="87" t="s">
        <v>172</v>
      </c>
      <c r="BW200" s="111"/>
      <c r="BX200" s="111"/>
      <c r="BY200" s="109">
        <f ca="1">(BY77*ci_comp6)+(BY77*ct_comp6*'Time on treatment'!$D$24)</f>
        <v>0</v>
      </c>
      <c r="BZ200" s="109">
        <f ca="1">(BZ77*ct_comp6*'Time on treatment'!$E$24)</f>
        <v>0</v>
      </c>
      <c r="CA200" s="110">
        <f ca="1">(CA77*ct_comp6*'Time on treatment'!$F$24)</f>
        <v>0</v>
      </c>
      <c r="CD200" s="87" t="s">
        <v>172</v>
      </c>
      <c r="CE200" s="111"/>
      <c r="CF200" s="111"/>
      <c r="CG200" s="109">
        <f ca="1">(CG77*ci_comp7)+(CG77*ct_comp7*'Time on treatment'!$D$25)</f>
        <v>0</v>
      </c>
      <c r="CH200" s="109">
        <f ca="1">(CH77*ct_comp7*'Time on treatment'!$E$25)</f>
        <v>0</v>
      </c>
      <c r="CI200" s="110">
        <f ca="1">(CI77*ct_comp7*'Time on treatment'!$F$25)</f>
        <v>0</v>
      </c>
      <c r="CL200" s="87" t="s">
        <v>172</v>
      </c>
      <c r="CM200" s="111"/>
      <c r="CN200" s="111"/>
      <c r="CO200" s="109">
        <f ca="1">(CO77*ci_comp8)+(CO77*ct_comp8*'Time on treatment'!$D$26)</f>
        <v>0</v>
      </c>
      <c r="CP200" s="109">
        <f ca="1">(CP77*ct_comp8*'Time on treatment'!$E$26)</f>
        <v>0</v>
      </c>
      <c r="CQ200" s="110">
        <f ca="1">(CQ77*ct_comp8*'Time on treatment'!$F$26)</f>
        <v>0</v>
      </c>
      <c r="CT200" s="87" t="s">
        <v>172</v>
      </c>
      <c r="CU200" s="111"/>
      <c r="CV200" s="111"/>
      <c r="CW200" s="109">
        <f ca="1">(CW77*ci_comp9)+(CW77*ct_comp9*'Time on treatment'!$D$27)</f>
        <v>0</v>
      </c>
      <c r="CX200" s="109">
        <f ca="1">(CX77*ct_comp9*'Time on treatment'!$E$27)</f>
        <v>0</v>
      </c>
      <c r="CY200" s="110">
        <f ca="1">(CY77*ct_comp9*'Time on treatment'!$F$27)</f>
        <v>0</v>
      </c>
      <c r="DB200" s="87" t="s">
        <v>172</v>
      </c>
      <c r="DC200" s="111"/>
      <c r="DD200" s="111"/>
      <c r="DE200" s="109">
        <f ca="1">(DE77*ci_comp10)+(DE77*ct_comp10*'Time on treatment'!$D$28)</f>
        <v>0</v>
      </c>
      <c r="DF200" s="109">
        <f ca="1">(DF77*ct_comp10*'Time on treatment'!$E$28)</f>
        <v>0</v>
      </c>
      <c r="DG200" s="110">
        <f ca="1">(DG77*ct_comp10*'Time on treatment'!$F$28)</f>
        <v>0</v>
      </c>
    </row>
    <row r="201" spans="2:111">
      <c r="B201" s="87" t="s">
        <v>177</v>
      </c>
      <c r="C201" s="111"/>
      <c r="D201" s="111"/>
      <c r="E201" s="109"/>
      <c r="F201" s="109"/>
      <c r="G201" s="110"/>
      <c r="J201" s="87" t="s">
        <v>177</v>
      </c>
      <c r="K201" s="111"/>
      <c r="L201" s="111"/>
      <c r="M201" s="109"/>
      <c r="N201" s="109"/>
      <c r="O201" s="110"/>
      <c r="R201" s="87" t="s">
        <v>177</v>
      </c>
      <c r="S201" s="111"/>
      <c r="T201" s="111"/>
      <c r="U201" s="109"/>
      <c r="V201" s="109"/>
      <c r="W201" s="110"/>
      <c r="Z201" s="87" t="s">
        <v>177</v>
      </c>
      <c r="AA201" s="111"/>
      <c r="AB201" s="111"/>
      <c r="AC201" s="109"/>
      <c r="AD201" s="109"/>
      <c r="AE201" s="110"/>
      <c r="AH201" s="87" t="s">
        <v>177</v>
      </c>
      <c r="AI201" s="111"/>
      <c r="AJ201" s="111"/>
      <c r="AK201" s="109"/>
      <c r="AL201" s="109"/>
      <c r="AM201" s="110"/>
      <c r="AP201" s="87" t="s">
        <v>177</v>
      </c>
      <c r="AQ201" s="111"/>
      <c r="AR201" s="111"/>
      <c r="AS201" s="109"/>
      <c r="AT201" s="109"/>
      <c r="AU201" s="110"/>
      <c r="AX201" s="87" t="s">
        <v>177</v>
      </c>
      <c r="AY201" s="111"/>
      <c r="AZ201" s="111"/>
      <c r="BA201" s="109"/>
      <c r="BB201" s="109"/>
      <c r="BC201" s="110"/>
      <c r="BF201" s="87" t="s">
        <v>177</v>
      </c>
      <c r="BG201" s="111"/>
      <c r="BH201" s="111"/>
      <c r="BI201" s="109"/>
      <c r="BJ201" s="109"/>
      <c r="BK201" s="110"/>
      <c r="BN201" s="87" t="s">
        <v>177</v>
      </c>
      <c r="BO201" s="111"/>
      <c r="BP201" s="111"/>
      <c r="BQ201" s="109"/>
      <c r="BR201" s="109"/>
      <c r="BS201" s="110"/>
      <c r="BV201" s="87" t="s">
        <v>177</v>
      </c>
      <c r="BW201" s="111"/>
      <c r="BX201" s="111"/>
      <c r="BY201" s="109"/>
      <c r="BZ201" s="109"/>
      <c r="CA201" s="110"/>
      <c r="CD201" s="87" t="s">
        <v>177</v>
      </c>
      <c r="CE201" s="111"/>
      <c r="CF201" s="111"/>
      <c r="CG201" s="109"/>
      <c r="CH201" s="109"/>
      <c r="CI201" s="110"/>
      <c r="CL201" s="87" t="s">
        <v>177</v>
      </c>
      <c r="CM201" s="111"/>
      <c r="CN201" s="111"/>
      <c r="CO201" s="109"/>
      <c r="CP201" s="109"/>
      <c r="CQ201" s="110"/>
      <c r="CT201" s="87" t="s">
        <v>177</v>
      </c>
      <c r="CU201" s="111"/>
      <c r="CV201" s="111"/>
      <c r="CW201" s="109"/>
      <c r="CX201" s="109"/>
      <c r="CY201" s="110"/>
      <c r="DB201" s="87" t="s">
        <v>177</v>
      </c>
      <c r="DC201" s="111"/>
      <c r="DD201" s="111"/>
      <c r="DE201" s="109"/>
      <c r="DF201" s="109"/>
      <c r="DG201" s="110"/>
    </row>
    <row r="202" spans="2:111">
      <c r="B202" s="87" t="s">
        <v>173</v>
      </c>
      <c r="C202" s="111"/>
      <c r="D202" s="111"/>
      <c r="E202" s="111"/>
      <c r="F202" s="109">
        <f ca="1">(F79*ci_int1)+(F79*ct_int1*'Time on treatment'!$D$12)</f>
        <v>0</v>
      </c>
      <c r="G202" s="110">
        <f ca="1">(G79*ct_int1*'Time on treatment'!$E$12)</f>
        <v>0</v>
      </c>
      <c r="J202" s="87" t="s">
        <v>173</v>
      </c>
      <c r="K202" s="111"/>
      <c r="L202" s="111"/>
      <c r="M202" s="111"/>
      <c r="N202" s="109">
        <f ca="1">(N79*ci_int2)+(N79*ct_int2*'Time on treatment'!$D$13)</f>
        <v>0</v>
      </c>
      <c r="O202" s="110">
        <f ca="1">(O79*ct_int2*'Time on treatment'!$E$13)</f>
        <v>0</v>
      </c>
      <c r="R202" s="87" t="s">
        <v>173</v>
      </c>
      <c r="S202" s="111"/>
      <c r="T202" s="111"/>
      <c r="U202" s="111"/>
      <c r="V202" s="109">
        <f ca="1">(V79*ci_int3)+(V79*ct_int3*'Time on treatment'!$D$14)</f>
        <v>0</v>
      </c>
      <c r="W202" s="110">
        <f ca="1">(W79*ct_int3*'Time on treatment'!$E$14)</f>
        <v>0</v>
      </c>
      <c r="Z202" s="87" t="s">
        <v>173</v>
      </c>
      <c r="AA202" s="111"/>
      <c r="AB202" s="111"/>
      <c r="AC202" s="111"/>
      <c r="AD202" s="109">
        <f ca="1">(AD79*ci_int4)+(AD79*ct_int4*'Time on treatment'!$D$15)</f>
        <v>0</v>
      </c>
      <c r="AE202" s="110">
        <f ca="1">(AE79*ct_int4*'Time on treatment'!$E$15)</f>
        <v>0</v>
      </c>
      <c r="AH202" s="87" t="s">
        <v>173</v>
      </c>
      <c r="AI202" s="111"/>
      <c r="AJ202" s="111"/>
      <c r="AK202" s="111"/>
      <c r="AL202" s="109">
        <f ca="1">(AL79*ci_comp1)+(AL79*ct_comp1*'Time on treatment'!$D$19)</f>
        <v>0</v>
      </c>
      <c r="AM202" s="110">
        <f ca="1">(AM79*ct_comp1*'Time on treatment'!$E$19)</f>
        <v>0</v>
      </c>
      <c r="AP202" s="87" t="s">
        <v>173</v>
      </c>
      <c r="AQ202" s="111"/>
      <c r="AR202" s="111"/>
      <c r="AS202" s="111"/>
      <c r="AT202" s="109">
        <f ca="1">(AT79*ci_comp2)+(AT79*ct_comp2*'Time on treatment'!$D$20)</f>
        <v>0</v>
      </c>
      <c r="AU202" s="110">
        <f ca="1">(AU79*ct_comp2*'Time on treatment'!$E$20)</f>
        <v>0</v>
      </c>
      <c r="AX202" s="87" t="s">
        <v>173</v>
      </c>
      <c r="AY202" s="111"/>
      <c r="AZ202" s="111"/>
      <c r="BA202" s="111"/>
      <c r="BB202" s="109">
        <f ca="1">(BB79*ci_comp3)+(BB79*ct_comp3*'Time on treatment'!$D$21)</f>
        <v>0</v>
      </c>
      <c r="BC202" s="110">
        <f ca="1">(BC79*ct_comp3*'Time on treatment'!$E$21)</f>
        <v>0</v>
      </c>
      <c r="BF202" s="87" t="s">
        <v>173</v>
      </c>
      <c r="BG202" s="111"/>
      <c r="BH202" s="111"/>
      <c r="BI202" s="111"/>
      <c r="BJ202" s="109">
        <f ca="1">(BJ79*ci_comp4)+(BJ79*ct_comp4*'Time on treatment'!$D$22)</f>
        <v>0</v>
      </c>
      <c r="BK202" s="110">
        <f ca="1">(BK79*ct_comp4*'Time on treatment'!$E$22)</f>
        <v>0</v>
      </c>
      <c r="BN202" s="87" t="s">
        <v>173</v>
      </c>
      <c r="BO202" s="111"/>
      <c r="BP202" s="111"/>
      <c r="BQ202" s="111"/>
      <c r="BR202" s="109">
        <f ca="1">(BR79*ci_comp5)+(BR79*ct_comp5*'Time on treatment'!$D$23)</f>
        <v>0</v>
      </c>
      <c r="BS202" s="110">
        <f ca="1">(BS79*ct_comp5*'Time on treatment'!$E$23)</f>
        <v>0</v>
      </c>
      <c r="BV202" s="87" t="s">
        <v>173</v>
      </c>
      <c r="BW202" s="111"/>
      <c r="BX202" s="111"/>
      <c r="BY202" s="111"/>
      <c r="BZ202" s="109">
        <f ca="1">(BZ79*ci_comp6)+(BZ79*ct_comp6*'Time on treatment'!$D$24)</f>
        <v>0</v>
      </c>
      <c r="CA202" s="110">
        <f ca="1">(CA79*ct_comp6*'Time on treatment'!$E$24)</f>
        <v>0</v>
      </c>
      <c r="CD202" s="87" t="s">
        <v>173</v>
      </c>
      <c r="CE202" s="111"/>
      <c r="CF202" s="111"/>
      <c r="CG202" s="111"/>
      <c r="CH202" s="109">
        <f ca="1">(CH79*ci_comp7)+(CH79*ct_comp7*'Time on treatment'!$D$25)</f>
        <v>0</v>
      </c>
      <c r="CI202" s="110">
        <f ca="1">(CI79*ct_comp7*'Time on treatment'!$E$25)</f>
        <v>0</v>
      </c>
      <c r="CL202" s="87" t="s">
        <v>173</v>
      </c>
      <c r="CM202" s="111"/>
      <c r="CN202" s="111"/>
      <c r="CO202" s="111"/>
      <c r="CP202" s="109">
        <f ca="1">(CP79*ci_comp8)+(CP79*ct_comp8*'Time on treatment'!$D$26)</f>
        <v>0</v>
      </c>
      <c r="CQ202" s="110">
        <f ca="1">(CQ79*ct_comp8*'Time on treatment'!$E$26)</f>
        <v>0</v>
      </c>
      <c r="CT202" s="87" t="s">
        <v>173</v>
      </c>
      <c r="CU202" s="111"/>
      <c r="CV202" s="111"/>
      <c r="CW202" s="111"/>
      <c r="CX202" s="109">
        <f ca="1">(CX79*ci_comp9)+(CX79*ct_comp9*'Time on treatment'!$D$27)</f>
        <v>0</v>
      </c>
      <c r="CY202" s="110">
        <f ca="1">(CY79*ct_comp9*'Time on treatment'!$E$27)</f>
        <v>0</v>
      </c>
      <c r="DB202" s="87" t="s">
        <v>173</v>
      </c>
      <c r="DC202" s="111"/>
      <c r="DD202" s="111"/>
      <c r="DE202" s="111"/>
      <c r="DF202" s="109">
        <f ca="1">(DF79*ci_comp10)+(DF79*ct_comp10*'Time on treatment'!$D$28)</f>
        <v>0</v>
      </c>
      <c r="DG202" s="110">
        <f ca="1">(DG79*ct_comp10*'Time on treatment'!$E$28)</f>
        <v>0</v>
      </c>
    </row>
    <row r="203" spans="2:111">
      <c r="B203" s="87" t="s">
        <v>178</v>
      </c>
      <c r="C203" s="111"/>
      <c r="D203" s="111"/>
      <c r="E203" s="111"/>
      <c r="F203" s="109"/>
      <c r="G203" s="110"/>
      <c r="J203" s="87" t="s">
        <v>178</v>
      </c>
      <c r="K203" s="111"/>
      <c r="L203" s="111"/>
      <c r="M203" s="111"/>
      <c r="N203" s="109"/>
      <c r="O203" s="110"/>
      <c r="R203" s="87" t="s">
        <v>178</v>
      </c>
      <c r="S203" s="111"/>
      <c r="T203" s="111"/>
      <c r="U203" s="111"/>
      <c r="V203" s="109"/>
      <c r="W203" s="110"/>
      <c r="Z203" s="87" t="s">
        <v>178</v>
      </c>
      <c r="AA203" s="111"/>
      <c r="AB203" s="111"/>
      <c r="AC203" s="111"/>
      <c r="AD203" s="109"/>
      <c r="AE203" s="110"/>
      <c r="AH203" s="87" t="s">
        <v>178</v>
      </c>
      <c r="AI203" s="111"/>
      <c r="AJ203" s="111"/>
      <c r="AK203" s="111"/>
      <c r="AL203" s="109"/>
      <c r="AM203" s="110"/>
      <c r="AP203" s="87" t="s">
        <v>178</v>
      </c>
      <c r="AQ203" s="111"/>
      <c r="AR203" s="111"/>
      <c r="AS203" s="111"/>
      <c r="AT203" s="109"/>
      <c r="AU203" s="110"/>
      <c r="AX203" s="87" t="s">
        <v>178</v>
      </c>
      <c r="AY203" s="111"/>
      <c r="AZ203" s="111"/>
      <c r="BA203" s="111"/>
      <c r="BB203" s="109"/>
      <c r="BC203" s="110"/>
      <c r="BF203" s="87" t="s">
        <v>178</v>
      </c>
      <c r="BG203" s="111"/>
      <c r="BH203" s="111"/>
      <c r="BI203" s="111"/>
      <c r="BJ203" s="109"/>
      <c r="BK203" s="110"/>
      <c r="BN203" s="87" t="s">
        <v>178</v>
      </c>
      <c r="BO203" s="111"/>
      <c r="BP203" s="111"/>
      <c r="BQ203" s="111"/>
      <c r="BR203" s="109"/>
      <c r="BS203" s="110"/>
      <c r="BV203" s="87" t="s">
        <v>178</v>
      </c>
      <c r="BW203" s="111"/>
      <c r="BX203" s="111"/>
      <c r="BY203" s="111"/>
      <c r="BZ203" s="109"/>
      <c r="CA203" s="110"/>
      <c r="CD203" s="87" t="s">
        <v>178</v>
      </c>
      <c r="CE203" s="111"/>
      <c r="CF203" s="111"/>
      <c r="CG203" s="111"/>
      <c r="CH203" s="109"/>
      <c r="CI203" s="110"/>
      <c r="CL203" s="87" t="s">
        <v>178</v>
      </c>
      <c r="CM203" s="111"/>
      <c r="CN203" s="111"/>
      <c r="CO203" s="111"/>
      <c r="CP203" s="109"/>
      <c r="CQ203" s="110"/>
      <c r="CT203" s="87" t="s">
        <v>178</v>
      </c>
      <c r="CU203" s="111"/>
      <c r="CV203" s="111"/>
      <c r="CW203" s="111"/>
      <c r="CX203" s="109"/>
      <c r="CY203" s="110"/>
      <c r="DB203" s="87" t="s">
        <v>178</v>
      </c>
      <c r="DC203" s="111"/>
      <c r="DD203" s="111"/>
      <c r="DE203" s="111"/>
      <c r="DF203" s="109"/>
      <c r="DG203" s="110"/>
    </row>
    <row r="204" spans="2:111">
      <c r="B204" s="87" t="s">
        <v>174</v>
      </c>
      <c r="C204" s="111"/>
      <c r="D204" s="111"/>
      <c r="E204" s="111"/>
      <c r="F204" s="111"/>
      <c r="G204" s="110">
        <f ca="1">(G81*ci_int1)+(G81*ct_int1*'Time on treatment'!$D$12)</f>
        <v>0</v>
      </c>
      <c r="J204" s="87" t="s">
        <v>174</v>
      </c>
      <c r="K204" s="111"/>
      <c r="L204" s="111"/>
      <c r="M204" s="111"/>
      <c r="N204" s="111"/>
      <c r="O204" s="110">
        <f ca="1">(O81*ci_int2)+(O81*ct_int2*'Time on treatment'!$D$13)</f>
        <v>0</v>
      </c>
      <c r="R204" s="87" t="s">
        <v>174</v>
      </c>
      <c r="S204" s="111"/>
      <c r="T204" s="111"/>
      <c r="U204" s="111"/>
      <c r="V204" s="111"/>
      <c r="W204" s="110">
        <f ca="1">(W81*ci_int3)+(W81*ct_int3*'Time on treatment'!$D$14)</f>
        <v>0</v>
      </c>
      <c r="Z204" s="87" t="s">
        <v>174</v>
      </c>
      <c r="AA204" s="111"/>
      <c r="AB204" s="111"/>
      <c r="AC204" s="111"/>
      <c r="AD204" s="111"/>
      <c r="AE204" s="110">
        <f ca="1">(AE81*ci_int4)+(AE81*ct_int4*'Time on treatment'!$D$15)</f>
        <v>0</v>
      </c>
      <c r="AH204" s="87" t="s">
        <v>174</v>
      </c>
      <c r="AI204" s="111"/>
      <c r="AJ204" s="111"/>
      <c r="AK204" s="111"/>
      <c r="AL204" s="111"/>
      <c r="AM204" s="110">
        <f ca="1">(AM81*ci_comp1)+(AM81*ct_comp1*'Time on treatment'!$D$19)</f>
        <v>0</v>
      </c>
      <c r="AP204" s="87" t="s">
        <v>174</v>
      </c>
      <c r="AQ204" s="111"/>
      <c r="AR204" s="111"/>
      <c r="AS204" s="111"/>
      <c r="AT204" s="111"/>
      <c r="AU204" s="110">
        <f ca="1">(AU81*ci_comp2)+(AU81*ct_comp2*'Time on treatment'!$D$20)</f>
        <v>0</v>
      </c>
      <c r="AX204" s="87" t="s">
        <v>174</v>
      </c>
      <c r="AY204" s="111"/>
      <c r="AZ204" s="111"/>
      <c r="BA204" s="111"/>
      <c r="BB204" s="111"/>
      <c r="BC204" s="110">
        <f ca="1">(BC81*ci_comp3)+(BC81*ct_comp3*'Time on treatment'!$D$21)</f>
        <v>0</v>
      </c>
      <c r="BF204" s="87" t="s">
        <v>174</v>
      </c>
      <c r="BG204" s="111"/>
      <c r="BH204" s="111"/>
      <c r="BI204" s="111"/>
      <c r="BJ204" s="111"/>
      <c r="BK204" s="110">
        <f ca="1">(BK81*ci_comp4)+(BK81*ct_comp4*'Time on treatment'!$D$22)</f>
        <v>0</v>
      </c>
      <c r="BN204" s="87" t="s">
        <v>174</v>
      </c>
      <c r="BO204" s="111"/>
      <c r="BP204" s="111"/>
      <c r="BQ204" s="111"/>
      <c r="BR204" s="111"/>
      <c r="BS204" s="110">
        <f ca="1">(BS81*ci_comp5)+(BS81*ct_comp5*'Time on treatment'!$D$23)</f>
        <v>0</v>
      </c>
      <c r="BV204" s="87" t="s">
        <v>174</v>
      </c>
      <c r="BW204" s="111"/>
      <c r="BX204" s="111"/>
      <c r="BY204" s="111"/>
      <c r="BZ204" s="111"/>
      <c r="CA204" s="110">
        <f ca="1">(CA81*ci_comp6)+(CA81*ct_comp6*'Time on treatment'!$D$24)</f>
        <v>0</v>
      </c>
      <c r="CD204" s="87" t="s">
        <v>174</v>
      </c>
      <c r="CE204" s="111"/>
      <c r="CF204" s="111"/>
      <c r="CG204" s="111"/>
      <c r="CH204" s="111"/>
      <c r="CI204" s="110">
        <f ca="1">(CI81*ci_comp7)+(CI81*ct_comp7*'Time on treatment'!$D$25)</f>
        <v>0</v>
      </c>
      <c r="CL204" s="87" t="s">
        <v>174</v>
      </c>
      <c r="CM204" s="111"/>
      <c r="CN204" s="111"/>
      <c r="CO204" s="111"/>
      <c r="CP204" s="111"/>
      <c r="CQ204" s="110">
        <f ca="1">(CQ81*ci_comp8)+(CQ81*ct_comp8*'Time on treatment'!$D$26)</f>
        <v>0</v>
      </c>
      <c r="CT204" s="87" t="s">
        <v>174</v>
      </c>
      <c r="CU204" s="111"/>
      <c r="CV204" s="111"/>
      <c r="CW204" s="111"/>
      <c r="CX204" s="111"/>
      <c r="CY204" s="110">
        <f ca="1">(CY81*ci_comp9)+(CY81*ct_comp9*'Time on treatment'!$D$27)</f>
        <v>0</v>
      </c>
      <c r="DB204" s="87" t="s">
        <v>174</v>
      </c>
      <c r="DC204" s="111"/>
      <c r="DD204" s="111"/>
      <c r="DE204" s="111"/>
      <c r="DF204" s="111"/>
      <c r="DG204" s="110">
        <f ca="1">(DG81*ci_comp10)+(DG81*ct_comp10*'Time on treatment'!$D$28)</f>
        <v>0</v>
      </c>
    </row>
    <row r="205" spans="2:111" ht="15" thickBot="1">
      <c r="B205" s="87" t="s">
        <v>179</v>
      </c>
      <c r="C205" s="111"/>
      <c r="D205" s="111"/>
      <c r="E205" s="111"/>
      <c r="F205" s="111"/>
      <c r="G205" s="112"/>
      <c r="J205" s="87" t="s">
        <v>179</v>
      </c>
      <c r="K205" s="111"/>
      <c r="L205" s="111"/>
      <c r="M205" s="111"/>
      <c r="N205" s="111"/>
      <c r="O205" s="112"/>
      <c r="R205" s="87" t="s">
        <v>179</v>
      </c>
      <c r="S205" s="111"/>
      <c r="T205" s="111"/>
      <c r="U205" s="111"/>
      <c r="V205" s="111"/>
      <c r="W205" s="112"/>
      <c r="Z205" s="87" t="s">
        <v>179</v>
      </c>
      <c r="AA205" s="111"/>
      <c r="AB205" s="111"/>
      <c r="AC205" s="111"/>
      <c r="AD205" s="111"/>
      <c r="AE205" s="112"/>
      <c r="AH205" s="87" t="s">
        <v>179</v>
      </c>
      <c r="AI205" s="111"/>
      <c r="AJ205" s="111"/>
      <c r="AK205" s="111"/>
      <c r="AL205" s="111"/>
      <c r="AM205" s="112"/>
      <c r="AP205" s="87" t="s">
        <v>179</v>
      </c>
      <c r="AQ205" s="111"/>
      <c r="AR205" s="111"/>
      <c r="AS205" s="111"/>
      <c r="AT205" s="111"/>
      <c r="AU205" s="112"/>
      <c r="AX205" s="87" t="s">
        <v>179</v>
      </c>
      <c r="AY205" s="111"/>
      <c r="AZ205" s="111"/>
      <c r="BA205" s="111"/>
      <c r="BB205" s="111"/>
      <c r="BC205" s="112"/>
      <c r="BF205" s="87" t="s">
        <v>179</v>
      </c>
      <c r="BG205" s="111"/>
      <c r="BH205" s="111"/>
      <c r="BI205" s="111"/>
      <c r="BJ205" s="111"/>
      <c r="BK205" s="112"/>
      <c r="BN205" s="87" t="s">
        <v>179</v>
      </c>
      <c r="BO205" s="111"/>
      <c r="BP205" s="111"/>
      <c r="BQ205" s="111"/>
      <c r="BR205" s="111"/>
      <c r="BS205" s="112"/>
      <c r="BV205" s="87" t="s">
        <v>179</v>
      </c>
      <c r="BW205" s="111"/>
      <c r="BX205" s="111"/>
      <c r="BY205" s="111"/>
      <c r="BZ205" s="111"/>
      <c r="CA205" s="112"/>
      <c r="CD205" s="87" t="s">
        <v>179</v>
      </c>
      <c r="CE205" s="111"/>
      <c r="CF205" s="111"/>
      <c r="CG205" s="111"/>
      <c r="CH205" s="111"/>
      <c r="CI205" s="112"/>
      <c r="CL205" s="87" t="s">
        <v>179</v>
      </c>
      <c r="CM205" s="111"/>
      <c r="CN205" s="111"/>
      <c r="CO205" s="111"/>
      <c r="CP205" s="111"/>
      <c r="CQ205" s="112"/>
      <c r="CT205" s="87" t="s">
        <v>179</v>
      </c>
      <c r="CU205" s="111"/>
      <c r="CV205" s="111"/>
      <c r="CW205" s="111"/>
      <c r="CX205" s="111"/>
      <c r="CY205" s="112"/>
      <c r="DB205" s="87" t="s">
        <v>179</v>
      </c>
      <c r="DC205" s="111"/>
      <c r="DD205" s="111"/>
      <c r="DE205" s="111"/>
      <c r="DF205" s="111"/>
      <c r="DG205" s="112"/>
    </row>
    <row r="206" spans="2:111" ht="15" thickBot="1">
      <c r="B206" s="85" t="str">
        <f>B164</f>
        <v>PET-CT</v>
      </c>
      <c r="C206" s="113">
        <f ca="1">SUM(C196:C204)</f>
        <v>0</v>
      </c>
      <c r="D206" s="113">
        <f ca="1">SUM(D196:D204)</f>
        <v>0</v>
      </c>
      <c r="E206" s="113">
        <f ca="1">SUM(E196:E204)</f>
        <v>0</v>
      </c>
      <c r="F206" s="113">
        <f ca="1">SUM(F196:F204)</f>
        <v>0</v>
      </c>
      <c r="G206" s="114">
        <f ca="1">SUM(G196:G204)</f>
        <v>0</v>
      </c>
      <c r="J206" s="85">
        <f>J164</f>
        <v>0</v>
      </c>
      <c r="K206" s="113">
        <f ca="1">SUM(K196:K204)</f>
        <v>0</v>
      </c>
      <c r="L206" s="113">
        <f ca="1">SUM(L196:L204)</f>
        <v>0</v>
      </c>
      <c r="M206" s="113">
        <f ca="1">SUM(M196:M204)</f>
        <v>0</v>
      </c>
      <c r="N206" s="113">
        <f ca="1">SUM(N196:N204)</f>
        <v>0</v>
      </c>
      <c r="O206" s="114">
        <f ca="1">SUM(O196:O204)</f>
        <v>0</v>
      </c>
      <c r="R206" s="85">
        <f>R164</f>
        <v>0</v>
      </c>
      <c r="S206" s="113">
        <f ca="1">SUM(S196:S204)</f>
        <v>0</v>
      </c>
      <c r="T206" s="113">
        <f ca="1">SUM(T196:T204)</f>
        <v>0</v>
      </c>
      <c r="U206" s="113">
        <f ca="1">SUM(U196:U204)</f>
        <v>0</v>
      </c>
      <c r="V206" s="113">
        <f ca="1">SUM(V196:V204)</f>
        <v>0</v>
      </c>
      <c r="W206" s="114">
        <f ca="1">SUM(W196:W204)</f>
        <v>0</v>
      </c>
      <c r="Z206" s="85">
        <f>Z164</f>
        <v>0</v>
      </c>
      <c r="AA206" s="113">
        <f ca="1">SUM(AA196:AA204)</f>
        <v>0</v>
      </c>
      <c r="AB206" s="113">
        <f ca="1">SUM(AB196:AB204)</f>
        <v>0</v>
      </c>
      <c r="AC206" s="113">
        <f ca="1">SUM(AC196:AC204)</f>
        <v>0</v>
      </c>
      <c r="AD206" s="113">
        <f ca="1">SUM(AD196:AD204)</f>
        <v>0</v>
      </c>
      <c r="AE206" s="114">
        <f ca="1">SUM(AE196:AE204)</f>
        <v>0</v>
      </c>
      <c r="AH206" s="85" t="str">
        <f>AH164</f>
        <v>CT scan + scintigraphy</v>
      </c>
      <c r="AI206" s="113">
        <f ca="1">SUM(AI196:AI204)</f>
        <v>0</v>
      </c>
      <c r="AJ206" s="113">
        <f ca="1">SUM(AJ196:AJ204)</f>
        <v>0</v>
      </c>
      <c r="AK206" s="113">
        <f ca="1">SUM(AK196:AK204)</f>
        <v>0</v>
      </c>
      <c r="AL206" s="113">
        <f ca="1">SUM(AL196:AL204)</f>
        <v>0</v>
      </c>
      <c r="AM206" s="114">
        <f ca="1">SUM(AM196:AM204)</f>
        <v>0</v>
      </c>
      <c r="AP206" s="85">
        <f>AP164</f>
        <v>0</v>
      </c>
      <c r="AQ206" s="113">
        <f ca="1">SUM(AQ196:AQ204)</f>
        <v>0</v>
      </c>
      <c r="AR206" s="113">
        <f ca="1">SUM(AR196:AR204)</f>
        <v>0</v>
      </c>
      <c r="AS206" s="113">
        <f ca="1">SUM(AS196:AS204)</f>
        <v>0</v>
      </c>
      <c r="AT206" s="113">
        <f ca="1">SUM(AT196:AT204)</f>
        <v>0</v>
      </c>
      <c r="AU206" s="114">
        <f ca="1">SUM(AU196:AU204)</f>
        <v>0</v>
      </c>
      <c r="AX206" s="85">
        <f>AX164</f>
        <v>0</v>
      </c>
      <c r="AY206" s="113">
        <f ca="1">SUM(AY196:AY204)</f>
        <v>0</v>
      </c>
      <c r="AZ206" s="113">
        <f ca="1">SUM(AZ196:AZ204)</f>
        <v>0</v>
      </c>
      <c r="BA206" s="113">
        <f ca="1">SUM(BA196:BA204)</f>
        <v>0</v>
      </c>
      <c r="BB206" s="113">
        <f ca="1">SUM(BB196:BB204)</f>
        <v>0</v>
      </c>
      <c r="BC206" s="114">
        <f ca="1">SUM(BC196:BC204)</f>
        <v>0</v>
      </c>
      <c r="BF206" s="85">
        <f>BF164</f>
        <v>0</v>
      </c>
      <c r="BG206" s="113">
        <f ca="1">SUM(BG196:BG204)</f>
        <v>0</v>
      </c>
      <c r="BH206" s="113">
        <f ca="1">SUM(BH196:BH204)</f>
        <v>0</v>
      </c>
      <c r="BI206" s="113">
        <f ca="1">SUM(BI196:BI204)</f>
        <v>0</v>
      </c>
      <c r="BJ206" s="113">
        <f ca="1">SUM(BJ196:BJ204)</f>
        <v>0</v>
      </c>
      <c r="BK206" s="114">
        <f ca="1">SUM(BK196:BK204)</f>
        <v>0</v>
      </c>
      <c r="BN206" s="85">
        <f>BN164</f>
        <v>0</v>
      </c>
      <c r="BO206" s="113">
        <f ca="1">SUM(BO196:BO204)</f>
        <v>0</v>
      </c>
      <c r="BP206" s="113">
        <f ca="1">SUM(BP196:BP204)</f>
        <v>0</v>
      </c>
      <c r="BQ206" s="113">
        <f ca="1">SUM(BQ196:BQ204)</f>
        <v>0</v>
      </c>
      <c r="BR206" s="113">
        <f ca="1">SUM(BR196:BR204)</f>
        <v>0</v>
      </c>
      <c r="BS206" s="114">
        <f ca="1">SUM(BS196:BS204)</f>
        <v>0</v>
      </c>
      <c r="BV206" s="85">
        <f>BV164</f>
        <v>0</v>
      </c>
      <c r="BW206" s="113">
        <f ca="1">SUM(BW196:BW204)</f>
        <v>0</v>
      </c>
      <c r="BX206" s="113">
        <f ca="1">SUM(BX196:BX204)</f>
        <v>0</v>
      </c>
      <c r="BY206" s="113">
        <f ca="1">SUM(BY196:BY204)</f>
        <v>0</v>
      </c>
      <c r="BZ206" s="113">
        <f ca="1">SUM(BZ196:BZ204)</f>
        <v>0</v>
      </c>
      <c r="CA206" s="114">
        <f ca="1">SUM(CA196:CA204)</f>
        <v>0</v>
      </c>
      <c r="CD206" s="85">
        <f>CD164</f>
        <v>0</v>
      </c>
      <c r="CE206" s="113">
        <f ca="1">SUM(CE196:CE204)</f>
        <v>0</v>
      </c>
      <c r="CF206" s="113">
        <f ca="1">SUM(CF196:CF204)</f>
        <v>0</v>
      </c>
      <c r="CG206" s="113">
        <f ca="1">SUM(CG196:CG204)</f>
        <v>0</v>
      </c>
      <c r="CH206" s="113">
        <f ca="1">SUM(CH196:CH204)</f>
        <v>0</v>
      </c>
      <c r="CI206" s="114">
        <f ca="1">SUM(CI196:CI204)</f>
        <v>0</v>
      </c>
      <c r="CL206" s="85">
        <f>CL164</f>
        <v>0</v>
      </c>
      <c r="CM206" s="113">
        <f ca="1">SUM(CM196:CM204)</f>
        <v>0</v>
      </c>
      <c r="CN206" s="113">
        <f ca="1">SUM(CN196:CN204)</f>
        <v>0</v>
      </c>
      <c r="CO206" s="113">
        <f ca="1">SUM(CO196:CO204)</f>
        <v>0</v>
      </c>
      <c r="CP206" s="113">
        <f ca="1">SUM(CP196:CP204)</f>
        <v>0</v>
      </c>
      <c r="CQ206" s="114">
        <f ca="1">SUM(CQ196:CQ204)</f>
        <v>0</v>
      </c>
      <c r="CT206" s="85">
        <f>CT164</f>
        <v>0</v>
      </c>
      <c r="CU206" s="113">
        <f ca="1">SUM(CU196:CU204)</f>
        <v>0</v>
      </c>
      <c r="CV206" s="113">
        <f ca="1">SUM(CV196:CV204)</f>
        <v>0</v>
      </c>
      <c r="CW206" s="113">
        <f ca="1">SUM(CW196:CW204)</f>
        <v>0</v>
      </c>
      <c r="CX206" s="113">
        <f ca="1">SUM(CX196:CX204)</f>
        <v>0</v>
      </c>
      <c r="CY206" s="114">
        <f ca="1">SUM(CY196:CY204)</f>
        <v>0</v>
      </c>
      <c r="DB206" s="85">
        <f>DB164</f>
        <v>0</v>
      </c>
      <c r="DC206" s="113">
        <f ca="1">SUM(DC196:DC204)</f>
        <v>0</v>
      </c>
      <c r="DD206" s="113">
        <f ca="1">SUM(DD196:DD204)</f>
        <v>0</v>
      </c>
      <c r="DE206" s="113">
        <f ca="1">SUM(DE196:DE204)</f>
        <v>0</v>
      </c>
      <c r="DF206" s="113">
        <f ca="1">SUM(DF196:DF204)</f>
        <v>0</v>
      </c>
      <c r="DG206" s="114">
        <f ca="1">SUM(DG196:DG204)</f>
        <v>0</v>
      </c>
    </row>
    <row r="209" spans="2:24" s="3" customFormat="1" ht="13.95" customHeight="1">
      <c r="B209" s="7"/>
      <c r="C209" s="7"/>
      <c r="D209" s="7"/>
      <c r="E209" s="7"/>
      <c r="F209" s="7"/>
      <c r="G209" s="7"/>
      <c r="H209" s="7"/>
      <c r="I209" s="7"/>
      <c r="J209" s="7"/>
      <c r="K209" s="7"/>
      <c r="L209" s="142"/>
      <c r="M209" s="142"/>
      <c r="N209" s="9"/>
      <c r="O209" s="9"/>
      <c r="P209" s="9"/>
      <c r="Q209" s="9"/>
      <c r="R209" s="9"/>
      <c r="S209" s="9"/>
      <c r="T209" s="9"/>
      <c r="U209" s="9"/>
      <c r="V209" s="9"/>
      <c r="W209" s="9"/>
      <c r="X209" s="9"/>
    </row>
    <row r="210" spans="2:24" s="3" customFormat="1">
      <c r="B210" s="65"/>
      <c r="C210" s="65"/>
      <c r="D210" s="65"/>
      <c r="E210" s="65"/>
      <c r="F210" s="65"/>
      <c r="G210" s="65"/>
      <c r="H210" s="65"/>
      <c r="I210" s="65"/>
      <c r="J210" s="65"/>
      <c r="K210" s="65"/>
      <c r="L210" s="65"/>
      <c r="M210" s="65"/>
    </row>
    <row r="211" spans="2:24" s="3" customFormat="1">
      <c r="B211" s="406" t="s">
        <v>77</v>
      </c>
      <c r="C211" s="406"/>
      <c r="D211" s="406"/>
      <c r="E211" s="406"/>
      <c r="F211" s="406"/>
      <c r="G211" s="406"/>
      <c r="H211" s="406"/>
      <c r="I211" s="406"/>
      <c r="J211" s="406"/>
      <c r="K211" s="406"/>
      <c r="L211" s="406"/>
      <c r="M211" s="406"/>
    </row>
    <row r="212" spans="2:24" s="3" customFormat="1">
      <c r="B212" s="406"/>
      <c r="C212" s="406"/>
      <c r="D212" s="406"/>
      <c r="E212" s="406"/>
      <c r="F212" s="406"/>
      <c r="G212" s="406"/>
      <c r="H212" s="406"/>
      <c r="I212" s="406"/>
      <c r="J212" s="406"/>
      <c r="K212" s="406"/>
      <c r="L212" s="406"/>
      <c r="M212" s="406"/>
    </row>
    <row r="213" spans="2:24" s="1" customFormat="1" ht="85.95" customHeight="1">
      <c r="B213" s="405" t="e" vm="1">
        <v>#VALUE!</v>
      </c>
      <c r="C213" s="405"/>
      <c r="D213" s="405"/>
      <c r="E213" s="405"/>
      <c r="F213" s="405"/>
      <c r="G213" s="405"/>
      <c r="H213" s="405"/>
      <c r="I213" s="405"/>
      <c r="J213" s="405"/>
      <c r="K213" s="405"/>
      <c r="L213" s="405"/>
      <c r="M213" s="405"/>
    </row>
  </sheetData>
  <sheetProtection algorithmName="SHA-512" hashValue="99SGX0lu/nSkWcHo/bFTJGp0l3oyJZsXKSCTecJgwxz6U1+XYkIT85su/7V6bIAu3FRCLPXTzQjAYrYNIhsbmw==" saltValue="xoAIPQT6EaCgId4ZuXBxWA==" spinCount="100000" sheet="1" objects="1" scenarios="1" formatColumns="0"/>
  <mergeCells count="332">
    <mergeCell ref="BV4:CB4"/>
    <mergeCell ref="CD4:CJ4"/>
    <mergeCell ref="CL4:CR4"/>
    <mergeCell ref="CT4:CZ4"/>
    <mergeCell ref="DB4:DH4"/>
    <mergeCell ref="AX4:BD4"/>
    <mergeCell ref="BF4:BL4"/>
    <mergeCell ref="BN4:BT4"/>
    <mergeCell ref="R5:X5"/>
    <mergeCell ref="AP5:AV5"/>
    <mergeCell ref="AX5:BD5"/>
    <mergeCell ref="BN5:BT5"/>
    <mergeCell ref="CD5:CJ5"/>
    <mergeCell ref="CT5:CZ5"/>
    <mergeCell ref="DB5:DH5"/>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41:G41"/>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AV8:AV10"/>
    <mergeCell ref="AV11:AV13"/>
    <mergeCell ref="AV14:AV16"/>
    <mergeCell ref="AV17:AV19"/>
    <mergeCell ref="AP91:AU91"/>
    <mergeCell ref="AP105:AU105"/>
    <mergeCell ref="AP119:AU119"/>
    <mergeCell ref="AP133:AU133"/>
    <mergeCell ref="AP56:AU56"/>
    <mergeCell ref="AP88:AV88"/>
    <mergeCell ref="AP71:AU71"/>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BD8:BD10"/>
    <mergeCell ref="BD11:BD13"/>
    <mergeCell ref="BD14:BD16"/>
    <mergeCell ref="BD17:BD19"/>
    <mergeCell ref="BF5:BL5"/>
    <mergeCell ref="BL8:BL10"/>
    <mergeCell ref="BL11:BL13"/>
    <mergeCell ref="BL14:BL16"/>
    <mergeCell ref="BL17:BL19"/>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BT8:BT10"/>
    <mergeCell ref="BT11:BT13"/>
    <mergeCell ref="BT14:BT16"/>
    <mergeCell ref="BT17:BT19"/>
    <mergeCell ref="BV5:CB5"/>
    <mergeCell ref="CB8:CB10"/>
    <mergeCell ref="CB11:CB13"/>
    <mergeCell ref="CB14:CB16"/>
    <mergeCell ref="CB17:CB19"/>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CJ8:CJ10"/>
    <mergeCell ref="CJ11:CJ13"/>
    <mergeCell ref="CJ14:CJ16"/>
    <mergeCell ref="CJ17:CJ19"/>
    <mergeCell ref="CL5:CR5"/>
    <mergeCell ref="CR8:CR10"/>
    <mergeCell ref="CR11:CR13"/>
    <mergeCell ref="CR14:CR16"/>
    <mergeCell ref="CR17:CR19"/>
    <mergeCell ref="CL119:CQ119"/>
    <mergeCell ref="CL133:CQ133"/>
    <mergeCell ref="CT91:CY91"/>
    <mergeCell ref="CT105:CY105"/>
    <mergeCell ref="CT119:CY119"/>
    <mergeCell ref="CT133:CY133"/>
    <mergeCell ref="CT194:CY194"/>
    <mergeCell ref="CL150:CQ150"/>
    <mergeCell ref="CL149:CR149"/>
    <mergeCell ref="DH8:DH10"/>
    <mergeCell ref="DH11:DH13"/>
    <mergeCell ref="DH14:DH16"/>
    <mergeCell ref="DH17:DH19"/>
    <mergeCell ref="DB149:DH149"/>
    <mergeCell ref="DB150:DG150"/>
    <mergeCell ref="DB26:DG26"/>
    <mergeCell ref="CZ8:CZ10"/>
    <mergeCell ref="CZ11:CZ13"/>
    <mergeCell ref="CZ14:CZ16"/>
    <mergeCell ref="CZ17:CZ19"/>
    <mergeCell ref="CT149:CZ149"/>
    <mergeCell ref="Z26:AE26"/>
    <mergeCell ref="AH26:AM26"/>
    <mergeCell ref="AP26:AU26"/>
    <mergeCell ref="AX26:BC26"/>
    <mergeCell ref="BF26:BK26"/>
    <mergeCell ref="BN26:BS26"/>
    <mergeCell ref="DB194:DG194"/>
    <mergeCell ref="DB91:DG91"/>
    <mergeCell ref="DB105:DG105"/>
    <mergeCell ref="DB119:DG119"/>
    <mergeCell ref="DB133:DG133"/>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AX71:BC71"/>
    <mergeCell ref="BF71:BK71"/>
    <mergeCell ref="BN71:BS71"/>
    <mergeCell ref="AX56:BC56"/>
    <mergeCell ref="BF56:BK56"/>
    <mergeCell ref="BN56:BS56"/>
    <mergeCell ref="BV56:CA56"/>
    <mergeCell ref="CD56:CI56"/>
    <mergeCell ref="J41:O41"/>
    <mergeCell ref="R41:W41"/>
    <mergeCell ref="Z41:AE41"/>
    <mergeCell ref="AH41:AM41"/>
    <mergeCell ref="AP41:AU41"/>
    <mergeCell ref="AX41:BC41"/>
    <mergeCell ref="BF41:BK41"/>
    <mergeCell ref="BN41:BS41"/>
    <mergeCell ref="B56:G56"/>
    <mergeCell ref="J56:O56"/>
    <mergeCell ref="R56:W56"/>
    <mergeCell ref="Z56:AE56"/>
    <mergeCell ref="AH56:AM56"/>
    <mergeCell ref="B71:G71"/>
    <mergeCell ref="J71:O71"/>
    <mergeCell ref="R71:W71"/>
    <mergeCell ref="Z71:AE71"/>
    <mergeCell ref="AH71:AM71"/>
    <mergeCell ref="B24:G24"/>
    <mergeCell ref="J24:O24"/>
    <mergeCell ref="R24:W24"/>
    <mergeCell ref="Z24:AE24"/>
    <mergeCell ref="AH24:AM24"/>
    <mergeCell ref="AP24:AU24"/>
    <mergeCell ref="AX24:BC24"/>
    <mergeCell ref="BF24:BK24"/>
    <mergeCell ref="BN24:BS24"/>
    <mergeCell ref="B89:G89"/>
    <mergeCell ref="J89:O89"/>
    <mergeCell ref="R89:W89"/>
    <mergeCell ref="Z89:AE89"/>
    <mergeCell ref="AH89:AM89"/>
    <mergeCell ref="AP89:AU89"/>
    <mergeCell ref="AX89:BC89"/>
    <mergeCell ref="BF89:BK89"/>
    <mergeCell ref="BN89:BS89"/>
    <mergeCell ref="CL24:CQ24"/>
    <mergeCell ref="CT24:CY24"/>
    <mergeCell ref="DB24:DG24"/>
    <mergeCell ref="BV71:CA71"/>
    <mergeCell ref="CD71:CI71"/>
    <mergeCell ref="CL71:CQ71"/>
    <mergeCell ref="CT71:CY71"/>
    <mergeCell ref="DB71:DG71"/>
    <mergeCell ref="CL56:CQ56"/>
    <mergeCell ref="CT56:CY56"/>
    <mergeCell ref="DB56:DG56"/>
    <mergeCell ref="CT26:CY26"/>
    <mergeCell ref="BV41:CA41"/>
    <mergeCell ref="CD41:CI41"/>
    <mergeCell ref="CL41:CQ41"/>
    <mergeCell ref="CT41:CY41"/>
    <mergeCell ref="DB41:DG41"/>
    <mergeCell ref="BV26:CA26"/>
    <mergeCell ref="CD26:CI26"/>
    <mergeCell ref="CL26:CQ26"/>
    <mergeCell ref="BV89:CA89"/>
    <mergeCell ref="CD89:CI89"/>
    <mergeCell ref="CL89:CQ89"/>
    <mergeCell ref="CT89:CY89"/>
    <mergeCell ref="DB89:DG89"/>
    <mergeCell ref="BV88:CB88"/>
    <mergeCell ref="CD88:CJ88"/>
    <mergeCell ref="CL88:CR88"/>
    <mergeCell ref="CT88:CZ88"/>
    <mergeCell ref="DB88:DH88"/>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211:M212"/>
    <mergeCell ref="B213:M213"/>
    <mergeCell ref="AH149:AN149"/>
    <mergeCell ref="AP149:AV149"/>
    <mergeCell ref="AX149:BD149"/>
    <mergeCell ref="BF149:BL149"/>
    <mergeCell ref="BN149:BT149"/>
    <mergeCell ref="BV149:CB149"/>
    <mergeCell ref="CD149:CJ149"/>
    <mergeCell ref="B150:G150"/>
    <mergeCell ref="J150:O150"/>
    <mergeCell ref="R150:W150"/>
    <mergeCell ref="Z150:AE150"/>
    <mergeCell ref="AH150:AM150"/>
    <mergeCell ref="AP150:AU150"/>
    <mergeCell ref="AX150:BC150"/>
    <mergeCell ref="BF150:BK150"/>
    <mergeCell ref="BN150:BS150"/>
    <mergeCell ref="BV152:CA152"/>
    <mergeCell ref="BV166:CA166"/>
    <mergeCell ref="BV180:CA180"/>
    <mergeCell ref="BV194:CA194"/>
    <mergeCell ref="BF152:BK152"/>
    <mergeCell ref="BF166:BK166"/>
  </mergeCells>
  <phoneticPr fontId="2" type="noConversion"/>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2AD9D-CA46-41C8-9140-F7E9A78AB8F6}">
  <sheetPr codeName="Planilha4">
    <tabColor rgb="FF0EB1BA"/>
  </sheetPr>
  <dimension ref="B1:DI77"/>
  <sheetViews>
    <sheetView showGridLines="0" showRowColHeaders="0" workbookViewId="0">
      <selection activeCell="J26" sqref="J26"/>
    </sheetView>
  </sheetViews>
  <sheetFormatPr defaultColWidth="8.77734375" defaultRowHeight="14.4"/>
  <cols>
    <col min="1" max="1" width="5" style="79" customWidth="1"/>
    <col min="2" max="2" width="15.44140625" style="79" customWidth="1"/>
    <col min="3" max="3" width="12.44140625" style="79" customWidth="1"/>
    <col min="4" max="4" width="14.44140625" style="79" customWidth="1"/>
    <col min="5" max="5" width="15.109375" style="79" customWidth="1"/>
    <col min="6" max="6" width="12.44140625" style="79" customWidth="1"/>
    <col min="7" max="7" width="12.109375" style="79" customWidth="1"/>
    <col min="8" max="9" width="3.44140625" style="77" customWidth="1"/>
    <col min="10" max="10" width="14.6640625" style="79" customWidth="1"/>
    <col min="11" max="11" width="15.5546875" style="79" customWidth="1"/>
    <col min="12" max="15" width="14.44140625" style="79" customWidth="1"/>
    <col min="16" max="17" width="3.44140625" style="77" customWidth="1"/>
    <col min="18" max="18" width="13.33203125" style="79" customWidth="1"/>
    <col min="19" max="19" width="14.77734375" style="79" customWidth="1"/>
    <col min="20" max="20" width="13.44140625" style="79" customWidth="1"/>
    <col min="21" max="21" width="16.44140625" style="79" customWidth="1"/>
    <col min="22" max="22" width="15.44140625" style="79" customWidth="1"/>
    <col min="23" max="23" width="13.109375" style="79" customWidth="1"/>
    <col min="24" max="25" width="3.44140625" style="77" customWidth="1"/>
    <col min="26" max="26" width="11.77734375" style="79" customWidth="1"/>
    <col min="27" max="31" width="15.109375" style="79" customWidth="1"/>
    <col min="32" max="33" width="3.44140625" style="77" customWidth="1"/>
    <col min="34" max="34" width="17.77734375" style="79" customWidth="1"/>
    <col min="35" max="39" width="15.6640625" style="79" customWidth="1"/>
    <col min="40" max="41" width="3.44140625" style="77" customWidth="1"/>
    <col min="42" max="42" width="13.77734375" style="79" customWidth="1"/>
    <col min="43" max="47" width="16.44140625" style="79" customWidth="1"/>
    <col min="48" max="49" width="3.44140625" style="77" customWidth="1"/>
    <col min="50" max="50" width="15.6640625" style="79" customWidth="1"/>
    <col min="51" max="55" width="16.6640625" style="79" customWidth="1"/>
    <col min="56" max="57" width="3.44140625" style="77" customWidth="1"/>
    <col min="58" max="58" width="15.109375" style="79" customWidth="1"/>
    <col min="59" max="63" width="14.6640625" style="79" customWidth="1"/>
    <col min="64" max="65" width="3.44140625" style="77" customWidth="1"/>
    <col min="66" max="66" width="15.33203125" style="79" customWidth="1"/>
    <col min="67" max="71" width="15.44140625" style="79" customWidth="1"/>
    <col min="72" max="73" width="3.44140625" style="77" customWidth="1"/>
    <col min="74" max="74" width="14.33203125" style="79" customWidth="1"/>
    <col min="75" max="79" width="15" style="79" customWidth="1"/>
    <col min="80" max="81" width="3.44140625" style="77" customWidth="1"/>
    <col min="82" max="82" width="16.44140625" style="79" customWidth="1"/>
    <col min="83" max="87" width="17.44140625" style="79" customWidth="1"/>
    <col min="88" max="89" width="3.44140625" style="77" customWidth="1"/>
    <col min="90" max="90" width="14.6640625" style="79" customWidth="1"/>
    <col min="91" max="95" width="17.44140625" style="79" customWidth="1"/>
    <col min="96" max="97" width="3.44140625" style="77" customWidth="1"/>
    <col min="98" max="98" width="13.33203125" style="79" customWidth="1"/>
    <col min="99" max="103" width="18.109375" style="79" customWidth="1"/>
    <col min="104" max="105" width="3.44140625" style="77" customWidth="1"/>
    <col min="106" max="106" width="14.109375" style="79" customWidth="1"/>
    <col min="107" max="111" width="16.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t="str">
        <f>intervencao1</f>
        <v>PET-CT</v>
      </c>
      <c r="C5" s="502"/>
      <c r="D5" s="502"/>
      <c r="E5" s="502"/>
      <c r="F5" s="502"/>
      <c r="G5" s="502"/>
      <c r="H5" s="502"/>
      <c r="I5" s="77"/>
      <c r="J5" s="502">
        <f>intervencao2</f>
        <v>0</v>
      </c>
      <c r="K5" s="502"/>
      <c r="L5" s="502"/>
      <c r="M5" s="502"/>
      <c r="N5" s="502"/>
      <c r="O5" s="502"/>
      <c r="P5" s="502"/>
      <c r="Q5" s="77"/>
      <c r="R5" s="502">
        <f>intervencao3</f>
        <v>0</v>
      </c>
      <c r="S5" s="502"/>
      <c r="T5" s="502"/>
      <c r="U5" s="502"/>
      <c r="V5" s="502"/>
      <c r="W5" s="502"/>
      <c r="X5" s="502"/>
      <c r="Y5" s="77"/>
      <c r="Z5" s="502">
        <f>intervencao4</f>
        <v>0</v>
      </c>
      <c r="AA5" s="502"/>
      <c r="AB5" s="502"/>
      <c r="AC5" s="502"/>
      <c r="AD5" s="502"/>
      <c r="AE5" s="502"/>
      <c r="AF5" s="502"/>
      <c r="AG5" s="77"/>
      <c r="AH5" s="502" t="str">
        <f>comparador1</f>
        <v>CT scan + scintigraphy</v>
      </c>
      <c r="AI5" s="502"/>
      <c r="AJ5" s="502"/>
      <c r="AK5" s="502"/>
      <c r="AL5" s="502"/>
      <c r="AM5" s="502"/>
      <c r="AN5" s="502"/>
      <c r="AO5" s="77"/>
      <c r="AP5" s="502">
        <f>comparador2</f>
        <v>0</v>
      </c>
      <c r="AQ5" s="502"/>
      <c r="AR5" s="502"/>
      <c r="AS5" s="502"/>
      <c r="AT5" s="502"/>
      <c r="AU5" s="502"/>
      <c r="AV5" s="502"/>
      <c r="AW5" s="77"/>
      <c r="AX5" s="502">
        <f>comparador3</f>
        <v>0</v>
      </c>
      <c r="AY5" s="502"/>
      <c r="AZ5" s="502"/>
      <c r="BA5" s="502"/>
      <c r="BB5" s="502"/>
      <c r="BC5" s="502"/>
      <c r="BD5" s="502"/>
      <c r="BE5" s="77"/>
      <c r="BF5" s="502">
        <f>comparador4</f>
        <v>0</v>
      </c>
      <c r="BG5" s="502"/>
      <c r="BH5" s="502"/>
      <c r="BI5" s="502"/>
      <c r="BJ5" s="502"/>
      <c r="BK5" s="502"/>
      <c r="BL5" s="502"/>
      <c r="BM5" s="77"/>
      <c r="BN5" s="502">
        <f>comparador5</f>
        <v>0</v>
      </c>
      <c r="BO5" s="502"/>
      <c r="BP5" s="502"/>
      <c r="BQ5" s="502"/>
      <c r="BR5" s="502"/>
      <c r="BS5" s="502"/>
      <c r="BT5" s="502"/>
      <c r="BU5" s="77"/>
      <c r="BV5" s="502">
        <f>comparador6</f>
        <v>0</v>
      </c>
      <c r="BW5" s="502"/>
      <c r="BX5" s="502"/>
      <c r="BY5" s="502"/>
      <c r="BZ5" s="502"/>
      <c r="CA5" s="502"/>
      <c r="CB5" s="502"/>
      <c r="CC5" s="77"/>
      <c r="CD5" s="502">
        <f>comparador7</f>
        <v>0</v>
      </c>
      <c r="CE5" s="502"/>
      <c r="CF5" s="502"/>
      <c r="CG5" s="502"/>
      <c r="CH5" s="502"/>
      <c r="CI5" s="502"/>
      <c r="CJ5" s="502"/>
      <c r="CK5" s="77"/>
      <c r="CL5" s="502">
        <f>comparador8</f>
        <v>0</v>
      </c>
      <c r="CM5" s="502"/>
      <c r="CN5" s="502"/>
      <c r="CO5" s="502"/>
      <c r="CP5" s="502"/>
      <c r="CQ5" s="502"/>
      <c r="CR5" s="502"/>
      <c r="CS5" s="77"/>
      <c r="CT5" s="502">
        <f>comparador9</f>
        <v>0</v>
      </c>
      <c r="CU5" s="502"/>
      <c r="CV5" s="502"/>
      <c r="CW5" s="502"/>
      <c r="CX5" s="502"/>
      <c r="CY5" s="502"/>
      <c r="CZ5" s="502"/>
      <c r="DA5" s="77"/>
      <c r="DB5" s="502">
        <f>comparador10</f>
        <v>0</v>
      </c>
      <c r="DC5" s="502"/>
      <c r="DD5" s="502"/>
      <c r="DE5" s="502"/>
      <c r="DF5" s="502"/>
      <c r="DG5" s="502"/>
      <c r="DH5" s="502"/>
      <c r="DI5" s="77"/>
    </row>
    <row r="6" spans="2:113" ht="16.2" thickBot="1">
      <c r="B6" s="78"/>
      <c r="C6" s="78">
        <f>ano_1</f>
        <v>2024</v>
      </c>
      <c r="D6" s="78">
        <f>C6+1</f>
        <v>2025</v>
      </c>
      <c r="E6" s="78">
        <f t="shared" ref="E6:G6" si="0">D6+1</f>
        <v>2026</v>
      </c>
      <c r="F6" s="78">
        <f t="shared" si="0"/>
        <v>2027</v>
      </c>
      <c r="G6" s="78">
        <f t="shared" si="0"/>
        <v>2028</v>
      </c>
      <c r="J6" s="78"/>
      <c r="K6" s="78">
        <f>ano_1</f>
        <v>2024</v>
      </c>
      <c r="L6" s="78">
        <f>K6+1</f>
        <v>2025</v>
      </c>
      <c r="M6" s="78">
        <f t="shared" ref="M6:O6" si="1">L6+1</f>
        <v>2026</v>
      </c>
      <c r="N6" s="78">
        <f t="shared" si="1"/>
        <v>2027</v>
      </c>
      <c r="O6" s="78">
        <f t="shared" si="1"/>
        <v>2028</v>
      </c>
      <c r="R6" s="78"/>
      <c r="S6" s="78">
        <f>ano_1</f>
        <v>2024</v>
      </c>
      <c r="T6" s="78">
        <f>S6+1</f>
        <v>2025</v>
      </c>
      <c r="U6" s="78">
        <f t="shared" ref="U6:W6" si="2">T6+1</f>
        <v>2026</v>
      </c>
      <c r="V6" s="78">
        <f t="shared" si="2"/>
        <v>2027</v>
      </c>
      <c r="W6" s="78">
        <f t="shared" si="2"/>
        <v>2028</v>
      </c>
      <c r="Z6" s="78"/>
      <c r="AA6" s="78">
        <f>ano_1</f>
        <v>2024</v>
      </c>
      <c r="AB6" s="78">
        <f>AA6+1</f>
        <v>2025</v>
      </c>
      <c r="AC6" s="78">
        <f t="shared" ref="AC6:AE6" si="3">AB6+1</f>
        <v>2026</v>
      </c>
      <c r="AD6" s="78">
        <f t="shared" si="3"/>
        <v>2027</v>
      </c>
      <c r="AE6" s="78">
        <f t="shared" si="3"/>
        <v>2028</v>
      </c>
      <c r="AH6" s="78"/>
      <c r="AI6" s="78">
        <f>ano_1</f>
        <v>2024</v>
      </c>
      <c r="AJ6" s="78">
        <f>AI6+1</f>
        <v>2025</v>
      </c>
      <c r="AK6" s="78">
        <f t="shared" ref="AK6:AM6" si="4">AJ6+1</f>
        <v>2026</v>
      </c>
      <c r="AL6" s="78">
        <f t="shared" si="4"/>
        <v>2027</v>
      </c>
      <c r="AM6" s="78">
        <f t="shared" si="4"/>
        <v>2028</v>
      </c>
      <c r="AP6" s="78"/>
      <c r="AQ6" s="78">
        <f>ano_1</f>
        <v>2024</v>
      </c>
      <c r="AR6" s="78">
        <f>AQ6+1</f>
        <v>2025</v>
      </c>
      <c r="AS6" s="78">
        <f t="shared" ref="AS6:AU6" si="5">AR6+1</f>
        <v>2026</v>
      </c>
      <c r="AT6" s="78">
        <f t="shared" si="5"/>
        <v>2027</v>
      </c>
      <c r="AU6" s="78">
        <f t="shared" si="5"/>
        <v>2028</v>
      </c>
      <c r="AX6" s="78"/>
      <c r="AY6" s="78">
        <f>ano_1</f>
        <v>2024</v>
      </c>
      <c r="AZ6" s="78">
        <f>AY6+1</f>
        <v>2025</v>
      </c>
      <c r="BA6" s="78">
        <f t="shared" ref="BA6:BC6" si="6">AZ6+1</f>
        <v>2026</v>
      </c>
      <c r="BB6" s="78">
        <f t="shared" si="6"/>
        <v>2027</v>
      </c>
      <c r="BC6" s="78">
        <f t="shared" si="6"/>
        <v>2028</v>
      </c>
      <c r="BF6" s="78"/>
      <c r="BG6" s="78">
        <f>ano_1</f>
        <v>2024</v>
      </c>
      <c r="BH6" s="78">
        <f>BG6+1</f>
        <v>2025</v>
      </c>
      <c r="BI6" s="78">
        <f t="shared" ref="BI6:BK6" si="7">BH6+1</f>
        <v>2026</v>
      </c>
      <c r="BJ6" s="78">
        <f t="shared" si="7"/>
        <v>2027</v>
      </c>
      <c r="BK6" s="78">
        <f t="shared" si="7"/>
        <v>2028</v>
      </c>
      <c r="BN6" s="78"/>
      <c r="BO6" s="78">
        <f>ano_1</f>
        <v>2024</v>
      </c>
      <c r="BP6" s="78">
        <f>BO6+1</f>
        <v>2025</v>
      </c>
      <c r="BQ6" s="78">
        <f t="shared" ref="BQ6:BS6" si="8">BP6+1</f>
        <v>2026</v>
      </c>
      <c r="BR6" s="78">
        <f t="shared" si="8"/>
        <v>2027</v>
      </c>
      <c r="BS6" s="78">
        <f t="shared" si="8"/>
        <v>2028</v>
      </c>
      <c r="BV6" s="78"/>
      <c r="BW6" s="78">
        <f>ano_1</f>
        <v>2024</v>
      </c>
      <c r="BX6" s="78">
        <f>BW6+1</f>
        <v>2025</v>
      </c>
      <c r="BY6" s="78">
        <f t="shared" ref="BY6:CA6" si="9">BX6+1</f>
        <v>2026</v>
      </c>
      <c r="BZ6" s="78">
        <f t="shared" si="9"/>
        <v>2027</v>
      </c>
      <c r="CA6" s="78">
        <f t="shared" si="9"/>
        <v>2028</v>
      </c>
      <c r="CD6" s="78"/>
      <c r="CE6" s="78">
        <f>ano_1</f>
        <v>2024</v>
      </c>
      <c r="CF6" s="78">
        <f>CE6+1</f>
        <v>2025</v>
      </c>
      <c r="CG6" s="78">
        <f t="shared" ref="CG6:CI6" si="10">CF6+1</f>
        <v>2026</v>
      </c>
      <c r="CH6" s="78">
        <f t="shared" si="10"/>
        <v>2027</v>
      </c>
      <c r="CI6" s="78">
        <f t="shared" si="10"/>
        <v>2028</v>
      </c>
      <c r="CL6" s="78"/>
      <c r="CM6" s="78">
        <f>ano_1</f>
        <v>2024</v>
      </c>
      <c r="CN6" s="78">
        <f>CM6+1</f>
        <v>2025</v>
      </c>
      <c r="CO6" s="78">
        <f t="shared" ref="CO6:CQ6" si="11">CN6+1</f>
        <v>2026</v>
      </c>
      <c r="CP6" s="78">
        <f t="shared" si="11"/>
        <v>2027</v>
      </c>
      <c r="CQ6" s="78">
        <f t="shared" si="11"/>
        <v>2028</v>
      </c>
      <c r="CT6" s="78"/>
      <c r="CU6" s="78">
        <f>ano_1</f>
        <v>2024</v>
      </c>
      <c r="CV6" s="78">
        <f>CU6+1</f>
        <v>2025</v>
      </c>
      <c r="CW6" s="78">
        <f t="shared" ref="CW6:CY6" si="12">CV6+1</f>
        <v>2026</v>
      </c>
      <c r="CX6" s="78">
        <f t="shared" si="12"/>
        <v>2027</v>
      </c>
      <c r="CY6" s="78">
        <f t="shared" si="12"/>
        <v>2028</v>
      </c>
      <c r="DB6" s="78"/>
      <c r="DC6" s="78">
        <f>ano_1</f>
        <v>2024</v>
      </c>
      <c r="DD6" s="78">
        <f>DC6+1</f>
        <v>2025</v>
      </c>
      <c r="DE6" s="78">
        <f t="shared" ref="DE6:DG6" si="13">DD6+1</f>
        <v>2026</v>
      </c>
      <c r="DF6" s="78">
        <f t="shared" si="13"/>
        <v>2027</v>
      </c>
      <c r="DG6" s="78">
        <f t="shared" si="13"/>
        <v>2028</v>
      </c>
    </row>
    <row r="7" spans="2:113" s="97" customFormat="1" ht="15" thickBot="1">
      <c r="B7" s="94" t="s">
        <v>205</v>
      </c>
      <c r="C7" s="313">
        <f>Results!D9</f>
        <v>4950.1446658799996</v>
      </c>
      <c r="D7" s="313">
        <f>Results!E9</f>
        <v>4980.7215748199997</v>
      </c>
      <c r="E7" s="313">
        <f>Results!F9</f>
        <v>5009.9978922</v>
      </c>
      <c r="F7" s="313">
        <f>Results!G9</f>
        <v>5037.9386211600004</v>
      </c>
      <c r="G7" s="313">
        <f>Results!H9</f>
        <v>5064.5088330599992</v>
      </c>
      <c r="H7" s="95"/>
      <c r="I7" s="96"/>
      <c r="J7" s="94" t="s">
        <v>205</v>
      </c>
      <c r="K7" s="313">
        <f>Results!D$9</f>
        <v>4950.1446658799996</v>
      </c>
      <c r="L7" s="313">
        <f>Results!E$9</f>
        <v>4980.7215748199997</v>
      </c>
      <c r="M7" s="313">
        <f>Results!F$9</f>
        <v>5009.9978922</v>
      </c>
      <c r="N7" s="313">
        <f>Results!G$9</f>
        <v>5037.9386211600004</v>
      </c>
      <c r="O7" s="313">
        <f>Results!H$9</f>
        <v>5064.5088330599992</v>
      </c>
      <c r="P7" s="95"/>
      <c r="Q7" s="96"/>
      <c r="R7" s="94" t="s">
        <v>205</v>
      </c>
      <c r="S7" s="313">
        <f>Results!D$9</f>
        <v>4950.1446658799996</v>
      </c>
      <c r="T7" s="313">
        <f>Results!E$9</f>
        <v>4980.7215748199997</v>
      </c>
      <c r="U7" s="313">
        <f>Results!F$9</f>
        <v>5009.9978922</v>
      </c>
      <c r="V7" s="313">
        <f>Results!G$9</f>
        <v>5037.9386211600004</v>
      </c>
      <c r="W7" s="313">
        <f>Results!H$9</f>
        <v>5064.5088330599992</v>
      </c>
      <c r="X7" s="95"/>
      <c r="Y7" s="96"/>
      <c r="Z7" s="94" t="s">
        <v>205</v>
      </c>
      <c r="AA7" s="313">
        <f>Results!D$9</f>
        <v>4950.1446658799996</v>
      </c>
      <c r="AB7" s="313">
        <f>Results!E$9</f>
        <v>4980.7215748199997</v>
      </c>
      <c r="AC7" s="313">
        <f>Results!F$9</f>
        <v>5009.9978922</v>
      </c>
      <c r="AD7" s="313">
        <f>Results!G$9</f>
        <v>5037.9386211600004</v>
      </c>
      <c r="AE7" s="313">
        <f>Results!H$9</f>
        <v>5064.5088330599992</v>
      </c>
      <c r="AF7" s="95"/>
      <c r="AG7" s="96"/>
      <c r="AH7" s="94" t="s">
        <v>205</v>
      </c>
      <c r="AI7" s="313">
        <f>Results!D$9</f>
        <v>4950.1446658799996</v>
      </c>
      <c r="AJ7" s="313">
        <f>Results!E$9</f>
        <v>4980.7215748199997</v>
      </c>
      <c r="AK7" s="313">
        <f>Results!F$9</f>
        <v>5009.9978922</v>
      </c>
      <c r="AL7" s="313">
        <f>Results!G$9</f>
        <v>5037.9386211600004</v>
      </c>
      <c r="AM7" s="313">
        <f>Results!H$9</f>
        <v>5064.5088330599992</v>
      </c>
      <c r="AN7" s="95"/>
      <c r="AO7" s="96"/>
      <c r="AP7" s="94" t="s">
        <v>205</v>
      </c>
      <c r="AQ7" s="313">
        <f>Results!D$9</f>
        <v>4950.1446658799996</v>
      </c>
      <c r="AR7" s="313">
        <f>Results!E$9</f>
        <v>4980.7215748199997</v>
      </c>
      <c r="AS7" s="313">
        <f>Results!F$9</f>
        <v>5009.9978922</v>
      </c>
      <c r="AT7" s="313">
        <f>Results!G$9</f>
        <v>5037.9386211600004</v>
      </c>
      <c r="AU7" s="313">
        <f>Results!H$9</f>
        <v>5064.5088330599992</v>
      </c>
      <c r="AV7" s="95"/>
      <c r="AW7" s="96"/>
      <c r="AX7" s="94" t="s">
        <v>205</v>
      </c>
      <c r="AY7" s="313">
        <f>Results!D$9</f>
        <v>4950.1446658799996</v>
      </c>
      <c r="AZ7" s="313">
        <f>Results!E$9</f>
        <v>4980.7215748199997</v>
      </c>
      <c r="BA7" s="313">
        <f>Results!F$9</f>
        <v>5009.9978922</v>
      </c>
      <c r="BB7" s="313">
        <f>Results!G$9</f>
        <v>5037.9386211600004</v>
      </c>
      <c r="BC7" s="313">
        <f>Results!H$9</f>
        <v>5064.5088330599992</v>
      </c>
      <c r="BD7" s="95"/>
      <c r="BE7" s="96"/>
      <c r="BF7" s="94" t="s">
        <v>205</v>
      </c>
      <c r="BG7" s="313">
        <f>Results!D$9</f>
        <v>4950.1446658799996</v>
      </c>
      <c r="BH7" s="313">
        <f>Results!E$9</f>
        <v>4980.7215748199997</v>
      </c>
      <c r="BI7" s="313">
        <f>Results!F$9</f>
        <v>5009.9978922</v>
      </c>
      <c r="BJ7" s="313">
        <f>Results!G$9</f>
        <v>5037.9386211600004</v>
      </c>
      <c r="BK7" s="313">
        <f>Results!H$9</f>
        <v>5064.5088330599992</v>
      </c>
      <c r="BL7" s="95"/>
      <c r="BM7" s="96"/>
      <c r="BN7" s="94" t="s">
        <v>205</v>
      </c>
      <c r="BO7" s="313">
        <f>Results!D$9</f>
        <v>4950.1446658799996</v>
      </c>
      <c r="BP7" s="313">
        <f>Results!E$9</f>
        <v>4980.7215748199997</v>
      </c>
      <c r="BQ7" s="313">
        <f>Results!F$9</f>
        <v>5009.9978922</v>
      </c>
      <c r="BR7" s="313">
        <f>Results!G$9</f>
        <v>5037.9386211600004</v>
      </c>
      <c r="BS7" s="313">
        <f>Results!H$9</f>
        <v>5064.5088330599992</v>
      </c>
      <c r="BT7" s="95"/>
      <c r="BU7" s="96"/>
      <c r="BV7" s="94" t="s">
        <v>205</v>
      </c>
      <c r="BW7" s="313">
        <f>Results!D$9</f>
        <v>4950.1446658799996</v>
      </c>
      <c r="BX7" s="313">
        <f>Results!E$9</f>
        <v>4980.7215748199997</v>
      </c>
      <c r="BY7" s="313">
        <f>Results!F$9</f>
        <v>5009.9978922</v>
      </c>
      <c r="BZ7" s="313">
        <f>Results!G$9</f>
        <v>5037.9386211600004</v>
      </c>
      <c r="CA7" s="313">
        <f>Results!H$9</f>
        <v>5064.5088330599992</v>
      </c>
      <c r="CB7" s="95"/>
      <c r="CC7" s="96"/>
      <c r="CD7" s="94" t="s">
        <v>205</v>
      </c>
      <c r="CE7" s="313">
        <f>Results!D$9</f>
        <v>4950.1446658799996</v>
      </c>
      <c r="CF7" s="313">
        <f>Results!E$9</f>
        <v>4980.7215748199997</v>
      </c>
      <c r="CG7" s="313">
        <f>Results!F$9</f>
        <v>5009.9978922</v>
      </c>
      <c r="CH7" s="313">
        <f>Results!G$9</f>
        <v>5037.9386211600004</v>
      </c>
      <c r="CI7" s="313">
        <f>Results!H$9</f>
        <v>5064.5088330599992</v>
      </c>
      <c r="CJ7" s="95"/>
      <c r="CK7" s="96"/>
      <c r="CL7" s="94" t="s">
        <v>205</v>
      </c>
      <c r="CM7" s="313">
        <f>Results!D$9</f>
        <v>4950.1446658799996</v>
      </c>
      <c r="CN7" s="313">
        <f>Results!E$9</f>
        <v>4980.7215748199997</v>
      </c>
      <c r="CO7" s="313">
        <f>Results!F$9</f>
        <v>5009.9978922</v>
      </c>
      <c r="CP7" s="313">
        <f>Results!G$9</f>
        <v>5037.9386211600004</v>
      </c>
      <c r="CQ7" s="313">
        <f>Results!H$9</f>
        <v>5064.5088330599992</v>
      </c>
      <c r="CR7" s="95"/>
      <c r="CS7" s="96"/>
      <c r="CT7" s="94" t="s">
        <v>205</v>
      </c>
      <c r="CU7" s="313">
        <f>Results!D$9</f>
        <v>4950.1446658799996</v>
      </c>
      <c r="CV7" s="313">
        <f>Results!E$9</f>
        <v>4980.7215748199997</v>
      </c>
      <c r="CW7" s="313">
        <f>Results!F$9</f>
        <v>5009.9978922</v>
      </c>
      <c r="CX7" s="313">
        <f>Results!G$9</f>
        <v>5037.9386211600004</v>
      </c>
      <c r="CY7" s="313">
        <f>Results!H$9</f>
        <v>5064.5088330599992</v>
      </c>
      <c r="CZ7" s="95"/>
      <c r="DA7" s="96"/>
      <c r="DB7" s="94" t="s">
        <v>205</v>
      </c>
      <c r="DC7" s="313">
        <f>Results!D$9</f>
        <v>4950.1446658799996</v>
      </c>
      <c r="DD7" s="313">
        <f>Results!E$9</f>
        <v>4980.7215748199997</v>
      </c>
      <c r="DE7" s="313">
        <f>Results!F$9</f>
        <v>5009.9978922</v>
      </c>
      <c r="DF7" s="313">
        <f>Results!G$9</f>
        <v>5037.9386211600004</v>
      </c>
      <c r="DG7" s="313">
        <f>Results!H$9</f>
        <v>5064.5088330599992</v>
      </c>
      <c r="DH7" s="95"/>
      <c r="DI7" s="96"/>
    </row>
    <row r="9" spans="2:113" s="81" customFormat="1">
      <c r="B9" s="120"/>
      <c r="C9" s="120"/>
      <c r="D9" s="120"/>
      <c r="E9" s="120"/>
      <c r="F9" s="120"/>
      <c r="G9" s="120"/>
      <c r="H9" s="82"/>
      <c r="I9" s="82"/>
      <c r="J9" s="120"/>
      <c r="K9" s="120"/>
      <c r="L9" s="120"/>
      <c r="M9" s="120"/>
      <c r="N9" s="120"/>
      <c r="O9" s="120"/>
      <c r="P9" s="82"/>
      <c r="Q9" s="82"/>
      <c r="R9" s="120"/>
      <c r="S9" s="120"/>
      <c r="T9" s="120"/>
      <c r="U9" s="120"/>
      <c r="V9" s="120"/>
      <c r="W9" s="120"/>
      <c r="X9" s="82"/>
      <c r="Y9" s="82"/>
      <c r="Z9" s="120"/>
      <c r="AA9" s="120"/>
      <c r="AB9" s="120"/>
      <c r="AC9" s="120"/>
      <c r="AD9" s="120"/>
      <c r="AE9" s="120"/>
      <c r="AF9" s="82"/>
      <c r="AG9" s="82"/>
      <c r="AH9" s="120"/>
      <c r="AI9" s="120"/>
      <c r="AJ9" s="120"/>
      <c r="AK9" s="120"/>
      <c r="AL9" s="120"/>
      <c r="AM9" s="120"/>
      <c r="AN9" s="82"/>
      <c r="AO9" s="82"/>
      <c r="AP9" s="120"/>
      <c r="AQ9" s="120"/>
      <c r="AR9" s="120"/>
      <c r="AS9" s="120"/>
      <c r="AT9" s="120"/>
      <c r="AU9" s="120"/>
      <c r="AV9" s="82"/>
      <c r="AW9" s="82"/>
      <c r="AX9" s="120"/>
      <c r="AY9" s="120"/>
      <c r="AZ9" s="120"/>
      <c r="BA9" s="120"/>
      <c r="BB9" s="120"/>
      <c r="BC9" s="120"/>
      <c r="BD9" s="82"/>
      <c r="BE9" s="82"/>
      <c r="BF9" s="120"/>
      <c r="BG9" s="120"/>
      <c r="BH9" s="120"/>
      <c r="BI9" s="120"/>
      <c r="BJ9" s="120"/>
      <c r="BK9" s="120"/>
      <c r="BL9" s="82"/>
      <c r="BM9" s="82"/>
      <c r="BN9" s="120"/>
      <c r="BO9" s="120"/>
      <c r="BP9" s="120"/>
      <c r="BQ9" s="120"/>
      <c r="BR9" s="120"/>
      <c r="BS9" s="120"/>
      <c r="BT9" s="82"/>
      <c r="BU9" s="82"/>
      <c r="BV9" s="120"/>
      <c r="BW9" s="120"/>
      <c r="BX9" s="120"/>
      <c r="BY9" s="120"/>
      <c r="BZ9" s="120"/>
      <c r="CA9" s="120"/>
      <c r="CB9" s="82"/>
      <c r="CC9" s="82"/>
      <c r="CD9" s="120"/>
      <c r="CE9" s="120"/>
      <c r="CF9" s="120"/>
      <c r="CG9" s="120"/>
      <c r="CH9" s="120"/>
      <c r="CI9" s="120"/>
      <c r="CJ9" s="82"/>
      <c r="CK9" s="82"/>
      <c r="CL9" s="120"/>
      <c r="CM9" s="120"/>
      <c r="CN9" s="120"/>
      <c r="CO9" s="120"/>
      <c r="CP9" s="120"/>
      <c r="CQ9" s="120"/>
      <c r="CR9" s="82"/>
      <c r="CS9" s="82"/>
      <c r="CT9" s="120"/>
      <c r="CU9" s="120"/>
      <c r="CV9" s="120"/>
      <c r="CW9" s="120"/>
      <c r="CX9" s="120"/>
      <c r="CY9" s="120"/>
      <c r="CZ9" s="82"/>
      <c r="DA9" s="82"/>
      <c r="DB9" s="120"/>
      <c r="DC9" s="120"/>
      <c r="DD9" s="120"/>
      <c r="DE9" s="120"/>
      <c r="DF9" s="120"/>
      <c r="DG9" s="120"/>
      <c r="DH9" s="82"/>
      <c r="DI9" s="82"/>
    </row>
    <row r="10" spans="2:113" s="76" customFormat="1" ht="21">
      <c r="B10" s="502" t="str">
        <f>intervencao1</f>
        <v>PET-CT</v>
      </c>
      <c r="C10" s="502"/>
      <c r="D10" s="502"/>
      <c r="E10" s="502"/>
      <c r="F10" s="502"/>
      <c r="G10" s="502"/>
      <c r="H10" s="502"/>
      <c r="I10" s="77"/>
      <c r="J10" s="502">
        <f>intervencao2</f>
        <v>0</v>
      </c>
      <c r="K10" s="502"/>
      <c r="L10" s="502"/>
      <c r="M10" s="502"/>
      <c r="N10" s="502"/>
      <c r="O10" s="502"/>
      <c r="P10" s="502"/>
      <c r="Q10" s="77"/>
      <c r="R10" s="502">
        <f>intervencao3</f>
        <v>0</v>
      </c>
      <c r="S10" s="502"/>
      <c r="T10" s="502"/>
      <c r="U10" s="502"/>
      <c r="V10" s="502"/>
      <c r="W10" s="502"/>
      <c r="X10" s="502"/>
      <c r="Y10" s="77"/>
      <c r="Z10" s="502">
        <f>intervencao4</f>
        <v>0</v>
      </c>
      <c r="AA10" s="502"/>
      <c r="AB10" s="502"/>
      <c r="AC10" s="502"/>
      <c r="AD10" s="502"/>
      <c r="AE10" s="502"/>
      <c r="AF10" s="502"/>
      <c r="AG10" s="77"/>
      <c r="AH10" s="502" t="str">
        <f>comparador1</f>
        <v>CT scan + scintigraphy</v>
      </c>
      <c r="AI10" s="502"/>
      <c r="AJ10" s="502"/>
      <c r="AK10" s="502"/>
      <c r="AL10" s="502"/>
      <c r="AM10" s="502"/>
      <c r="AN10" s="502"/>
      <c r="AO10" s="77"/>
      <c r="AP10" s="502">
        <f>comparador2</f>
        <v>0</v>
      </c>
      <c r="AQ10" s="502"/>
      <c r="AR10" s="502"/>
      <c r="AS10" s="502"/>
      <c r="AT10" s="502"/>
      <c r="AU10" s="502"/>
      <c r="AV10" s="502"/>
      <c r="AW10" s="77"/>
      <c r="AX10" s="502">
        <f>comparador3</f>
        <v>0</v>
      </c>
      <c r="AY10" s="502"/>
      <c r="AZ10" s="502"/>
      <c r="BA10" s="502"/>
      <c r="BB10" s="502"/>
      <c r="BC10" s="502"/>
      <c r="BD10" s="502"/>
      <c r="BE10" s="77"/>
      <c r="BF10" s="502">
        <f>comparador4</f>
        <v>0</v>
      </c>
      <c r="BG10" s="502"/>
      <c r="BH10" s="502"/>
      <c r="BI10" s="502"/>
      <c r="BJ10" s="502"/>
      <c r="BK10" s="502"/>
      <c r="BL10" s="502"/>
      <c r="BM10" s="77"/>
      <c r="BN10" s="502">
        <f>comparador5</f>
        <v>0</v>
      </c>
      <c r="BO10" s="502"/>
      <c r="BP10" s="502"/>
      <c r="BQ10" s="502"/>
      <c r="BR10" s="502"/>
      <c r="BS10" s="502"/>
      <c r="BT10" s="502"/>
      <c r="BU10" s="77"/>
      <c r="BV10" s="502">
        <f>comparador6</f>
        <v>0</v>
      </c>
      <c r="BW10" s="502"/>
      <c r="BX10" s="502"/>
      <c r="BY10" s="502"/>
      <c r="BZ10" s="502"/>
      <c r="CA10" s="502"/>
      <c r="CB10" s="502"/>
      <c r="CC10" s="77"/>
      <c r="CD10" s="502">
        <f>comparador7</f>
        <v>0</v>
      </c>
      <c r="CE10" s="502"/>
      <c r="CF10" s="502"/>
      <c r="CG10" s="502"/>
      <c r="CH10" s="502"/>
      <c r="CI10" s="502"/>
      <c r="CJ10" s="502"/>
      <c r="CK10" s="77"/>
      <c r="CL10" s="502">
        <f>comparador8</f>
        <v>0</v>
      </c>
      <c r="CM10" s="502"/>
      <c r="CN10" s="502"/>
      <c r="CO10" s="502"/>
      <c r="CP10" s="502"/>
      <c r="CQ10" s="502"/>
      <c r="CR10" s="502"/>
      <c r="CS10" s="77"/>
      <c r="CT10" s="502">
        <f>comparador9</f>
        <v>0</v>
      </c>
      <c r="CU10" s="502"/>
      <c r="CV10" s="502"/>
      <c r="CW10" s="502"/>
      <c r="CX10" s="502"/>
      <c r="CY10" s="502"/>
      <c r="CZ10" s="502"/>
      <c r="DA10" s="77"/>
      <c r="DB10" s="502">
        <f>comparador10</f>
        <v>0</v>
      </c>
      <c r="DC10" s="502"/>
      <c r="DD10" s="502"/>
      <c r="DE10" s="502"/>
      <c r="DF10" s="502"/>
      <c r="DG10" s="502"/>
      <c r="DH10" s="502"/>
      <c r="DI10" s="77"/>
    </row>
    <row r="11" spans="2:113" ht="18">
      <c r="B11" s="503" t="s">
        <v>180</v>
      </c>
      <c r="C11" s="503"/>
      <c r="D11" s="503"/>
      <c r="E11" s="503"/>
      <c r="F11" s="503"/>
      <c r="G11" s="503"/>
      <c r="H11" s="71"/>
      <c r="I11" s="71"/>
      <c r="J11" s="503" t="s">
        <v>180</v>
      </c>
      <c r="K11" s="503"/>
      <c r="L11" s="503"/>
      <c r="M11" s="503"/>
      <c r="N11" s="503"/>
      <c r="O11" s="503"/>
      <c r="P11" s="71"/>
      <c r="Q11" s="71"/>
      <c r="R11" s="503" t="s">
        <v>180</v>
      </c>
      <c r="S11" s="503"/>
      <c r="T11" s="503"/>
      <c r="U11" s="503"/>
      <c r="V11" s="503"/>
      <c r="W11" s="503"/>
      <c r="X11" s="71"/>
      <c r="Y11" s="71"/>
      <c r="Z11" s="503" t="s">
        <v>180</v>
      </c>
      <c r="AA11" s="503"/>
      <c r="AB11" s="503"/>
      <c r="AC11" s="503"/>
      <c r="AD11" s="503"/>
      <c r="AE11" s="503"/>
      <c r="AF11" s="71"/>
      <c r="AG11" s="71"/>
      <c r="AH11" s="503" t="s">
        <v>180</v>
      </c>
      <c r="AI11" s="503"/>
      <c r="AJ11" s="503"/>
      <c r="AK11" s="503"/>
      <c r="AL11" s="503"/>
      <c r="AM11" s="503"/>
      <c r="AN11" s="71"/>
      <c r="AO11" s="71"/>
      <c r="AP11" s="503" t="s">
        <v>180</v>
      </c>
      <c r="AQ11" s="503"/>
      <c r="AR11" s="503"/>
      <c r="AS11" s="503"/>
      <c r="AT11" s="503"/>
      <c r="AU11" s="503"/>
      <c r="AV11" s="71"/>
      <c r="AW11" s="71"/>
      <c r="AX11" s="503" t="s">
        <v>180</v>
      </c>
      <c r="AY11" s="503"/>
      <c r="AZ11" s="503"/>
      <c r="BA11" s="503"/>
      <c r="BB11" s="503"/>
      <c r="BC11" s="503"/>
      <c r="BD11" s="71"/>
      <c r="BE11" s="71"/>
      <c r="BF11" s="503" t="s">
        <v>180</v>
      </c>
      <c r="BG11" s="503"/>
      <c r="BH11" s="503"/>
      <c r="BI11" s="503"/>
      <c r="BJ11" s="503"/>
      <c r="BK11" s="503"/>
      <c r="BL11" s="71"/>
      <c r="BM11" s="71"/>
      <c r="BN11" s="503" t="s">
        <v>180</v>
      </c>
      <c r="BO11" s="503"/>
      <c r="BP11" s="503"/>
      <c r="BQ11" s="503"/>
      <c r="BR11" s="503"/>
      <c r="BS11" s="503"/>
      <c r="BT11" s="71"/>
      <c r="BU11" s="71"/>
      <c r="BV11" s="503" t="s">
        <v>180</v>
      </c>
      <c r="BW11" s="503"/>
      <c r="BX11" s="503"/>
      <c r="BY11" s="503"/>
      <c r="BZ11" s="503"/>
      <c r="CA11" s="503"/>
      <c r="CB11" s="71"/>
      <c r="CC11" s="71"/>
      <c r="CD11" s="503" t="s">
        <v>180</v>
      </c>
      <c r="CE11" s="503"/>
      <c r="CF11" s="503"/>
      <c r="CG11" s="503"/>
      <c r="CH11" s="503"/>
      <c r="CI11" s="503"/>
      <c r="CJ11" s="71"/>
      <c r="CK11" s="71"/>
      <c r="CL11" s="503" t="s">
        <v>180</v>
      </c>
      <c r="CM11" s="503"/>
      <c r="CN11" s="503"/>
      <c r="CO11" s="503"/>
      <c r="CP11" s="503"/>
      <c r="CQ11" s="503"/>
      <c r="CR11" s="71"/>
      <c r="CS11" s="71"/>
      <c r="CT11" s="503" t="s">
        <v>180</v>
      </c>
      <c r="CU11" s="503"/>
      <c r="CV11" s="503"/>
      <c r="CW11" s="503"/>
      <c r="CX11" s="503"/>
      <c r="CY11" s="503"/>
      <c r="CZ11" s="71"/>
      <c r="DA11" s="71"/>
      <c r="DB11" s="503" t="s">
        <v>180</v>
      </c>
      <c r="DC11" s="503"/>
      <c r="DD11" s="503"/>
      <c r="DE11" s="503"/>
      <c r="DF11" s="503"/>
      <c r="DG11" s="503"/>
      <c r="DH11" s="71"/>
      <c r="DI11" s="71"/>
    </row>
    <row r="12" spans="2:113" ht="15" thickBot="1">
      <c r="B12" s="83"/>
      <c r="C12" s="83"/>
      <c r="D12" s="83"/>
      <c r="E12" s="83"/>
      <c r="F12" s="83"/>
      <c r="G12" s="83"/>
      <c r="J12" s="83"/>
      <c r="K12" s="83"/>
      <c r="L12" s="83"/>
      <c r="M12" s="83"/>
      <c r="N12" s="83"/>
      <c r="O12" s="83"/>
      <c r="R12" s="83"/>
      <c r="S12" s="83"/>
      <c r="T12" s="83"/>
      <c r="U12" s="83"/>
      <c r="V12" s="83"/>
      <c r="W12" s="83"/>
      <c r="Z12" s="83"/>
      <c r="AA12" s="83"/>
      <c r="AB12" s="83"/>
      <c r="AC12" s="83"/>
      <c r="AD12" s="83"/>
      <c r="AE12" s="83"/>
      <c r="AH12" s="83"/>
      <c r="AI12" s="83"/>
      <c r="AJ12" s="83"/>
      <c r="AK12" s="83"/>
      <c r="AL12" s="83"/>
      <c r="AM12" s="83"/>
      <c r="AP12" s="83"/>
      <c r="AQ12" s="83"/>
      <c r="AR12" s="83"/>
      <c r="AS12" s="83"/>
      <c r="AT12" s="83"/>
      <c r="AU12" s="83"/>
      <c r="AX12" s="83"/>
      <c r="AY12" s="83"/>
      <c r="AZ12" s="83"/>
      <c r="BA12" s="83"/>
      <c r="BB12" s="83"/>
      <c r="BC12" s="83"/>
      <c r="BF12" s="83"/>
      <c r="BG12" s="83"/>
      <c r="BH12" s="83"/>
      <c r="BI12" s="83"/>
      <c r="BJ12" s="83"/>
      <c r="BK12" s="83"/>
      <c r="BN12" s="83"/>
      <c r="BO12" s="83"/>
      <c r="BP12" s="83"/>
      <c r="BQ12" s="83"/>
      <c r="BR12" s="83"/>
      <c r="BS12" s="83"/>
      <c r="BV12" s="83"/>
      <c r="BW12" s="83"/>
      <c r="BX12" s="83"/>
      <c r="BY12" s="83"/>
      <c r="BZ12" s="83"/>
      <c r="CA12" s="83"/>
      <c r="CD12" s="83"/>
      <c r="CE12" s="83"/>
      <c r="CF12" s="83"/>
      <c r="CG12" s="83"/>
      <c r="CH12" s="83"/>
      <c r="CI12" s="83"/>
      <c r="CL12" s="83"/>
      <c r="CM12" s="83"/>
      <c r="CN12" s="83"/>
      <c r="CO12" s="83"/>
      <c r="CP12" s="83"/>
      <c r="CQ12" s="83"/>
      <c r="CT12" s="83"/>
      <c r="CU12" s="83"/>
      <c r="CV12" s="83"/>
      <c r="CW12" s="83"/>
      <c r="CX12" s="83"/>
      <c r="CY12" s="83"/>
      <c r="DB12" s="83"/>
      <c r="DC12" s="83"/>
      <c r="DD12" s="83"/>
      <c r="DE12" s="83"/>
      <c r="DF12" s="83"/>
      <c r="DG12" s="83"/>
    </row>
    <row r="13" spans="2:113" ht="15" thickBot="1">
      <c r="B13" s="504" t="str">
        <f>cen_atual</f>
        <v>Without PET-CT</v>
      </c>
      <c r="C13" s="505"/>
      <c r="D13" s="505"/>
      <c r="E13" s="505"/>
      <c r="F13" s="505"/>
      <c r="G13" s="506"/>
      <c r="J13" s="504" t="str">
        <f>cen_atual</f>
        <v>Without PET-CT</v>
      </c>
      <c r="K13" s="505"/>
      <c r="L13" s="505"/>
      <c r="M13" s="505"/>
      <c r="N13" s="505"/>
      <c r="O13" s="506"/>
      <c r="R13" s="504" t="str">
        <f>cen_atual</f>
        <v>Without PET-CT</v>
      </c>
      <c r="S13" s="505"/>
      <c r="T13" s="505"/>
      <c r="U13" s="505"/>
      <c r="V13" s="505"/>
      <c r="W13" s="506"/>
      <c r="Z13" s="504" t="str">
        <f>cen_atual</f>
        <v>Without PET-CT</v>
      </c>
      <c r="AA13" s="505"/>
      <c r="AB13" s="505"/>
      <c r="AC13" s="505"/>
      <c r="AD13" s="505"/>
      <c r="AE13" s="506"/>
      <c r="AH13" s="504" t="str">
        <f>cen_atual</f>
        <v>Without PET-CT</v>
      </c>
      <c r="AI13" s="505"/>
      <c r="AJ13" s="505"/>
      <c r="AK13" s="505"/>
      <c r="AL13" s="505"/>
      <c r="AM13" s="506"/>
      <c r="AP13" s="504" t="str">
        <f>cen_atual</f>
        <v>Without PET-CT</v>
      </c>
      <c r="AQ13" s="505"/>
      <c r="AR13" s="505"/>
      <c r="AS13" s="505"/>
      <c r="AT13" s="505"/>
      <c r="AU13" s="506"/>
      <c r="AX13" s="504" t="str">
        <f>cen_atual</f>
        <v>Without PET-CT</v>
      </c>
      <c r="AY13" s="505"/>
      <c r="AZ13" s="505"/>
      <c r="BA13" s="505"/>
      <c r="BB13" s="505"/>
      <c r="BC13" s="506"/>
      <c r="BF13" s="504" t="str">
        <f>cen_atual</f>
        <v>Without PET-CT</v>
      </c>
      <c r="BG13" s="505"/>
      <c r="BH13" s="505"/>
      <c r="BI13" s="505"/>
      <c r="BJ13" s="505"/>
      <c r="BK13" s="506"/>
      <c r="BN13" s="504" t="str">
        <f>cen_atual</f>
        <v>Without PET-CT</v>
      </c>
      <c r="BO13" s="505"/>
      <c r="BP13" s="505"/>
      <c r="BQ13" s="505"/>
      <c r="BR13" s="505"/>
      <c r="BS13" s="506"/>
      <c r="BV13" s="504" t="str">
        <f>cen_atual</f>
        <v>Without PET-CT</v>
      </c>
      <c r="BW13" s="505"/>
      <c r="BX13" s="505"/>
      <c r="BY13" s="505"/>
      <c r="BZ13" s="505"/>
      <c r="CA13" s="506"/>
      <c r="CD13" s="504" t="str">
        <f>cen_atual</f>
        <v>Without PET-CT</v>
      </c>
      <c r="CE13" s="505"/>
      <c r="CF13" s="505"/>
      <c r="CG13" s="505"/>
      <c r="CH13" s="505"/>
      <c r="CI13" s="506"/>
      <c r="CL13" s="504" t="str">
        <f>cen_atual</f>
        <v>Without PET-CT</v>
      </c>
      <c r="CM13" s="505"/>
      <c r="CN13" s="505"/>
      <c r="CO13" s="505"/>
      <c r="CP13" s="505"/>
      <c r="CQ13" s="506"/>
      <c r="CT13" s="504" t="str">
        <f>cen_atual</f>
        <v>Without PET-CT</v>
      </c>
      <c r="CU13" s="505"/>
      <c r="CV13" s="505"/>
      <c r="CW13" s="505"/>
      <c r="CX13" s="505"/>
      <c r="CY13" s="506"/>
      <c r="DB13" s="504" t="str">
        <f>cen_atual</f>
        <v>Without PET-CT</v>
      </c>
      <c r="DC13" s="505"/>
      <c r="DD13" s="505"/>
      <c r="DE13" s="505"/>
      <c r="DF13" s="505"/>
      <c r="DG13" s="506"/>
    </row>
    <row r="14" spans="2:113">
      <c r="B14" s="84"/>
      <c r="C14" s="101">
        <f>ano_1</f>
        <v>2024</v>
      </c>
      <c r="D14" s="101">
        <f>C14+1</f>
        <v>2025</v>
      </c>
      <c r="E14" s="101">
        <f t="shared" ref="E14:G14" si="14">D14+1</f>
        <v>2026</v>
      </c>
      <c r="F14" s="101">
        <f t="shared" si="14"/>
        <v>2027</v>
      </c>
      <c r="G14" s="102">
        <f t="shared" si="14"/>
        <v>2028</v>
      </c>
      <c r="J14" s="84"/>
      <c r="K14" s="101">
        <f>ano_1</f>
        <v>2024</v>
      </c>
      <c r="L14" s="101">
        <f>K14+1</f>
        <v>2025</v>
      </c>
      <c r="M14" s="101">
        <f t="shared" ref="M14:O14" si="15">L14+1</f>
        <v>2026</v>
      </c>
      <c r="N14" s="101">
        <f t="shared" si="15"/>
        <v>2027</v>
      </c>
      <c r="O14" s="102">
        <f t="shared" si="15"/>
        <v>2028</v>
      </c>
      <c r="R14" s="84"/>
      <c r="S14" s="101">
        <f>ano_1</f>
        <v>2024</v>
      </c>
      <c r="T14" s="101">
        <f>S14+1</f>
        <v>2025</v>
      </c>
      <c r="U14" s="101">
        <f t="shared" ref="U14:W14" si="16">T14+1</f>
        <v>2026</v>
      </c>
      <c r="V14" s="101">
        <f t="shared" si="16"/>
        <v>2027</v>
      </c>
      <c r="W14" s="102">
        <f t="shared" si="16"/>
        <v>2028</v>
      </c>
      <c r="Z14" s="84"/>
      <c r="AA14" s="101">
        <f>ano_1</f>
        <v>2024</v>
      </c>
      <c r="AB14" s="101">
        <f>AA14+1</f>
        <v>2025</v>
      </c>
      <c r="AC14" s="101">
        <f t="shared" ref="AC14:AE14" si="17">AB14+1</f>
        <v>2026</v>
      </c>
      <c r="AD14" s="101">
        <f t="shared" si="17"/>
        <v>2027</v>
      </c>
      <c r="AE14" s="102">
        <f t="shared" si="17"/>
        <v>2028</v>
      </c>
      <c r="AH14" s="84"/>
      <c r="AI14" s="101">
        <f>ano_1</f>
        <v>2024</v>
      </c>
      <c r="AJ14" s="101">
        <f>AI14+1</f>
        <v>2025</v>
      </c>
      <c r="AK14" s="101">
        <f t="shared" ref="AK14:AM14" si="18">AJ14+1</f>
        <v>2026</v>
      </c>
      <c r="AL14" s="101">
        <f t="shared" si="18"/>
        <v>2027</v>
      </c>
      <c r="AM14" s="102">
        <f t="shared" si="18"/>
        <v>2028</v>
      </c>
      <c r="AP14" s="84"/>
      <c r="AQ14" s="101">
        <f>ano_1</f>
        <v>2024</v>
      </c>
      <c r="AR14" s="101">
        <f>AQ14+1</f>
        <v>2025</v>
      </c>
      <c r="AS14" s="101">
        <f t="shared" ref="AS14:AU14" si="19">AR14+1</f>
        <v>2026</v>
      </c>
      <c r="AT14" s="101">
        <f t="shared" si="19"/>
        <v>2027</v>
      </c>
      <c r="AU14" s="102">
        <f t="shared" si="19"/>
        <v>2028</v>
      </c>
      <c r="AX14" s="84"/>
      <c r="AY14" s="101">
        <f>ano_1</f>
        <v>2024</v>
      </c>
      <c r="AZ14" s="101">
        <f>AY14+1</f>
        <v>2025</v>
      </c>
      <c r="BA14" s="101">
        <f t="shared" ref="BA14:BC14" si="20">AZ14+1</f>
        <v>2026</v>
      </c>
      <c r="BB14" s="101">
        <f t="shared" si="20"/>
        <v>2027</v>
      </c>
      <c r="BC14" s="102">
        <f t="shared" si="20"/>
        <v>2028</v>
      </c>
      <c r="BF14" s="84"/>
      <c r="BG14" s="101">
        <f>ano_1</f>
        <v>2024</v>
      </c>
      <c r="BH14" s="101">
        <f>BG14+1</f>
        <v>2025</v>
      </c>
      <c r="BI14" s="101">
        <f t="shared" ref="BI14:BK14" si="21">BH14+1</f>
        <v>2026</v>
      </c>
      <c r="BJ14" s="101">
        <f t="shared" si="21"/>
        <v>2027</v>
      </c>
      <c r="BK14" s="102">
        <f t="shared" si="21"/>
        <v>2028</v>
      </c>
      <c r="BN14" s="84"/>
      <c r="BO14" s="101">
        <f>ano_1</f>
        <v>2024</v>
      </c>
      <c r="BP14" s="101">
        <f>BO14+1</f>
        <v>2025</v>
      </c>
      <c r="BQ14" s="101">
        <f t="shared" ref="BQ14:BS14" si="22">BP14+1</f>
        <v>2026</v>
      </c>
      <c r="BR14" s="101">
        <f t="shared" si="22"/>
        <v>2027</v>
      </c>
      <c r="BS14" s="102">
        <f t="shared" si="22"/>
        <v>2028</v>
      </c>
      <c r="BV14" s="84"/>
      <c r="BW14" s="101">
        <f>ano_1</f>
        <v>2024</v>
      </c>
      <c r="BX14" s="101">
        <f>BW14+1</f>
        <v>2025</v>
      </c>
      <c r="BY14" s="101">
        <f t="shared" ref="BY14:CA14" si="23">BX14+1</f>
        <v>2026</v>
      </c>
      <c r="BZ14" s="101">
        <f t="shared" si="23"/>
        <v>2027</v>
      </c>
      <c r="CA14" s="102">
        <f t="shared" si="23"/>
        <v>2028</v>
      </c>
      <c r="CD14" s="84"/>
      <c r="CE14" s="101">
        <f>ano_1</f>
        <v>2024</v>
      </c>
      <c r="CF14" s="101">
        <f>CE14+1</f>
        <v>2025</v>
      </c>
      <c r="CG14" s="101">
        <f t="shared" ref="CG14:CI14" si="24">CF14+1</f>
        <v>2026</v>
      </c>
      <c r="CH14" s="101">
        <f t="shared" si="24"/>
        <v>2027</v>
      </c>
      <c r="CI14" s="102">
        <f t="shared" si="24"/>
        <v>2028</v>
      </c>
      <c r="CL14" s="84"/>
      <c r="CM14" s="101">
        <f>ano_1</f>
        <v>2024</v>
      </c>
      <c r="CN14" s="101">
        <f>CM14+1</f>
        <v>2025</v>
      </c>
      <c r="CO14" s="101">
        <f t="shared" ref="CO14:CQ14" si="25">CN14+1</f>
        <v>2026</v>
      </c>
      <c r="CP14" s="101">
        <f t="shared" si="25"/>
        <v>2027</v>
      </c>
      <c r="CQ14" s="102">
        <f t="shared" si="25"/>
        <v>2028</v>
      </c>
      <c r="CT14" s="84"/>
      <c r="CU14" s="101">
        <f>ano_1</f>
        <v>2024</v>
      </c>
      <c r="CV14" s="101">
        <f>CU14+1</f>
        <v>2025</v>
      </c>
      <c r="CW14" s="101">
        <f t="shared" ref="CW14:CY14" si="26">CV14+1</f>
        <v>2026</v>
      </c>
      <c r="CX14" s="101">
        <f t="shared" si="26"/>
        <v>2027</v>
      </c>
      <c r="CY14" s="102">
        <f t="shared" si="26"/>
        <v>2028</v>
      </c>
      <c r="DB14" s="84"/>
      <c r="DC14" s="101">
        <f>ano_1</f>
        <v>2024</v>
      </c>
      <c r="DD14" s="101">
        <f>DC14+1</f>
        <v>2025</v>
      </c>
      <c r="DE14" s="101">
        <f t="shared" ref="DE14:DG14" si="27">DD14+1</f>
        <v>2026</v>
      </c>
      <c r="DF14" s="101">
        <f t="shared" si="27"/>
        <v>2027</v>
      </c>
      <c r="DG14" s="102">
        <f t="shared" si="27"/>
        <v>2028</v>
      </c>
    </row>
    <row r="15" spans="2:113" ht="15" thickBot="1">
      <c r="B15" s="386" t="s">
        <v>335</v>
      </c>
      <c r="C15" s="315">
        <f>C$7*'Mkt share'!$C22</f>
        <v>0</v>
      </c>
      <c r="D15" s="315">
        <f>D$7*'Mkt share'!$C22</f>
        <v>0</v>
      </c>
      <c r="E15" s="315">
        <f>E$7*'Mkt share'!$C22</f>
        <v>0</v>
      </c>
      <c r="F15" s="315">
        <f>F$7*'Mkt share'!$C22</f>
        <v>0</v>
      </c>
      <c r="G15" s="387">
        <f>G$7*'Mkt share'!$C22</f>
        <v>0</v>
      </c>
      <c r="J15" s="386" t="str">
        <f>B15</f>
        <v>Cohort on treat.</v>
      </c>
      <c r="K15" s="315">
        <f>K$7*'Mkt share'!C23</f>
        <v>0</v>
      </c>
      <c r="L15" s="315">
        <f>L$7*'Mkt share'!D23</f>
        <v>0</v>
      </c>
      <c r="M15" s="315">
        <f>M$7*'Mkt share'!E23</f>
        <v>0</v>
      </c>
      <c r="N15" s="315">
        <f>N$7*'Mkt share'!F23</f>
        <v>0</v>
      </c>
      <c r="O15" s="387">
        <f>O$7*'Mkt share'!G23</f>
        <v>0</v>
      </c>
      <c r="R15" s="386" t="str">
        <f>B15</f>
        <v>Cohort on treat.</v>
      </c>
      <c r="S15" s="315">
        <f>S$7*'Mkt share'!C24</f>
        <v>0</v>
      </c>
      <c r="T15" s="315">
        <f>T$7*'Mkt share'!D24</f>
        <v>0</v>
      </c>
      <c r="U15" s="315">
        <f>U$7*'Mkt share'!E24</f>
        <v>0</v>
      </c>
      <c r="V15" s="315">
        <f>V$7*'Mkt share'!F24</f>
        <v>0</v>
      </c>
      <c r="W15" s="387">
        <f>W$7*'Mkt share'!G24</f>
        <v>0</v>
      </c>
      <c r="Z15" s="386" t="str">
        <f>J15</f>
        <v>Cohort on treat.</v>
      </c>
      <c r="AA15" s="315">
        <f>AA$7*'Mkt share'!C25</f>
        <v>0</v>
      </c>
      <c r="AB15" s="315">
        <f>AB$7*'Mkt share'!D25</f>
        <v>0</v>
      </c>
      <c r="AC15" s="315">
        <f>AC$7*'Mkt share'!E25</f>
        <v>0</v>
      </c>
      <c r="AD15" s="315">
        <f>AD$7*'Mkt share'!F25</f>
        <v>0</v>
      </c>
      <c r="AE15" s="387">
        <f>AE$7*'Mkt share'!G25</f>
        <v>0</v>
      </c>
      <c r="AH15" s="386" t="str">
        <f>R15</f>
        <v>Cohort on treat.</v>
      </c>
      <c r="AI15" s="315">
        <f>AI$7*'Mkt share'!C26</f>
        <v>4950.1446658799996</v>
      </c>
      <c r="AJ15" s="315">
        <f>AJ$7*'Mkt share'!D26</f>
        <v>4980.7215748199997</v>
      </c>
      <c r="AK15" s="315">
        <f>AK$7*'Mkt share'!E26</f>
        <v>5009.9978922</v>
      </c>
      <c r="AL15" s="315">
        <f>AL$7*'Mkt share'!F26</f>
        <v>5037.9386211600004</v>
      </c>
      <c r="AM15" s="387">
        <f>AM$7*'Mkt share'!G26</f>
        <v>5064.5088330599992</v>
      </c>
      <c r="AP15" s="386" t="s">
        <v>335</v>
      </c>
      <c r="AQ15" s="315">
        <f>AQ$7*'Mkt share'!C27</f>
        <v>0</v>
      </c>
      <c r="AR15" s="315">
        <f>AR$7*'Mkt share'!D27</f>
        <v>0</v>
      </c>
      <c r="AS15" s="315">
        <f>AS$7*'Mkt share'!E27</f>
        <v>0</v>
      </c>
      <c r="AT15" s="315">
        <f>AT$7*'Mkt share'!F27</f>
        <v>0</v>
      </c>
      <c r="AU15" s="387">
        <f>AU$7*'Mkt share'!G27</f>
        <v>0</v>
      </c>
      <c r="AX15" s="386" t="s">
        <v>335</v>
      </c>
      <c r="AY15" s="315">
        <f>AY$7*'Mkt share'!C28</f>
        <v>0</v>
      </c>
      <c r="AZ15" s="315">
        <f>AZ$7*'Mkt share'!D28</f>
        <v>0</v>
      </c>
      <c r="BA15" s="315">
        <f>BA$7*'Mkt share'!E28</f>
        <v>0</v>
      </c>
      <c r="BB15" s="315">
        <f>BB$7*'Mkt share'!F28</f>
        <v>0</v>
      </c>
      <c r="BC15" s="387">
        <f>BC$7*'Mkt share'!G28</f>
        <v>0</v>
      </c>
      <c r="BF15" s="386" t="s">
        <v>335</v>
      </c>
      <c r="BG15" s="315">
        <f>BG$7*'Mkt share'!C29</f>
        <v>0</v>
      </c>
      <c r="BH15" s="315">
        <f>BH$7*'Mkt share'!D29</f>
        <v>0</v>
      </c>
      <c r="BI15" s="315">
        <f>BI$7*'Mkt share'!E29</f>
        <v>0</v>
      </c>
      <c r="BJ15" s="315">
        <f>BJ$7*'Mkt share'!F29</f>
        <v>0</v>
      </c>
      <c r="BK15" s="387">
        <f>BK$7*'Mkt share'!G29</f>
        <v>0</v>
      </c>
      <c r="BN15" s="386" t="s">
        <v>335</v>
      </c>
      <c r="BO15" s="315">
        <f>BO$7*'Mkt share'!C30</f>
        <v>0</v>
      </c>
      <c r="BP15" s="315">
        <f>BP$7*'Mkt share'!D30</f>
        <v>0</v>
      </c>
      <c r="BQ15" s="315">
        <f>BQ$7*'Mkt share'!E30</f>
        <v>0</v>
      </c>
      <c r="BR15" s="315">
        <f>BR$7*'Mkt share'!F30</f>
        <v>0</v>
      </c>
      <c r="BS15" s="387">
        <f>BS$7*'Mkt share'!G30</f>
        <v>0</v>
      </c>
      <c r="BV15" s="386" t="s">
        <v>335</v>
      </c>
      <c r="BW15" s="315">
        <f>BW$7*'Mkt share'!C31</f>
        <v>0</v>
      </c>
      <c r="BX15" s="315">
        <f>BX$7*'Mkt share'!D31</f>
        <v>0</v>
      </c>
      <c r="BY15" s="315">
        <f>BY$7*'Mkt share'!E31</f>
        <v>0</v>
      </c>
      <c r="BZ15" s="315">
        <f>BZ$7*'Mkt share'!F31</f>
        <v>0</v>
      </c>
      <c r="CA15" s="387">
        <f>CA$7*'Mkt share'!G31</f>
        <v>0</v>
      </c>
      <c r="CD15" s="386" t="s">
        <v>335</v>
      </c>
      <c r="CE15" s="315">
        <f>CE$7*'Mkt share'!C32</f>
        <v>0</v>
      </c>
      <c r="CF15" s="315">
        <f>CF$7*'Mkt share'!D32</f>
        <v>0</v>
      </c>
      <c r="CG15" s="315">
        <f>CG$7*'Mkt share'!E32</f>
        <v>0</v>
      </c>
      <c r="CH15" s="315">
        <f>CH$7*'Mkt share'!F32</f>
        <v>0</v>
      </c>
      <c r="CI15" s="387">
        <f>CI$7*'Mkt share'!G32</f>
        <v>0</v>
      </c>
      <c r="CL15" s="386" t="s">
        <v>335</v>
      </c>
      <c r="CM15" s="315">
        <f>CM$7*'Mkt share'!C33</f>
        <v>0</v>
      </c>
      <c r="CN15" s="315">
        <f>CN$7*'Mkt share'!D33</f>
        <v>0</v>
      </c>
      <c r="CO15" s="315">
        <f>CO$7*'Mkt share'!E33</f>
        <v>0</v>
      </c>
      <c r="CP15" s="315">
        <f>CP$7*'Mkt share'!F33</f>
        <v>0</v>
      </c>
      <c r="CQ15" s="387">
        <f>CQ$7*'Mkt share'!G33</f>
        <v>0</v>
      </c>
      <c r="CT15" s="386" t="s">
        <v>335</v>
      </c>
      <c r="CU15" s="315">
        <f>CU$7*'Mkt share'!C34</f>
        <v>0</v>
      </c>
      <c r="CV15" s="315">
        <f>CV$7*'Mkt share'!D34</f>
        <v>0</v>
      </c>
      <c r="CW15" s="315">
        <f>CW$7*'Mkt share'!E34</f>
        <v>0</v>
      </c>
      <c r="CX15" s="315">
        <f>CX$7*'Mkt share'!F34</f>
        <v>0</v>
      </c>
      <c r="CY15" s="387">
        <f>CY$7*'Mkt share'!G34</f>
        <v>0</v>
      </c>
      <c r="DB15" s="386" t="s">
        <v>335</v>
      </c>
      <c r="DC15" s="315">
        <f>DC$7*'Mkt share'!C35</f>
        <v>0</v>
      </c>
      <c r="DD15" s="315">
        <f>DD$7*'Mkt share'!D35</f>
        <v>0</v>
      </c>
      <c r="DE15" s="315">
        <f>DE$7*'Mkt share'!E35</f>
        <v>0</v>
      </c>
      <c r="DF15" s="315">
        <f>DF$7*'Mkt share'!F35</f>
        <v>0</v>
      </c>
      <c r="DG15" s="387">
        <f>DG$7*'Mkt share'!G35</f>
        <v>0</v>
      </c>
    </row>
    <row r="16" spans="2:113" ht="15" thickBot="1">
      <c r="B16" s="80"/>
      <c r="C16" s="92"/>
      <c r="D16" s="92"/>
      <c r="E16" s="92"/>
      <c r="F16" s="92"/>
      <c r="G16" s="92"/>
      <c r="J16" s="80"/>
      <c r="K16" s="92"/>
      <c r="L16" s="92"/>
      <c r="M16" s="92"/>
      <c r="N16" s="92"/>
      <c r="O16" s="92"/>
      <c r="R16" s="80"/>
      <c r="S16" s="92"/>
      <c r="T16" s="92"/>
      <c r="U16" s="92"/>
      <c r="V16" s="92"/>
      <c r="W16" s="92"/>
      <c r="Z16" s="80"/>
      <c r="AA16" s="92"/>
      <c r="AB16" s="92"/>
      <c r="AC16" s="92"/>
      <c r="AD16" s="92"/>
      <c r="AE16" s="92"/>
      <c r="AH16" s="80"/>
      <c r="AI16" s="92"/>
      <c r="AJ16" s="92"/>
      <c r="AK16" s="92"/>
      <c r="AL16" s="92"/>
      <c r="AM16" s="92"/>
      <c r="AP16" s="80"/>
      <c r="AQ16" s="92"/>
      <c r="AR16" s="92"/>
      <c r="AS16" s="92"/>
      <c r="AT16" s="92"/>
      <c r="AU16" s="92"/>
      <c r="AX16" s="80"/>
      <c r="AY16" s="92"/>
      <c r="AZ16" s="92"/>
      <c r="BA16" s="92"/>
      <c r="BB16" s="92"/>
      <c r="BC16" s="92"/>
      <c r="BF16" s="80"/>
      <c r="BG16" s="92"/>
      <c r="BH16" s="92"/>
      <c r="BI16" s="92"/>
      <c r="BJ16" s="92"/>
      <c r="BK16" s="92"/>
      <c r="BN16" s="80"/>
      <c r="BO16" s="92"/>
      <c r="BP16" s="92"/>
      <c r="BQ16" s="92"/>
      <c r="BR16" s="92"/>
      <c r="BS16" s="92"/>
      <c r="BV16" s="80"/>
      <c r="BW16" s="92"/>
      <c r="BX16" s="92"/>
      <c r="BY16" s="92"/>
      <c r="BZ16" s="92"/>
      <c r="CA16" s="92"/>
      <c r="CD16" s="80"/>
      <c r="CE16" s="92"/>
      <c r="CF16" s="92"/>
      <c r="CG16" s="92"/>
      <c r="CH16" s="92"/>
      <c r="CI16" s="92"/>
      <c r="CL16" s="80"/>
      <c r="CM16" s="92"/>
      <c r="CN16" s="92"/>
      <c r="CO16" s="92"/>
      <c r="CP16" s="92"/>
      <c r="CQ16" s="92"/>
      <c r="CT16" s="80"/>
      <c r="CU16" s="92"/>
      <c r="CV16" s="92"/>
      <c r="CW16" s="92"/>
      <c r="CX16" s="92"/>
      <c r="CY16" s="92"/>
      <c r="DB16" s="80"/>
      <c r="DC16" s="92"/>
      <c r="DD16" s="92"/>
      <c r="DE16" s="92"/>
      <c r="DF16" s="92"/>
      <c r="DG16" s="92"/>
    </row>
    <row r="17" spans="2:113" ht="15" thickBot="1">
      <c r="B17" s="507" t="str">
        <f>cen_prop1</f>
        <v>With PET-CT 20-100%</v>
      </c>
      <c r="C17" s="508"/>
      <c r="D17" s="508"/>
      <c r="E17" s="508"/>
      <c r="F17" s="508"/>
      <c r="G17" s="509"/>
      <c r="J17" s="507" t="str">
        <f>cen_prop1</f>
        <v>With PET-CT 20-100%</v>
      </c>
      <c r="K17" s="508"/>
      <c r="L17" s="508"/>
      <c r="M17" s="508"/>
      <c r="N17" s="508"/>
      <c r="O17" s="509"/>
      <c r="R17" s="507" t="str">
        <f>cen_prop1</f>
        <v>With PET-CT 20-100%</v>
      </c>
      <c r="S17" s="508"/>
      <c r="T17" s="508"/>
      <c r="U17" s="508"/>
      <c r="V17" s="508"/>
      <c r="W17" s="509"/>
      <c r="Z17" s="507" t="str">
        <f>cen_prop1</f>
        <v>With PET-CT 20-100%</v>
      </c>
      <c r="AA17" s="508"/>
      <c r="AB17" s="508"/>
      <c r="AC17" s="508"/>
      <c r="AD17" s="508"/>
      <c r="AE17" s="509"/>
      <c r="AH17" s="507" t="str">
        <f>cen_prop1</f>
        <v>With PET-CT 20-100%</v>
      </c>
      <c r="AI17" s="508"/>
      <c r="AJ17" s="508"/>
      <c r="AK17" s="508"/>
      <c r="AL17" s="508"/>
      <c r="AM17" s="509"/>
      <c r="AP17" s="507" t="str">
        <f>cen_prop1</f>
        <v>With PET-CT 20-100%</v>
      </c>
      <c r="AQ17" s="508"/>
      <c r="AR17" s="508"/>
      <c r="AS17" s="508"/>
      <c r="AT17" s="508"/>
      <c r="AU17" s="509"/>
      <c r="AX17" s="507" t="str">
        <f>cen_prop1</f>
        <v>With PET-CT 20-100%</v>
      </c>
      <c r="AY17" s="508"/>
      <c r="AZ17" s="508"/>
      <c r="BA17" s="508"/>
      <c r="BB17" s="508"/>
      <c r="BC17" s="509"/>
      <c r="BF17" s="507" t="str">
        <f>cen_prop1</f>
        <v>With PET-CT 20-100%</v>
      </c>
      <c r="BG17" s="508"/>
      <c r="BH17" s="508"/>
      <c r="BI17" s="508"/>
      <c r="BJ17" s="508"/>
      <c r="BK17" s="509"/>
      <c r="BN17" s="507" t="str">
        <f>cen_prop1</f>
        <v>With PET-CT 20-100%</v>
      </c>
      <c r="BO17" s="508"/>
      <c r="BP17" s="508"/>
      <c r="BQ17" s="508"/>
      <c r="BR17" s="508"/>
      <c r="BS17" s="509"/>
      <c r="BV17" s="507" t="str">
        <f>cen_prop1</f>
        <v>With PET-CT 20-100%</v>
      </c>
      <c r="BW17" s="508"/>
      <c r="BX17" s="508"/>
      <c r="BY17" s="508"/>
      <c r="BZ17" s="508"/>
      <c r="CA17" s="509"/>
      <c r="CD17" s="507" t="str">
        <f>cen_prop1</f>
        <v>With PET-CT 20-100%</v>
      </c>
      <c r="CE17" s="508"/>
      <c r="CF17" s="508"/>
      <c r="CG17" s="508"/>
      <c r="CH17" s="508"/>
      <c r="CI17" s="509"/>
      <c r="CL17" s="507" t="str">
        <f>cen_prop1</f>
        <v>With PET-CT 20-100%</v>
      </c>
      <c r="CM17" s="508"/>
      <c r="CN17" s="508"/>
      <c r="CO17" s="508"/>
      <c r="CP17" s="508"/>
      <c r="CQ17" s="509"/>
      <c r="CT17" s="507" t="str">
        <f>cen_prop1</f>
        <v>With PET-CT 20-100%</v>
      </c>
      <c r="CU17" s="508"/>
      <c r="CV17" s="508"/>
      <c r="CW17" s="508"/>
      <c r="CX17" s="508"/>
      <c r="CY17" s="509"/>
      <c r="DB17" s="507" t="str">
        <f>cen_prop1</f>
        <v>With PET-CT 20-100%</v>
      </c>
      <c r="DC17" s="508"/>
      <c r="DD17" s="508"/>
      <c r="DE17" s="508"/>
      <c r="DF17" s="508"/>
      <c r="DG17" s="509"/>
    </row>
    <row r="18" spans="2:113">
      <c r="B18" s="84"/>
      <c r="C18" s="101">
        <f>ano_1</f>
        <v>2024</v>
      </c>
      <c r="D18" s="101">
        <f>C18+1</f>
        <v>2025</v>
      </c>
      <c r="E18" s="101">
        <f t="shared" ref="E18:G18" si="28">D18+1</f>
        <v>2026</v>
      </c>
      <c r="F18" s="101">
        <f t="shared" si="28"/>
        <v>2027</v>
      </c>
      <c r="G18" s="102">
        <f t="shared" si="28"/>
        <v>2028</v>
      </c>
      <c r="J18" s="84"/>
      <c r="K18" s="101">
        <f>ano_1</f>
        <v>2024</v>
      </c>
      <c r="L18" s="101">
        <f>K18+1</f>
        <v>2025</v>
      </c>
      <c r="M18" s="101">
        <f t="shared" ref="M18:O18" si="29">L18+1</f>
        <v>2026</v>
      </c>
      <c r="N18" s="101">
        <f t="shared" si="29"/>
        <v>2027</v>
      </c>
      <c r="O18" s="102">
        <f t="shared" si="29"/>
        <v>2028</v>
      </c>
      <c r="R18" s="84"/>
      <c r="S18" s="101">
        <f>ano_1</f>
        <v>2024</v>
      </c>
      <c r="T18" s="101">
        <f>S18+1</f>
        <v>2025</v>
      </c>
      <c r="U18" s="101">
        <f t="shared" ref="U18:W18" si="30">T18+1</f>
        <v>2026</v>
      </c>
      <c r="V18" s="101">
        <f t="shared" si="30"/>
        <v>2027</v>
      </c>
      <c r="W18" s="102">
        <f t="shared" si="30"/>
        <v>2028</v>
      </c>
      <c r="Z18" s="84"/>
      <c r="AA18" s="101">
        <f>ano_1</f>
        <v>2024</v>
      </c>
      <c r="AB18" s="101">
        <f>AA18+1</f>
        <v>2025</v>
      </c>
      <c r="AC18" s="101">
        <f t="shared" ref="AC18:AE18" si="31">AB18+1</f>
        <v>2026</v>
      </c>
      <c r="AD18" s="101">
        <f t="shared" si="31"/>
        <v>2027</v>
      </c>
      <c r="AE18" s="102">
        <f t="shared" si="31"/>
        <v>2028</v>
      </c>
      <c r="AH18" s="84"/>
      <c r="AI18" s="101">
        <f>ano_1</f>
        <v>2024</v>
      </c>
      <c r="AJ18" s="101">
        <f>AI18+1</f>
        <v>2025</v>
      </c>
      <c r="AK18" s="101">
        <f t="shared" ref="AK18:AM18" si="32">AJ18+1</f>
        <v>2026</v>
      </c>
      <c r="AL18" s="101">
        <f t="shared" si="32"/>
        <v>2027</v>
      </c>
      <c r="AM18" s="102">
        <f t="shared" si="32"/>
        <v>2028</v>
      </c>
      <c r="AP18" s="84"/>
      <c r="AQ18" s="101">
        <f>ano_1</f>
        <v>2024</v>
      </c>
      <c r="AR18" s="101">
        <f>AQ18+1</f>
        <v>2025</v>
      </c>
      <c r="AS18" s="101">
        <f t="shared" ref="AS18:AU18" si="33">AR18+1</f>
        <v>2026</v>
      </c>
      <c r="AT18" s="101">
        <f t="shared" si="33"/>
        <v>2027</v>
      </c>
      <c r="AU18" s="102">
        <f t="shared" si="33"/>
        <v>2028</v>
      </c>
      <c r="AX18" s="84"/>
      <c r="AY18" s="101">
        <f>ano_1</f>
        <v>2024</v>
      </c>
      <c r="AZ18" s="101">
        <f>AY18+1</f>
        <v>2025</v>
      </c>
      <c r="BA18" s="101">
        <f t="shared" ref="BA18:BC18" si="34">AZ18+1</f>
        <v>2026</v>
      </c>
      <c r="BB18" s="101">
        <f t="shared" si="34"/>
        <v>2027</v>
      </c>
      <c r="BC18" s="102">
        <f t="shared" si="34"/>
        <v>2028</v>
      </c>
      <c r="BF18" s="84"/>
      <c r="BG18" s="101">
        <f>ano_1</f>
        <v>2024</v>
      </c>
      <c r="BH18" s="101">
        <f>BG18+1</f>
        <v>2025</v>
      </c>
      <c r="BI18" s="101">
        <f t="shared" ref="BI18:BK18" si="35">BH18+1</f>
        <v>2026</v>
      </c>
      <c r="BJ18" s="101">
        <f t="shared" si="35"/>
        <v>2027</v>
      </c>
      <c r="BK18" s="102">
        <f t="shared" si="35"/>
        <v>2028</v>
      </c>
      <c r="BN18" s="84"/>
      <c r="BO18" s="101">
        <f>ano_1</f>
        <v>2024</v>
      </c>
      <c r="BP18" s="101">
        <f>BO18+1</f>
        <v>2025</v>
      </c>
      <c r="BQ18" s="101">
        <f t="shared" ref="BQ18:BS18" si="36">BP18+1</f>
        <v>2026</v>
      </c>
      <c r="BR18" s="101">
        <f t="shared" si="36"/>
        <v>2027</v>
      </c>
      <c r="BS18" s="102">
        <f t="shared" si="36"/>
        <v>2028</v>
      </c>
      <c r="BV18" s="84"/>
      <c r="BW18" s="101">
        <f>ano_1</f>
        <v>2024</v>
      </c>
      <c r="BX18" s="101">
        <f>BW18+1</f>
        <v>2025</v>
      </c>
      <c r="BY18" s="101">
        <f t="shared" ref="BY18:CA18" si="37">BX18+1</f>
        <v>2026</v>
      </c>
      <c r="BZ18" s="101">
        <f t="shared" si="37"/>
        <v>2027</v>
      </c>
      <c r="CA18" s="102">
        <f t="shared" si="37"/>
        <v>2028</v>
      </c>
      <c r="CD18" s="84"/>
      <c r="CE18" s="101">
        <f>ano_1</f>
        <v>2024</v>
      </c>
      <c r="CF18" s="101">
        <f>CE18+1</f>
        <v>2025</v>
      </c>
      <c r="CG18" s="101">
        <f t="shared" ref="CG18:CI18" si="38">CF18+1</f>
        <v>2026</v>
      </c>
      <c r="CH18" s="101">
        <f t="shared" si="38"/>
        <v>2027</v>
      </c>
      <c r="CI18" s="102">
        <f t="shared" si="38"/>
        <v>2028</v>
      </c>
      <c r="CL18" s="84"/>
      <c r="CM18" s="101">
        <f>ano_1</f>
        <v>2024</v>
      </c>
      <c r="CN18" s="101">
        <f>CM18+1</f>
        <v>2025</v>
      </c>
      <c r="CO18" s="101">
        <f t="shared" ref="CO18:CQ18" si="39">CN18+1</f>
        <v>2026</v>
      </c>
      <c r="CP18" s="101">
        <f t="shared" si="39"/>
        <v>2027</v>
      </c>
      <c r="CQ18" s="102">
        <f t="shared" si="39"/>
        <v>2028</v>
      </c>
      <c r="CT18" s="84"/>
      <c r="CU18" s="101">
        <f>ano_1</f>
        <v>2024</v>
      </c>
      <c r="CV18" s="101">
        <f>CU18+1</f>
        <v>2025</v>
      </c>
      <c r="CW18" s="101">
        <f t="shared" ref="CW18:CY18" si="40">CV18+1</f>
        <v>2026</v>
      </c>
      <c r="CX18" s="101">
        <f t="shared" si="40"/>
        <v>2027</v>
      </c>
      <c r="CY18" s="102">
        <f t="shared" si="40"/>
        <v>2028</v>
      </c>
      <c r="DB18" s="84"/>
      <c r="DC18" s="101">
        <f>ano_1</f>
        <v>2024</v>
      </c>
      <c r="DD18" s="101">
        <f>DC18+1</f>
        <v>2025</v>
      </c>
      <c r="DE18" s="101">
        <f t="shared" ref="DE18:DG18" si="41">DD18+1</f>
        <v>2026</v>
      </c>
      <c r="DF18" s="101">
        <f t="shared" si="41"/>
        <v>2027</v>
      </c>
      <c r="DG18" s="102">
        <f t="shared" si="41"/>
        <v>2028</v>
      </c>
    </row>
    <row r="19" spans="2:113" ht="15" thickBot="1">
      <c r="B19" s="386" t="s">
        <v>335</v>
      </c>
      <c r="C19" s="315">
        <f>C$7*'Mkt share'!$C$42</f>
        <v>990.02893317600001</v>
      </c>
      <c r="D19" s="315">
        <f>D$7*'Mkt share'!$D$42</f>
        <v>1992.2886299279999</v>
      </c>
      <c r="E19" s="315">
        <f>E$7*'Mkt share'!$E$42</f>
        <v>3005.9987353199999</v>
      </c>
      <c r="F19" s="315">
        <f>F$7*'Mkt share'!$F$42</f>
        <v>4030.3508969280006</v>
      </c>
      <c r="G19" s="387">
        <f>G$7*'Mkt share'!$G$42</f>
        <v>5064.5088330599992</v>
      </c>
      <c r="J19" s="386" t="s">
        <v>335</v>
      </c>
      <c r="K19" s="315">
        <f>K$7*'Mkt share'!$C$43</f>
        <v>0</v>
      </c>
      <c r="L19" s="315">
        <f>L$7*'Mkt share'!$D$43</f>
        <v>0</v>
      </c>
      <c r="M19" s="315">
        <f>M$7*'Mkt share'!$E$43</f>
        <v>0</v>
      </c>
      <c r="N19" s="315">
        <f>N$7*'Mkt share'!$F$43</f>
        <v>0</v>
      </c>
      <c r="O19" s="387">
        <f>O$7*'Mkt share'!$G$43</f>
        <v>0</v>
      </c>
      <c r="R19" s="386" t="s">
        <v>335</v>
      </c>
      <c r="S19" s="315">
        <f>S$7*'Mkt share'!$C$44</f>
        <v>0</v>
      </c>
      <c r="T19" s="315">
        <f>T$7*'Mkt share'!$D$44</f>
        <v>0</v>
      </c>
      <c r="U19" s="315">
        <f>U$7*'Mkt share'!$E$44</f>
        <v>0</v>
      </c>
      <c r="V19" s="315">
        <f>V$7*'Mkt share'!$F$44</f>
        <v>0</v>
      </c>
      <c r="W19" s="387">
        <f>W$7*'Mkt share'!$G$44</f>
        <v>0</v>
      </c>
      <c r="Z19" s="386" t="s">
        <v>335</v>
      </c>
      <c r="AA19" s="315">
        <f>AA$7*'Mkt share'!$C$45</f>
        <v>0</v>
      </c>
      <c r="AB19" s="315">
        <f>AB$7*'Mkt share'!$D$45</f>
        <v>0</v>
      </c>
      <c r="AC19" s="315">
        <f>AC$7*'Mkt share'!$E$45</f>
        <v>0</v>
      </c>
      <c r="AD19" s="315">
        <f>AD$7*'Mkt share'!$F$45</f>
        <v>0</v>
      </c>
      <c r="AE19" s="387">
        <f>AE$7*'Mkt share'!$G$45</f>
        <v>0</v>
      </c>
      <c r="AH19" s="386" t="s">
        <v>335</v>
      </c>
      <c r="AI19" s="315">
        <f>AI$7*'Mkt share'!$C$46</f>
        <v>3960.115732704</v>
      </c>
      <c r="AJ19" s="315">
        <f>AJ$7*'Mkt share'!$D$46</f>
        <v>2988.4329448919998</v>
      </c>
      <c r="AK19" s="315">
        <f>AK$7*'Mkt share'!$E$46</f>
        <v>2003.9991568800001</v>
      </c>
      <c r="AL19" s="315">
        <f>AL$7*'Mkt share'!$F$46</f>
        <v>1007.5877242319998</v>
      </c>
      <c r="AM19" s="387">
        <f>AM$7*'Mkt share'!$G$46</f>
        <v>0</v>
      </c>
      <c r="AP19" s="386" t="s">
        <v>335</v>
      </c>
      <c r="AQ19" s="315">
        <f>AQ$7*'Mkt share'!$C$47</f>
        <v>0</v>
      </c>
      <c r="AR19" s="315">
        <f>AR$7*'Mkt share'!$D$47</f>
        <v>0</v>
      </c>
      <c r="AS19" s="315">
        <f>AS$7*'Mkt share'!$E$47</f>
        <v>0</v>
      </c>
      <c r="AT19" s="315">
        <f>AT$7*'Mkt share'!$F$47</f>
        <v>0</v>
      </c>
      <c r="AU19" s="387">
        <f>AU$7*'Mkt share'!$G$47</f>
        <v>0</v>
      </c>
      <c r="AX19" s="386" t="s">
        <v>335</v>
      </c>
      <c r="AY19" s="315">
        <f>AY$7*'Mkt share'!$C$48</f>
        <v>0</v>
      </c>
      <c r="AZ19" s="315">
        <f>AZ$7*'Mkt share'!$D$48</f>
        <v>0</v>
      </c>
      <c r="BA19" s="315">
        <f>BA$7*'Mkt share'!$E$48</f>
        <v>0</v>
      </c>
      <c r="BB19" s="315">
        <f>BB$7*'Mkt share'!$F$48</f>
        <v>0</v>
      </c>
      <c r="BC19" s="387">
        <f>BC$7*'Mkt share'!$G$48</f>
        <v>0</v>
      </c>
      <c r="BF19" s="386" t="s">
        <v>335</v>
      </c>
      <c r="BG19" s="315">
        <f>BG$7*'Mkt share'!$C$49</f>
        <v>0</v>
      </c>
      <c r="BH19" s="315">
        <f>BH$7*'Mkt share'!$D$49</f>
        <v>0</v>
      </c>
      <c r="BI19" s="315">
        <f>BI$7*'Mkt share'!$E$49</f>
        <v>0</v>
      </c>
      <c r="BJ19" s="315">
        <f>BJ$7*'Mkt share'!$F$49</f>
        <v>0</v>
      </c>
      <c r="BK19" s="387">
        <f>BK$7*'Mkt share'!$G$49</f>
        <v>0</v>
      </c>
      <c r="BN19" s="386" t="s">
        <v>335</v>
      </c>
      <c r="BO19" s="315">
        <f>BO$7*'Mkt share'!$C$50</f>
        <v>0</v>
      </c>
      <c r="BP19" s="315">
        <f>BP$7*'Mkt share'!$D$50</f>
        <v>0</v>
      </c>
      <c r="BQ19" s="315">
        <f>BQ$7*'Mkt share'!$E$50</f>
        <v>0</v>
      </c>
      <c r="BR19" s="315">
        <f>BR$7*'Mkt share'!$F$50</f>
        <v>0</v>
      </c>
      <c r="BS19" s="387">
        <f>BS$7*'Mkt share'!$G$50</f>
        <v>0</v>
      </c>
      <c r="BV19" s="386" t="s">
        <v>335</v>
      </c>
      <c r="BW19" s="315">
        <f>BW$7*'Mkt share'!$C$51</f>
        <v>0</v>
      </c>
      <c r="BX19" s="315">
        <f>BX$7*'Mkt share'!$D$51</f>
        <v>0</v>
      </c>
      <c r="BY19" s="315">
        <f>BY$7*'Mkt share'!$E$51</f>
        <v>0</v>
      </c>
      <c r="BZ19" s="315">
        <f>BZ$7*'Mkt share'!$F$51</f>
        <v>0</v>
      </c>
      <c r="CA19" s="387">
        <f>CA$7*'Mkt share'!$G$51</f>
        <v>0</v>
      </c>
      <c r="CD19" s="386" t="s">
        <v>335</v>
      </c>
      <c r="CE19" s="315">
        <f>CE$7*'Mkt share'!$C$52</f>
        <v>0</v>
      </c>
      <c r="CF19" s="315">
        <f>CF$7*'Mkt share'!$D$52</f>
        <v>0</v>
      </c>
      <c r="CG19" s="315">
        <f>CG$7*'Mkt share'!$E$52</f>
        <v>0</v>
      </c>
      <c r="CH19" s="315">
        <f>CH$7*'Mkt share'!$F$52</f>
        <v>0</v>
      </c>
      <c r="CI19" s="387">
        <f>CI$7*'Mkt share'!$G$52</f>
        <v>0</v>
      </c>
      <c r="CL19" s="386" t="s">
        <v>335</v>
      </c>
      <c r="CM19" s="315">
        <f>CM$7*'Mkt share'!$C$53</f>
        <v>0</v>
      </c>
      <c r="CN19" s="315">
        <f>CN$7*'Mkt share'!$D$53</f>
        <v>0</v>
      </c>
      <c r="CO19" s="315">
        <f>CO$7*'Mkt share'!$E$53</f>
        <v>0</v>
      </c>
      <c r="CP19" s="315">
        <f>CP$7*'Mkt share'!$F$53</f>
        <v>0</v>
      </c>
      <c r="CQ19" s="387">
        <f>CQ$7*'Mkt share'!$G$53</f>
        <v>0</v>
      </c>
      <c r="CT19" s="386" t="s">
        <v>335</v>
      </c>
      <c r="CU19" s="315">
        <f>CU$7*'Mkt share'!$C$54</f>
        <v>0</v>
      </c>
      <c r="CV19" s="315">
        <f>CV$7*'Mkt share'!$D$54</f>
        <v>0</v>
      </c>
      <c r="CW19" s="315">
        <f>CW$7*'Mkt share'!$E$54</f>
        <v>0</v>
      </c>
      <c r="CX19" s="315">
        <f>CX$7*'Mkt share'!$F$54</f>
        <v>0</v>
      </c>
      <c r="CY19" s="387">
        <f>CY$7*'Mkt share'!$G$54</f>
        <v>0</v>
      </c>
      <c r="DB19" s="386" t="s">
        <v>335</v>
      </c>
      <c r="DC19" s="315">
        <f>DC$7*'Mkt share'!$C$55</f>
        <v>0</v>
      </c>
      <c r="DD19" s="315">
        <f>DD$7*'Mkt share'!$D$55</f>
        <v>0</v>
      </c>
      <c r="DE19" s="315">
        <f>DE$7*'Mkt share'!$E$55</f>
        <v>0</v>
      </c>
      <c r="DF19" s="315">
        <f>DF$7*'Mkt share'!$F$55</f>
        <v>0</v>
      </c>
      <c r="DG19" s="387">
        <f>DG$7*'Mkt share'!$G$55</f>
        <v>0</v>
      </c>
    </row>
    <row r="20" spans="2:113" ht="15" thickBot="1">
      <c r="B20" s="80"/>
      <c r="C20" s="92"/>
      <c r="D20" s="92"/>
      <c r="E20" s="92"/>
      <c r="F20" s="92"/>
      <c r="G20" s="92"/>
      <c r="J20" s="80"/>
      <c r="K20" s="92"/>
      <c r="L20" s="92"/>
      <c r="M20" s="92"/>
      <c r="N20" s="92"/>
      <c r="O20" s="92"/>
      <c r="R20" s="80"/>
      <c r="S20" s="92"/>
      <c r="T20" s="92"/>
      <c r="U20" s="92"/>
      <c r="V20" s="92"/>
      <c r="W20" s="92"/>
      <c r="Z20" s="80"/>
      <c r="AA20" s="92"/>
      <c r="AB20" s="92"/>
      <c r="AC20" s="92"/>
      <c r="AD20" s="92"/>
      <c r="AE20" s="92"/>
      <c r="AH20" s="80"/>
      <c r="AI20" s="92"/>
      <c r="AJ20" s="92"/>
      <c r="AK20" s="92"/>
      <c r="AL20" s="92"/>
      <c r="AM20" s="92"/>
      <c r="AP20" s="80"/>
      <c r="AQ20" s="92"/>
      <c r="AR20" s="92"/>
      <c r="AS20" s="92"/>
      <c r="AT20" s="92"/>
      <c r="AU20" s="92"/>
      <c r="AX20" s="80"/>
      <c r="AY20" s="92"/>
      <c r="AZ20" s="92"/>
      <c r="BA20" s="92"/>
      <c r="BB20" s="92"/>
      <c r="BC20" s="92"/>
      <c r="BF20" s="80"/>
      <c r="BG20" s="92"/>
      <c r="BH20" s="92"/>
      <c r="BI20" s="92"/>
      <c r="BJ20" s="92"/>
      <c r="BK20" s="92"/>
      <c r="BN20" s="80"/>
      <c r="BO20" s="92"/>
      <c r="BP20" s="92"/>
      <c r="BQ20" s="92"/>
      <c r="BR20" s="92"/>
      <c r="BS20" s="92"/>
      <c r="BV20" s="80"/>
      <c r="BW20" s="92"/>
      <c r="BX20" s="92"/>
      <c r="BY20" s="92"/>
      <c r="BZ20" s="92"/>
      <c r="CA20" s="92"/>
      <c r="CD20" s="80"/>
      <c r="CE20" s="92"/>
      <c r="CF20" s="92"/>
      <c r="CG20" s="92"/>
      <c r="CH20" s="92"/>
      <c r="CI20" s="92"/>
      <c r="CL20" s="80"/>
      <c r="CM20" s="92"/>
      <c r="CN20" s="92"/>
      <c r="CO20" s="92"/>
      <c r="CP20" s="92"/>
      <c r="CQ20" s="92"/>
      <c r="CT20" s="80"/>
      <c r="CU20" s="92"/>
      <c r="CV20" s="92"/>
      <c r="CW20" s="92"/>
      <c r="CX20" s="92"/>
      <c r="CY20" s="92"/>
      <c r="DB20" s="80"/>
      <c r="DC20" s="92"/>
      <c r="DD20" s="92"/>
      <c r="DE20" s="92"/>
      <c r="DF20" s="92"/>
      <c r="DG20" s="92"/>
    </row>
    <row r="21" spans="2:113" ht="15" thickBot="1">
      <c r="B21" s="507" t="str">
        <f>cen_prop2</f>
        <v>With PET-CT 10-50%</v>
      </c>
      <c r="C21" s="508"/>
      <c r="D21" s="508"/>
      <c r="E21" s="508"/>
      <c r="F21" s="508"/>
      <c r="G21" s="509"/>
      <c r="J21" s="507" t="str">
        <f>cen_prop2</f>
        <v>With PET-CT 10-50%</v>
      </c>
      <c r="K21" s="508"/>
      <c r="L21" s="508"/>
      <c r="M21" s="508"/>
      <c r="N21" s="508"/>
      <c r="O21" s="509"/>
      <c r="R21" s="507" t="str">
        <f>cen_prop2</f>
        <v>With PET-CT 10-50%</v>
      </c>
      <c r="S21" s="508"/>
      <c r="T21" s="508"/>
      <c r="U21" s="508"/>
      <c r="V21" s="508"/>
      <c r="W21" s="509"/>
      <c r="Z21" s="507" t="str">
        <f>cen_prop2</f>
        <v>With PET-CT 10-50%</v>
      </c>
      <c r="AA21" s="508"/>
      <c r="AB21" s="508"/>
      <c r="AC21" s="508"/>
      <c r="AD21" s="508"/>
      <c r="AE21" s="509"/>
      <c r="AH21" s="507" t="str">
        <f>cen_prop2</f>
        <v>With PET-CT 10-50%</v>
      </c>
      <c r="AI21" s="508"/>
      <c r="AJ21" s="508"/>
      <c r="AK21" s="508"/>
      <c r="AL21" s="508"/>
      <c r="AM21" s="509"/>
      <c r="AP21" s="507" t="str">
        <f>cen_prop2</f>
        <v>With PET-CT 10-50%</v>
      </c>
      <c r="AQ21" s="508"/>
      <c r="AR21" s="508"/>
      <c r="AS21" s="508"/>
      <c r="AT21" s="508"/>
      <c r="AU21" s="509"/>
      <c r="AX21" s="507" t="str">
        <f>cen_prop2</f>
        <v>With PET-CT 10-50%</v>
      </c>
      <c r="AY21" s="508"/>
      <c r="AZ21" s="508"/>
      <c r="BA21" s="508"/>
      <c r="BB21" s="508"/>
      <c r="BC21" s="509"/>
      <c r="BF21" s="507" t="str">
        <f>cen_prop2</f>
        <v>With PET-CT 10-50%</v>
      </c>
      <c r="BG21" s="508"/>
      <c r="BH21" s="508"/>
      <c r="BI21" s="508"/>
      <c r="BJ21" s="508"/>
      <c r="BK21" s="509"/>
      <c r="BN21" s="507" t="str">
        <f>cen_prop2</f>
        <v>With PET-CT 10-50%</v>
      </c>
      <c r="BO21" s="508"/>
      <c r="BP21" s="508"/>
      <c r="BQ21" s="508"/>
      <c r="BR21" s="508"/>
      <c r="BS21" s="509"/>
      <c r="BV21" s="507" t="str">
        <f>cen_prop2</f>
        <v>With PET-CT 10-50%</v>
      </c>
      <c r="BW21" s="508"/>
      <c r="BX21" s="508"/>
      <c r="BY21" s="508"/>
      <c r="BZ21" s="508"/>
      <c r="CA21" s="509"/>
      <c r="CD21" s="507" t="str">
        <f>cen_prop2</f>
        <v>With PET-CT 10-50%</v>
      </c>
      <c r="CE21" s="508"/>
      <c r="CF21" s="508"/>
      <c r="CG21" s="508"/>
      <c r="CH21" s="508"/>
      <c r="CI21" s="509"/>
      <c r="CL21" s="507" t="str">
        <f>cen_prop2</f>
        <v>With PET-CT 10-50%</v>
      </c>
      <c r="CM21" s="508"/>
      <c r="CN21" s="508"/>
      <c r="CO21" s="508"/>
      <c r="CP21" s="508"/>
      <c r="CQ21" s="509"/>
      <c r="CT21" s="507" t="str">
        <f>cen_prop2</f>
        <v>With PET-CT 10-50%</v>
      </c>
      <c r="CU21" s="508"/>
      <c r="CV21" s="508"/>
      <c r="CW21" s="508"/>
      <c r="CX21" s="508"/>
      <c r="CY21" s="509"/>
      <c r="DB21" s="507" t="str">
        <f>cen_prop2</f>
        <v>With PET-CT 10-50%</v>
      </c>
      <c r="DC21" s="508"/>
      <c r="DD21" s="508"/>
      <c r="DE21" s="508"/>
      <c r="DF21" s="508"/>
      <c r="DG21" s="509"/>
    </row>
    <row r="22" spans="2:113">
      <c r="B22" s="84"/>
      <c r="C22" s="101">
        <f>ano_1</f>
        <v>2024</v>
      </c>
      <c r="D22" s="101">
        <f>C22+1</f>
        <v>2025</v>
      </c>
      <c r="E22" s="101">
        <f t="shared" ref="E22:G22" si="42">D22+1</f>
        <v>2026</v>
      </c>
      <c r="F22" s="101">
        <f t="shared" si="42"/>
        <v>2027</v>
      </c>
      <c r="G22" s="102">
        <f t="shared" si="42"/>
        <v>2028</v>
      </c>
      <c r="J22" s="84"/>
      <c r="K22" s="101">
        <f>ano_1</f>
        <v>2024</v>
      </c>
      <c r="L22" s="101">
        <f>K22+1</f>
        <v>2025</v>
      </c>
      <c r="M22" s="101">
        <f t="shared" ref="M22:O22" si="43">L22+1</f>
        <v>2026</v>
      </c>
      <c r="N22" s="101">
        <f t="shared" si="43"/>
        <v>2027</v>
      </c>
      <c r="O22" s="102">
        <f t="shared" si="43"/>
        <v>2028</v>
      </c>
      <c r="R22" s="84"/>
      <c r="S22" s="101">
        <f>ano_1</f>
        <v>2024</v>
      </c>
      <c r="T22" s="101">
        <f>S22+1</f>
        <v>2025</v>
      </c>
      <c r="U22" s="101">
        <f t="shared" ref="U22:W22" si="44">T22+1</f>
        <v>2026</v>
      </c>
      <c r="V22" s="101">
        <f t="shared" si="44"/>
        <v>2027</v>
      </c>
      <c r="W22" s="102">
        <f t="shared" si="44"/>
        <v>2028</v>
      </c>
      <c r="Z22" s="84"/>
      <c r="AA22" s="101">
        <f>ano_1</f>
        <v>2024</v>
      </c>
      <c r="AB22" s="101">
        <f>AA22+1</f>
        <v>2025</v>
      </c>
      <c r="AC22" s="101">
        <f t="shared" ref="AC22:AE22" si="45">AB22+1</f>
        <v>2026</v>
      </c>
      <c r="AD22" s="101">
        <f t="shared" si="45"/>
        <v>2027</v>
      </c>
      <c r="AE22" s="102">
        <f t="shared" si="45"/>
        <v>2028</v>
      </c>
      <c r="AH22" s="84"/>
      <c r="AI22" s="101">
        <f>ano_1</f>
        <v>2024</v>
      </c>
      <c r="AJ22" s="101">
        <f>AI22+1</f>
        <v>2025</v>
      </c>
      <c r="AK22" s="101">
        <f t="shared" ref="AK22:AM22" si="46">AJ22+1</f>
        <v>2026</v>
      </c>
      <c r="AL22" s="101">
        <f t="shared" si="46"/>
        <v>2027</v>
      </c>
      <c r="AM22" s="102">
        <f t="shared" si="46"/>
        <v>2028</v>
      </c>
      <c r="AP22" s="84"/>
      <c r="AQ22" s="101">
        <f>ano_1</f>
        <v>2024</v>
      </c>
      <c r="AR22" s="101">
        <f>AQ22+1</f>
        <v>2025</v>
      </c>
      <c r="AS22" s="101">
        <f t="shared" ref="AS22:AU22" si="47">AR22+1</f>
        <v>2026</v>
      </c>
      <c r="AT22" s="101">
        <f t="shared" si="47"/>
        <v>2027</v>
      </c>
      <c r="AU22" s="102">
        <f t="shared" si="47"/>
        <v>2028</v>
      </c>
      <c r="AX22" s="84"/>
      <c r="AY22" s="101">
        <f>ano_1</f>
        <v>2024</v>
      </c>
      <c r="AZ22" s="101">
        <f>AY22+1</f>
        <v>2025</v>
      </c>
      <c r="BA22" s="101">
        <f t="shared" ref="BA22:BC22" si="48">AZ22+1</f>
        <v>2026</v>
      </c>
      <c r="BB22" s="101">
        <f t="shared" si="48"/>
        <v>2027</v>
      </c>
      <c r="BC22" s="102">
        <f t="shared" si="48"/>
        <v>2028</v>
      </c>
      <c r="BF22" s="84"/>
      <c r="BG22" s="101">
        <f>ano_1</f>
        <v>2024</v>
      </c>
      <c r="BH22" s="101">
        <f>BG22+1</f>
        <v>2025</v>
      </c>
      <c r="BI22" s="101">
        <f t="shared" ref="BI22:BK22" si="49">BH22+1</f>
        <v>2026</v>
      </c>
      <c r="BJ22" s="101">
        <f t="shared" si="49"/>
        <v>2027</v>
      </c>
      <c r="BK22" s="102">
        <f t="shared" si="49"/>
        <v>2028</v>
      </c>
      <c r="BN22" s="84"/>
      <c r="BO22" s="101">
        <f>ano_1</f>
        <v>2024</v>
      </c>
      <c r="BP22" s="101">
        <f>BO22+1</f>
        <v>2025</v>
      </c>
      <c r="BQ22" s="101">
        <f t="shared" ref="BQ22:BS22" si="50">BP22+1</f>
        <v>2026</v>
      </c>
      <c r="BR22" s="101">
        <f t="shared" si="50"/>
        <v>2027</v>
      </c>
      <c r="BS22" s="102">
        <f t="shared" si="50"/>
        <v>2028</v>
      </c>
      <c r="BV22" s="84"/>
      <c r="BW22" s="101">
        <f>ano_1</f>
        <v>2024</v>
      </c>
      <c r="BX22" s="101">
        <f>BW22+1</f>
        <v>2025</v>
      </c>
      <c r="BY22" s="101">
        <f t="shared" ref="BY22:CA22" si="51">BX22+1</f>
        <v>2026</v>
      </c>
      <c r="BZ22" s="101">
        <f t="shared" si="51"/>
        <v>2027</v>
      </c>
      <c r="CA22" s="102">
        <f t="shared" si="51"/>
        <v>2028</v>
      </c>
      <c r="CD22" s="84"/>
      <c r="CE22" s="101">
        <f>ano_1</f>
        <v>2024</v>
      </c>
      <c r="CF22" s="101">
        <f>CE22+1</f>
        <v>2025</v>
      </c>
      <c r="CG22" s="101">
        <f t="shared" ref="CG22:CI22" si="52">CF22+1</f>
        <v>2026</v>
      </c>
      <c r="CH22" s="101">
        <f t="shared" si="52"/>
        <v>2027</v>
      </c>
      <c r="CI22" s="102">
        <f t="shared" si="52"/>
        <v>2028</v>
      </c>
      <c r="CL22" s="84"/>
      <c r="CM22" s="101">
        <f>ano_1</f>
        <v>2024</v>
      </c>
      <c r="CN22" s="101">
        <f>CM22+1</f>
        <v>2025</v>
      </c>
      <c r="CO22" s="101">
        <f t="shared" ref="CO22:CQ22" si="53">CN22+1</f>
        <v>2026</v>
      </c>
      <c r="CP22" s="101">
        <f t="shared" si="53"/>
        <v>2027</v>
      </c>
      <c r="CQ22" s="102">
        <f t="shared" si="53"/>
        <v>2028</v>
      </c>
      <c r="CT22" s="84"/>
      <c r="CU22" s="101">
        <f>ano_1</f>
        <v>2024</v>
      </c>
      <c r="CV22" s="101">
        <f>CU22+1</f>
        <v>2025</v>
      </c>
      <c r="CW22" s="101">
        <f t="shared" ref="CW22:CY22" si="54">CV22+1</f>
        <v>2026</v>
      </c>
      <c r="CX22" s="101">
        <f t="shared" si="54"/>
        <v>2027</v>
      </c>
      <c r="CY22" s="102">
        <f t="shared" si="54"/>
        <v>2028</v>
      </c>
      <c r="DB22" s="84"/>
      <c r="DC22" s="101">
        <f>ano_1</f>
        <v>2024</v>
      </c>
      <c r="DD22" s="101">
        <f>DC22+1</f>
        <v>2025</v>
      </c>
      <c r="DE22" s="101">
        <f t="shared" ref="DE22:DG22" si="55">DD22+1</f>
        <v>2026</v>
      </c>
      <c r="DF22" s="101">
        <f t="shared" si="55"/>
        <v>2027</v>
      </c>
      <c r="DG22" s="102">
        <f t="shared" si="55"/>
        <v>2028</v>
      </c>
    </row>
    <row r="23" spans="2:113" ht="15" thickBot="1">
      <c r="B23" s="386" t="s">
        <v>335</v>
      </c>
      <c r="C23" s="315">
        <f>C$7*'Mkt share'!$C$62</f>
        <v>495.014466588</v>
      </c>
      <c r="D23" s="315">
        <f>D$7*'Mkt share'!$D$62</f>
        <v>996.14431496399993</v>
      </c>
      <c r="E23" s="315">
        <f>E$7*'Mkt share'!$E$62</f>
        <v>1502.99936766</v>
      </c>
      <c r="F23" s="315">
        <f>F$7*'Mkt share'!$F$62</f>
        <v>2015.1754484640003</v>
      </c>
      <c r="G23" s="387">
        <f>G$7*'Mkt share'!$G$62</f>
        <v>2532.2544165299996</v>
      </c>
      <c r="J23" s="386" t="s">
        <v>335</v>
      </c>
      <c r="K23" s="315">
        <f>K$7*'Mkt share'!$C$63</f>
        <v>0</v>
      </c>
      <c r="L23" s="315">
        <f>L$7*'Mkt share'!$D$63</f>
        <v>0</v>
      </c>
      <c r="M23" s="315">
        <f>M$7*'Mkt share'!$E$63</f>
        <v>0</v>
      </c>
      <c r="N23" s="315">
        <f>N$7*'Mkt share'!$F$63</f>
        <v>0</v>
      </c>
      <c r="O23" s="387">
        <f>O$7*'Mkt share'!$G$63</f>
        <v>0</v>
      </c>
      <c r="R23" s="386" t="s">
        <v>335</v>
      </c>
      <c r="S23" s="315">
        <f>S$7*'Mkt share'!$C$64</f>
        <v>0</v>
      </c>
      <c r="T23" s="315">
        <f>T$7*'Mkt share'!$D$64</f>
        <v>0</v>
      </c>
      <c r="U23" s="315">
        <f>U$7*'Mkt share'!$E$64</f>
        <v>0</v>
      </c>
      <c r="V23" s="315">
        <f>V$7*'Mkt share'!$F$64</f>
        <v>0</v>
      </c>
      <c r="W23" s="387">
        <f>W$7*'Mkt share'!$G$64</f>
        <v>0</v>
      </c>
      <c r="Z23" s="386" t="s">
        <v>335</v>
      </c>
      <c r="AA23" s="315">
        <f>AA$7*'Mkt share'!$C$65</f>
        <v>0</v>
      </c>
      <c r="AB23" s="315">
        <f>AB$7*'Mkt share'!$D$65</f>
        <v>0</v>
      </c>
      <c r="AC23" s="315">
        <f>AC$7*'Mkt share'!$E$65</f>
        <v>0</v>
      </c>
      <c r="AD23" s="315">
        <f>AD$7*'Mkt share'!$F$65</f>
        <v>0</v>
      </c>
      <c r="AE23" s="387">
        <f>AE$7*'Mkt share'!$G$65</f>
        <v>0</v>
      </c>
      <c r="AH23" s="386" t="s">
        <v>335</v>
      </c>
      <c r="AI23" s="315">
        <f>AI$7*'Mkt share'!$C$66</f>
        <v>4455.1301992919998</v>
      </c>
      <c r="AJ23" s="315">
        <f>AJ$7*'Mkt share'!$D$66</f>
        <v>3984.5772598559997</v>
      </c>
      <c r="AK23" s="315">
        <f>AK$7*'Mkt share'!$E$66</f>
        <v>3506.9985245399998</v>
      </c>
      <c r="AL23" s="315">
        <f>AL$7*'Mkt share'!$F$66</f>
        <v>3022.7631726960003</v>
      </c>
      <c r="AM23" s="387">
        <f>AM$7*'Mkt share'!$G$66</f>
        <v>2532.2544165299996</v>
      </c>
      <c r="AP23" s="386" t="s">
        <v>335</v>
      </c>
      <c r="AQ23" s="315">
        <f>AQ$7*'Mkt share'!$C$67</f>
        <v>0</v>
      </c>
      <c r="AR23" s="315">
        <f>AR$7*'Mkt share'!$D$67</f>
        <v>0</v>
      </c>
      <c r="AS23" s="315">
        <f>AS$7*'Mkt share'!$E$67</f>
        <v>0</v>
      </c>
      <c r="AT23" s="315">
        <f>AT$7*'Mkt share'!$F$67</f>
        <v>0</v>
      </c>
      <c r="AU23" s="387">
        <f>AU$7*'Mkt share'!$G$67</f>
        <v>0</v>
      </c>
      <c r="AX23" s="386" t="s">
        <v>335</v>
      </c>
      <c r="AY23" s="315">
        <f>AY$7*'Mkt share'!$C$68</f>
        <v>0</v>
      </c>
      <c r="AZ23" s="315">
        <f>AZ$7*'Mkt share'!$D$68</f>
        <v>0</v>
      </c>
      <c r="BA23" s="315">
        <f>BA$7*'Mkt share'!$E$68</f>
        <v>0</v>
      </c>
      <c r="BB23" s="315">
        <f>BB$7*'Mkt share'!$F$68</f>
        <v>0</v>
      </c>
      <c r="BC23" s="387">
        <f>BC$7*'Mkt share'!$G$68</f>
        <v>0</v>
      </c>
      <c r="BF23" s="386" t="s">
        <v>335</v>
      </c>
      <c r="BG23" s="315">
        <f>BG$7*'Mkt share'!$C$69</f>
        <v>0</v>
      </c>
      <c r="BH23" s="315">
        <f>BH$7*'Mkt share'!$D$69</f>
        <v>0</v>
      </c>
      <c r="BI23" s="315">
        <f>BI$7*'Mkt share'!$E$69</f>
        <v>0</v>
      </c>
      <c r="BJ23" s="315">
        <f>BJ$7*'Mkt share'!$F$69</f>
        <v>0</v>
      </c>
      <c r="BK23" s="387">
        <f>BK$7*'Mkt share'!$G$69</f>
        <v>0</v>
      </c>
      <c r="BN23" s="386" t="s">
        <v>335</v>
      </c>
      <c r="BO23" s="315">
        <f>BO$7*'Mkt share'!$C$70</f>
        <v>0</v>
      </c>
      <c r="BP23" s="315">
        <f>BP$7*'Mkt share'!$D$70</f>
        <v>0</v>
      </c>
      <c r="BQ23" s="315">
        <f>BQ$7*'Mkt share'!$E$70</f>
        <v>0</v>
      </c>
      <c r="BR23" s="315">
        <f>BR$7*'Mkt share'!$F$70</f>
        <v>0</v>
      </c>
      <c r="BS23" s="387">
        <f>BS$7*'Mkt share'!$G$70</f>
        <v>0</v>
      </c>
      <c r="BV23" s="386" t="s">
        <v>335</v>
      </c>
      <c r="BW23" s="315">
        <f>BW$7*'Mkt share'!$C$71</f>
        <v>0</v>
      </c>
      <c r="BX23" s="315">
        <f>BX$7*'Mkt share'!$D$71</f>
        <v>0</v>
      </c>
      <c r="BY23" s="315">
        <f>BY$7*'Mkt share'!$E$71</f>
        <v>0</v>
      </c>
      <c r="BZ23" s="315">
        <f>BZ$7*'Mkt share'!$F$71</f>
        <v>0</v>
      </c>
      <c r="CA23" s="387">
        <f>CA$7*'Mkt share'!$G$71</f>
        <v>0</v>
      </c>
      <c r="CD23" s="386" t="s">
        <v>335</v>
      </c>
      <c r="CE23" s="315">
        <f>CE$7*'Mkt share'!$C$72</f>
        <v>0</v>
      </c>
      <c r="CF23" s="315">
        <f>CF$7*'Mkt share'!$D$72</f>
        <v>0</v>
      </c>
      <c r="CG23" s="315">
        <f>CG$7*'Mkt share'!$E$72</f>
        <v>0</v>
      </c>
      <c r="CH23" s="315">
        <f>CH$7*'Mkt share'!$F$72</f>
        <v>0</v>
      </c>
      <c r="CI23" s="387">
        <f>CI$7*'Mkt share'!$G$72</f>
        <v>0</v>
      </c>
      <c r="CL23" s="386" t="s">
        <v>335</v>
      </c>
      <c r="CM23" s="315">
        <f>CM$7*'Mkt share'!$C$73</f>
        <v>0</v>
      </c>
      <c r="CN23" s="315">
        <f>CN$7*'Mkt share'!$D$73</f>
        <v>0</v>
      </c>
      <c r="CO23" s="315">
        <f>CO$7*'Mkt share'!$E$73</f>
        <v>0</v>
      </c>
      <c r="CP23" s="315">
        <f>CP$7*'Mkt share'!$F$73</f>
        <v>0</v>
      </c>
      <c r="CQ23" s="387">
        <f>CQ$7*'Mkt share'!$G$73</f>
        <v>0</v>
      </c>
      <c r="CT23" s="386" t="s">
        <v>335</v>
      </c>
      <c r="CU23" s="315">
        <f>CU$7*'Mkt share'!$C$74</f>
        <v>0</v>
      </c>
      <c r="CV23" s="315">
        <f>CV$7*'Mkt share'!$D$74</f>
        <v>0</v>
      </c>
      <c r="CW23" s="315">
        <f>CW$7*'Mkt share'!$E$74</f>
        <v>0</v>
      </c>
      <c r="CX23" s="315">
        <f>CX$7*'Mkt share'!$F$74</f>
        <v>0</v>
      </c>
      <c r="CY23" s="387">
        <f>CY$7*'Mkt share'!$G$74</f>
        <v>0</v>
      </c>
      <c r="DB23" s="386" t="s">
        <v>335</v>
      </c>
      <c r="DC23" s="315">
        <f>DC$7*'Mkt share'!$C$75</f>
        <v>0</v>
      </c>
      <c r="DD23" s="315">
        <f>DD$7*'Mkt share'!$D$75</f>
        <v>0</v>
      </c>
      <c r="DE23" s="315">
        <f>DE$7*'Mkt share'!$E$75</f>
        <v>0</v>
      </c>
      <c r="DF23" s="315">
        <f>DF$7*'Mkt share'!$F$75</f>
        <v>0</v>
      </c>
      <c r="DG23" s="387">
        <f>DG$7*'Mkt share'!$G$75</f>
        <v>0</v>
      </c>
    </row>
    <row r="24" spans="2:113" ht="15" thickBot="1">
      <c r="B24" s="80"/>
      <c r="C24" s="92"/>
      <c r="D24" s="92"/>
      <c r="E24" s="92"/>
      <c r="F24" s="92"/>
      <c r="G24" s="92"/>
      <c r="J24" s="80"/>
      <c r="K24" s="92"/>
      <c r="L24" s="92"/>
      <c r="M24" s="92"/>
      <c r="N24" s="92"/>
      <c r="O24" s="92"/>
      <c r="R24" s="80"/>
      <c r="S24" s="92"/>
      <c r="T24" s="92"/>
      <c r="U24" s="92"/>
      <c r="V24" s="92"/>
      <c r="W24" s="92"/>
      <c r="Z24" s="80"/>
      <c r="AA24" s="92"/>
      <c r="AB24" s="92"/>
      <c r="AC24" s="92"/>
      <c r="AD24" s="92"/>
      <c r="AE24" s="92"/>
      <c r="AH24" s="80"/>
      <c r="AI24" s="92"/>
      <c r="AJ24" s="92"/>
      <c r="AK24" s="92"/>
      <c r="AL24" s="92"/>
      <c r="AM24" s="92"/>
      <c r="AP24" s="80"/>
      <c r="AQ24" s="92"/>
      <c r="AR24" s="92"/>
      <c r="AS24" s="92"/>
      <c r="AT24" s="92"/>
      <c r="AU24" s="92"/>
      <c r="AX24" s="80"/>
      <c r="AY24" s="92"/>
      <c r="AZ24" s="92"/>
      <c r="BA24" s="92"/>
      <c r="BB24" s="92"/>
      <c r="BC24" s="92"/>
      <c r="BF24" s="80"/>
      <c r="BG24" s="92"/>
      <c r="BH24" s="92"/>
      <c r="BI24" s="92"/>
      <c r="BJ24" s="92"/>
      <c r="BK24" s="92"/>
      <c r="BN24" s="80"/>
      <c r="BO24" s="92"/>
      <c r="BP24" s="92"/>
      <c r="BQ24" s="92"/>
      <c r="BR24" s="92"/>
      <c r="BS24" s="92"/>
      <c r="BV24" s="80"/>
      <c r="BW24" s="92"/>
      <c r="BX24" s="92"/>
      <c r="BY24" s="92"/>
      <c r="BZ24" s="92"/>
      <c r="CA24" s="92"/>
      <c r="CD24" s="80"/>
      <c r="CE24" s="92"/>
      <c r="CF24" s="92"/>
      <c r="CG24" s="92"/>
      <c r="CH24" s="92"/>
      <c r="CI24" s="92"/>
      <c r="CL24" s="80"/>
      <c r="CM24" s="92"/>
      <c r="CN24" s="92"/>
      <c r="CO24" s="92"/>
      <c r="CP24" s="92"/>
      <c r="CQ24" s="92"/>
      <c r="CT24" s="80"/>
      <c r="CU24" s="92"/>
      <c r="CV24" s="92"/>
      <c r="CW24" s="92"/>
      <c r="CX24" s="92"/>
      <c r="CY24" s="92"/>
      <c r="DB24" s="80"/>
      <c r="DC24" s="92"/>
      <c r="DD24" s="92"/>
      <c r="DE24" s="92"/>
      <c r="DF24" s="92"/>
      <c r="DG24" s="92"/>
    </row>
    <row r="25" spans="2:113" ht="15" thickBot="1">
      <c r="B25" s="507">
        <f>cen_prop3</f>
        <v>0</v>
      </c>
      <c r="C25" s="508"/>
      <c r="D25" s="508"/>
      <c r="E25" s="508"/>
      <c r="F25" s="508"/>
      <c r="G25" s="509"/>
      <c r="J25" s="507">
        <f>cen_prop3</f>
        <v>0</v>
      </c>
      <c r="K25" s="508"/>
      <c r="L25" s="508"/>
      <c r="M25" s="508"/>
      <c r="N25" s="508"/>
      <c r="O25" s="509"/>
      <c r="R25" s="507">
        <f>cen_prop3</f>
        <v>0</v>
      </c>
      <c r="S25" s="508"/>
      <c r="T25" s="508"/>
      <c r="U25" s="508"/>
      <c r="V25" s="508"/>
      <c r="W25" s="509"/>
      <c r="Z25" s="507">
        <f>cen_prop3</f>
        <v>0</v>
      </c>
      <c r="AA25" s="508"/>
      <c r="AB25" s="508"/>
      <c r="AC25" s="508"/>
      <c r="AD25" s="508"/>
      <c r="AE25" s="509"/>
      <c r="AH25" s="507">
        <f>cen_prop3</f>
        <v>0</v>
      </c>
      <c r="AI25" s="508"/>
      <c r="AJ25" s="508"/>
      <c r="AK25" s="508"/>
      <c r="AL25" s="508"/>
      <c r="AM25" s="509"/>
      <c r="AP25" s="507">
        <f>cen_prop3</f>
        <v>0</v>
      </c>
      <c r="AQ25" s="508"/>
      <c r="AR25" s="508"/>
      <c r="AS25" s="508"/>
      <c r="AT25" s="508"/>
      <c r="AU25" s="509"/>
      <c r="AX25" s="507">
        <f>cen_prop3</f>
        <v>0</v>
      </c>
      <c r="AY25" s="508"/>
      <c r="AZ25" s="508"/>
      <c r="BA25" s="508"/>
      <c r="BB25" s="508"/>
      <c r="BC25" s="509"/>
      <c r="BF25" s="507">
        <f>cen_prop3</f>
        <v>0</v>
      </c>
      <c r="BG25" s="508"/>
      <c r="BH25" s="508"/>
      <c r="BI25" s="508"/>
      <c r="BJ25" s="508"/>
      <c r="BK25" s="509"/>
      <c r="BN25" s="507">
        <f>cen_prop3</f>
        <v>0</v>
      </c>
      <c r="BO25" s="508"/>
      <c r="BP25" s="508"/>
      <c r="BQ25" s="508"/>
      <c r="BR25" s="508"/>
      <c r="BS25" s="509"/>
      <c r="BV25" s="507">
        <f>cen_prop3</f>
        <v>0</v>
      </c>
      <c r="BW25" s="508"/>
      <c r="BX25" s="508"/>
      <c r="BY25" s="508"/>
      <c r="BZ25" s="508"/>
      <c r="CA25" s="509"/>
      <c r="CD25" s="507">
        <f>cen_prop3</f>
        <v>0</v>
      </c>
      <c r="CE25" s="508"/>
      <c r="CF25" s="508"/>
      <c r="CG25" s="508"/>
      <c r="CH25" s="508"/>
      <c r="CI25" s="509"/>
      <c r="CL25" s="507">
        <f>cen_prop3</f>
        <v>0</v>
      </c>
      <c r="CM25" s="508"/>
      <c r="CN25" s="508"/>
      <c r="CO25" s="508"/>
      <c r="CP25" s="508"/>
      <c r="CQ25" s="509"/>
      <c r="CT25" s="507">
        <f>cen_prop3</f>
        <v>0</v>
      </c>
      <c r="CU25" s="508"/>
      <c r="CV25" s="508"/>
      <c r="CW25" s="508"/>
      <c r="CX25" s="508"/>
      <c r="CY25" s="509"/>
      <c r="DB25" s="507">
        <f>cen_prop3</f>
        <v>0</v>
      </c>
      <c r="DC25" s="508"/>
      <c r="DD25" s="508"/>
      <c r="DE25" s="508"/>
      <c r="DF25" s="508"/>
      <c r="DG25" s="509"/>
    </row>
    <row r="26" spans="2:113">
      <c r="B26" s="84"/>
      <c r="C26" s="101">
        <f>ano_1</f>
        <v>2024</v>
      </c>
      <c r="D26" s="101">
        <f>C26+1</f>
        <v>2025</v>
      </c>
      <c r="E26" s="101">
        <f t="shared" ref="E26:G26" si="56">D26+1</f>
        <v>2026</v>
      </c>
      <c r="F26" s="101">
        <f t="shared" si="56"/>
        <v>2027</v>
      </c>
      <c r="G26" s="102">
        <f t="shared" si="56"/>
        <v>2028</v>
      </c>
      <c r="J26" s="84"/>
      <c r="K26" s="101">
        <f>ano_1</f>
        <v>2024</v>
      </c>
      <c r="L26" s="101">
        <f>K26+1</f>
        <v>2025</v>
      </c>
      <c r="M26" s="101">
        <f t="shared" ref="M26:O26" si="57">L26+1</f>
        <v>2026</v>
      </c>
      <c r="N26" s="101">
        <f t="shared" si="57"/>
        <v>2027</v>
      </c>
      <c r="O26" s="102">
        <f t="shared" si="57"/>
        <v>2028</v>
      </c>
      <c r="R26" s="84"/>
      <c r="S26" s="101">
        <f>ano_1</f>
        <v>2024</v>
      </c>
      <c r="T26" s="101">
        <f>S26+1</f>
        <v>2025</v>
      </c>
      <c r="U26" s="101">
        <f t="shared" ref="U26:W26" si="58">T26+1</f>
        <v>2026</v>
      </c>
      <c r="V26" s="101">
        <f t="shared" si="58"/>
        <v>2027</v>
      </c>
      <c r="W26" s="102">
        <f t="shared" si="58"/>
        <v>2028</v>
      </c>
      <c r="Z26" s="84"/>
      <c r="AA26" s="101">
        <f>ano_1</f>
        <v>2024</v>
      </c>
      <c r="AB26" s="101">
        <f>AA26+1</f>
        <v>2025</v>
      </c>
      <c r="AC26" s="101">
        <f t="shared" ref="AC26:AE26" si="59">AB26+1</f>
        <v>2026</v>
      </c>
      <c r="AD26" s="101">
        <f t="shared" si="59"/>
        <v>2027</v>
      </c>
      <c r="AE26" s="102">
        <f t="shared" si="59"/>
        <v>2028</v>
      </c>
      <c r="AH26" s="84"/>
      <c r="AI26" s="101">
        <f>ano_1</f>
        <v>2024</v>
      </c>
      <c r="AJ26" s="101">
        <f>AI26+1</f>
        <v>2025</v>
      </c>
      <c r="AK26" s="101">
        <f t="shared" ref="AK26:AM26" si="60">AJ26+1</f>
        <v>2026</v>
      </c>
      <c r="AL26" s="101">
        <f t="shared" si="60"/>
        <v>2027</v>
      </c>
      <c r="AM26" s="102">
        <f t="shared" si="60"/>
        <v>2028</v>
      </c>
      <c r="AP26" s="84"/>
      <c r="AQ26" s="101">
        <f>ano_1</f>
        <v>2024</v>
      </c>
      <c r="AR26" s="101">
        <f>AQ26+1</f>
        <v>2025</v>
      </c>
      <c r="AS26" s="101">
        <f t="shared" ref="AS26:AU26" si="61">AR26+1</f>
        <v>2026</v>
      </c>
      <c r="AT26" s="101">
        <f t="shared" si="61"/>
        <v>2027</v>
      </c>
      <c r="AU26" s="102">
        <f t="shared" si="61"/>
        <v>2028</v>
      </c>
      <c r="AX26" s="84"/>
      <c r="AY26" s="101">
        <f>ano_1</f>
        <v>2024</v>
      </c>
      <c r="AZ26" s="101">
        <f>AY26+1</f>
        <v>2025</v>
      </c>
      <c r="BA26" s="101">
        <f t="shared" ref="BA26:BC26" si="62">AZ26+1</f>
        <v>2026</v>
      </c>
      <c r="BB26" s="101">
        <f t="shared" si="62"/>
        <v>2027</v>
      </c>
      <c r="BC26" s="102">
        <f t="shared" si="62"/>
        <v>2028</v>
      </c>
      <c r="BF26" s="84"/>
      <c r="BG26" s="101">
        <f>ano_1</f>
        <v>2024</v>
      </c>
      <c r="BH26" s="101">
        <f>BG26+1</f>
        <v>2025</v>
      </c>
      <c r="BI26" s="101">
        <f t="shared" ref="BI26:BK26" si="63">BH26+1</f>
        <v>2026</v>
      </c>
      <c r="BJ26" s="101">
        <f t="shared" si="63"/>
        <v>2027</v>
      </c>
      <c r="BK26" s="102">
        <f t="shared" si="63"/>
        <v>2028</v>
      </c>
      <c r="BN26" s="84"/>
      <c r="BO26" s="101">
        <f>ano_1</f>
        <v>2024</v>
      </c>
      <c r="BP26" s="101">
        <f>BO26+1</f>
        <v>2025</v>
      </c>
      <c r="BQ26" s="101">
        <f t="shared" ref="BQ26:BS26" si="64">BP26+1</f>
        <v>2026</v>
      </c>
      <c r="BR26" s="101">
        <f t="shared" si="64"/>
        <v>2027</v>
      </c>
      <c r="BS26" s="102">
        <f t="shared" si="64"/>
        <v>2028</v>
      </c>
      <c r="BV26" s="84"/>
      <c r="BW26" s="101">
        <f>ano_1</f>
        <v>2024</v>
      </c>
      <c r="BX26" s="101">
        <f>BW26+1</f>
        <v>2025</v>
      </c>
      <c r="BY26" s="101">
        <f t="shared" ref="BY26:CA26" si="65">BX26+1</f>
        <v>2026</v>
      </c>
      <c r="BZ26" s="101">
        <f t="shared" si="65"/>
        <v>2027</v>
      </c>
      <c r="CA26" s="102">
        <f t="shared" si="65"/>
        <v>2028</v>
      </c>
      <c r="CD26" s="84"/>
      <c r="CE26" s="101">
        <f>ano_1</f>
        <v>2024</v>
      </c>
      <c r="CF26" s="101">
        <f>CE26+1</f>
        <v>2025</v>
      </c>
      <c r="CG26" s="101">
        <f t="shared" ref="CG26:CI26" si="66">CF26+1</f>
        <v>2026</v>
      </c>
      <c r="CH26" s="101">
        <f t="shared" si="66"/>
        <v>2027</v>
      </c>
      <c r="CI26" s="102">
        <f t="shared" si="66"/>
        <v>2028</v>
      </c>
      <c r="CL26" s="84"/>
      <c r="CM26" s="101">
        <f>ano_1</f>
        <v>2024</v>
      </c>
      <c r="CN26" s="101">
        <f>CM26+1</f>
        <v>2025</v>
      </c>
      <c r="CO26" s="101">
        <f t="shared" ref="CO26:CQ26" si="67">CN26+1</f>
        <v>2026</v>
      </c>
      <c r="CP26" s="101">
        <f t="shared" si="67"/>
        <v>2027</v>
      </c>
      <c r="CQ26" s="102">
        <f t="shared" si="67"/>
        <v>2028</v>
      </c>
      <c r="CT26" s="84"/>
      <c r="CU26" s="101">
        <f>ano_1</f>
        <v>2024</v>
      </c>
      <c r="CV26" s="101">
        <f>CU26+1</f>
        <v>2025</v>
      </c>
      <c r="CW26" s="101">
        <f t="shared" ref="CW26:CY26" si="68">CV26+1</f>
        <v>2026</v>
      </c>
      <c r="CX26" s="101">
        <f t="shared" si="68"/>
        <v>2027</v>
      </c>
      <c r="CY26" s="102">
        <f t="shared" si="68"/>
        <v>2028</v>
      </c>
      <c r="DB26" s="84"/>
      <c r="DC26" s="101">
        <f>ano_1</f>
        <v>2024</v>
      </c>
      <c r="DD26" s="101">
        <f>DC26+1</f>
        <v>2025</v>
      </c>
      <c r="DE26" s="101">
        <f t="shared" ref="DE26:DG26" si="69">DD26+1</f>
        <v>2026</v>
      </c>
      <c r="DF26" s="101">
        <f t="shared" si="69"/>
        <v>2027</v>
      </c>
      <c r="DG26" s="102">
        <f t="shared" si="69"/>
        <v>2028</v>
      </c>
    </row>
    <row r="27" spans="2:113" ht="15" thickBot="1">
      <c r="B27" s="386" t="s">
        <v>335</v>
      </c>
      <c r="C27" s="315">
        <f>C$7*'Mkt share'!$C$82</f>
        <v>0</v>
      </c>
      <c r="D27" s="315">
        <f>D$7*'Mkt share'!$D$82</f>
        <v>0</v>
      </c>
      <c r="E27" s="315">
        <f>E$7*'Mkt share'!$E$82</f>
        <v>0</v>
      </c>
      <c r="F27" s="315">
        <f>F$7*'Mkt share'!$F$82</f>
        <v>0</v>
      </c>
      <c r="G27" s="387">
        <f>G$7*'Mkt share'!$G$82</f>
        <v>0</v>
      </c>
      <c r="J27" s="386" t="s">
        <v>335</v>
      </c>
      <c r="K27" s="315">
        <f>K$7*'Mkt share'!$C$83</f>
        <v>0</v>
      </c>
      <c r="L27" s="315">
        <f>L$7*'Mkt share'!$D$83</f>
        <v>0</v>
      </c>
      <c r="M27" s="315">
        <f>M$7*'Mkt share'!$E$83</f>
        <v>0</v>
      </c>
      <c r="N27" s="315">
        <f>N$7*'Mkt share'!$F$83</f>
        <v>0</v>
      </c>
      <c r="O27" s="387">
        <f>O$7*'Mkt share'!$G$83</f>
        <v>0</v>
      </c>
      <c r="R27" s="386" t="s">
        <v>335</v>
      </c>
      <c r="S27" s="315">
        <f>S$7*'Mkt share'!$C$84</f>
        <v>0</v>
      </c>
      <c r="T27" s="315">
        <f>T$7*'Mkt share'!$D$84</f>
        <v>0</v>
      </c>
      <c r="U27" s="315">
        <f>U$7*'Mkt share'!$E$84</f>
        <v>0</v>
      </c>
      <c r="V27" s="315">
        <f>V$7*'Mkt share'!$F$84</f>
        <v>0</v>
      </c>
      <c r="W27" s="387">
        <f>W$7*'Mkt share'!$G$84</f>
        <v>0</v>
      </c>
      <c r="Z27" s="386" t="s">
        <v>335</v>
      </c>
      <c r="AA27" s="315">
        <f>AA$7*'Mkt share'!$C$85</f>
        <v>0</v>
      </c>
      <c r="AB27" s="315">
        <f>AB$7*'Mkt share'!$D$85</f>
        <v>0</v>
      </c>
      <c r="AC27" s="315">
        <f>AC$7*'Mkt share'!$E$85</f>
        <v>0</v>
      </c>
      <c r="AD27" s="315">
        <f>AD$7*'Mkt share'!$F$85</f>
        <v>0</v>
      </c>
      <c r="AE27" s="387">
        <f>AE$7*'Mkt share'!$G$85</f>
        <v>0</v>
      </c>
      <c r="AH27" s="386" t="s">
        <v>336</v>
      </c>
      <c r="AI27" s="315">
        <f>AI$7*'Mkt share'!$C$86</f>
        <v>0</v>
      </c>
      <c r="AJ27" s="315">
        <f>AJ$7*'Mkt share'!$D$86</f>
        <v>0</v>
      </c>
      <c r="AK27" s="315">
        <f>AK$7*'Mkt share'!$E$86</f>
        <v>0</v>
      </c>
      <c r="AL27" s="315">
        <f>AL$7*'Mkt share'!$F$86</f>
        <v>0</v>
      </c>
      <c r="AM27" s="387">
        <f>AM$7*'Mkt share'!$G$86</f>
        <v>0</v>
      </c>
      <c r="AP27" s="386" t="s">
        <v>335</v>
      </c>
      <c r="AQ27" s="315">
        <f>AQ$7*'Mkt share'!$C$87</f>
        <v>0</v>
      </c>
      <c r="AR27" s="315">
        <f>AR$7*'Mkt share'!$D$87</f>
        <v>0</v>
      </c>
      <c r="AS27" s="315">
        <f>AS$7*'Mkt share'!$E$87</f>
        <v>0</v>
      </c>
      <c r="AT27" s="315">
        <f>AT$7*'Mkt share'!$F$87</f>
        <v>0</v>
      </c>
      <c r="AU27" s="387">
        <f>AU$7*'Mkt share'!$G$87</f>
        <v>0</v>
      </c>
      <c r="AX27" s="386" t="s">
        <v>335</v>
      </c>
      <c r="AY27" s="315">
        <f>AY$7*'Mkt share'!$C$88</f>
        <v>0</v>
      </c>
      <c r="AZ27" s="315">
        <f>AZ$7*'Mkt share'!$D$88</f>
        <v>0</v>
      </c>
      <c r="BA27" s="315">
        <f>BA$7*'Mkt share'!$E$88</f>
        <v>0</v>
      </c>
      <c r="BB27" s="315">
        <f>BB$7*'Mkt share'!$F$88</f>
        <v>0</v>
      </c>
      <c r="BC27" s="387">
        <f>BC$7*'Mkt share'!$G$88</f>
        <v>0</v>
      </c>
      <c r="BF27" s="386" t="s">
        <v>335</v>
      </c>
      <c r="BG27" s="315">
        <f>BG$7*'Mkt share'!$C$89</f>
        <v>0</v>
      </c>
      <c r="BH27" s="315">
        <f>BH$7*'Mkt share'!$D$89</f>
        <v>0</v>
      </c>
      <c r="BI27" s="315">
        <f>BI$7*'Mkt share'!$E$89</f>
        <v>0</v>
      </c>
      <c r="BJ27" s="315">
        <f>BJ$7*'Mkt share'!$F$89</f>
        <v>0</v>
      </c>
      <c r="BK27" s="387">
        <f>BK$7*'Mkt share'!$G$89</f>
        <v>0</v>
      </c>
      <c r="BN27" s="386" t="s">
        <v>335</v>
      </c>
      <c r="BO27" s="315">
        <f>BO$7*'Mkt share'!$C$90</f>
        <v>0</v>
      </c>
      <c r="BP27" s="315">
        <f>BP$7*'Mkt share'!$D$90</f>
        <v>0</v>
      </c>
      <c r="BQ27" s="315">
        <f>BQ$7*'Mkt share'!$E$90</f>
        <v>0</v>
      </c>
      <c r="BR27" s="315">
        <f>BR$7*'Mkt share'!$F$90</f>
        <v>0</v>
      </c>
      <c r="BS27" s="387">
        <f>BS$7*'Mkt share'!$G$90</f>
        <v>0</v>
      </c>
      <c r="BV27" s="386" t="s">
        <v>335</v>
      </c>
      <c r="BW27" s="315">
        <f>BW$7*'Mkt share'!$C$91</f>
        <v>0</v>
      </c>
      <c r="BX27" s="315">
        <f>BX$7*'Mkt share'!$D$91</f>
        <v>0</v>
      </c>
      <c r="BY27" s="315">
        <f>BY$7*'Mkt share'!$E$91</f>
        <v>0</v>
      </c>
      <c r="BZ27" s="315">
        <f>BZ$7*'Mkt share'!$F$91</f>
        <v>0</v>
      </c>
      <c r="CA27" s="387">
        <f>CA$7*'Mkt share'!$G$91</f>
        <v>0</v>
      </c>
      <c r="CD27" s="386" t="s">
        <v>335</v>
      </c>
      <c r="CE27" s="315">
        <f>CE$7*'Mkt share'!$C$92</f>
        <v>0</v>
      </c>
      <c r="CF27" s="315">
        <f>CF$7*'Mkt share'!$D$92</f>
        <v>0</v>
      </c>
      <c r="CG27" s="315">
        <f>CG$7*'Mkt share'!$E$92</f>
        <v>0</v>
      </c>
      <c r="CH27" s="315">
        <f>CH$7*'Mkt share'!$F$92</f>
        <v>0</v>
      </c>
      <c r="CI27" s="387">
        <f>CI$7*'Mkt share'!$G$92</f>
        <v>0</v>
      </c>
      <c r="CL27" s="386" t="s">
        <v>335</v>
      </c>
      <c r="CM27" s="315">
        <f>CM$7*'Mkt share'!$C$93</f>
        <v>0</v>
      </c>
      <c r="CN27" s="315">
        <f>CN$7*'Mkt share'!$D$93</f>
        <v>0</v>
      </c>
      <c r="CO27" s="315">
        <f>CO$7*'Mkt share'!$E$93</f>
        <v>0</v>
      </c>
      <c r="CP27" s="315">
        <f>CP$7*'Mkt share'!$F$93</f>
        <v>0</v>
      </c>
      <c r="CQ27" s="387">
        <f>CQ$7*'Mkt share'!$G$93</f>
        <v>0</v>
      </c>
      <c r="CT27" s="386" t="s">
        <v>335</v>
      </c>
      <c r="CU27" s="315">
        <f>CU$7*'Mkt share'!$C$94</f>
        <v>0</v>
      </c>
      <c r="CV27" s="315">
        <f>CV$7*'Mkt share'!$D$94</f>
        <v>0</v>
      </c>
      <c r="CW27" s="315">
        <f>CW$7*'Mkt share'!$E$94</f>
        <v>0</v>
      </c>
      <c r="CX27" s="315">
        <f>CX$7*'Mkt share'!$F$94</f>
        <v>0</v>
      </c>
      <c r="CY27" s="387">
        <f>CY$7*'Mkt share'!$G$94</f>
        <v>0</v>
      </c>
      <c r="DB27" s="386" t="s">
        <v>335</v>
      </c>
      <c r="DC27" s="315">
        <f>DC$7*'Mkt share'!$C$95</f>
        <v>0</v>
      </c>
      <c r="DD27" s="315">
        <f>DD$7*'Mkt share'!$D$95</f>
        <v>0</v>
      </c>
      <c r="DE27" s="315">
        <f>DE$7*'Mkt share'!$E$95</f>
        <v>0</v>
      </c>
      <c r="DF27" s="315">
        <f>DF$7*'Mkt share'!$F$95</f>
        <v>0</v>
      </c>
      <c r="DG27" s="387">
        <f>DG$7*'Mkt share'!$G$95</f>
        <v>0</v>
      </c>
    </row>
    <row r="28" spans="2:113">
      <c r="B28" s="80"/>
      <c r="C28" s="92"/>
      <c r="D28" s="92"/>
      <c r="E28" s="92"/>
      <c r="F28" s="92"/>
      <c r="G28" s="92"/>
      <c r="J28" s="80"/>
      <c r="K28" s="92"/>
      <c r="L28" s="92"/>
      <c r="M28" s="92"/>
      <c r="N28" s="92"/>
      <c r="O28" s="92"/>
      <c r="R28" s="80"/>
      <c r="S28" s="92"/>
      <c r="T28" s="92"/>
      <c r="U28" s="92"/>
      <c r="V28" s="92"/>
      <c r="W28" s="92"/>
      <c r="Z28" s="80"/>
      <c r="AA28" s="92"/>
      <c r="AB28" s="92"/>
      <c r="AC28" s="92"/>
      <c r="AD28" s="92"/>
      <c r="AE28" s="92"/>
      <c r="AH28" s="80"/>
      <c r="AI28" s="92"/>
      <c r="AJ28" s="92"/>
      <c r="AK28" s="92"/>
      <c r="AL28" s="92"/>
      <c r="AM28" s="92"/>
      <c r="AP28" s="80"/>
      <c r="AQ28" s="92"/>
      <c r="AR28" s="92"/>
      <c r="AS28" s="92"/>
      <c r="AT28" s="92"/>
      <c r="AU28" s="92"/>
      <c r="AX28" s="80"/>
      <c r="AY28" s="92"/>
      <c r="AZ28" s="92"/>
      <c r="BA28" s="92"/>
      <c r="BB28" s="92"/>
      <c r="BC28" s="92"/>
      <c r="BF28" s="80"/>
      <c r="BG28" s="92"/>
      <c r="BH28" s="92"/>
      <c r="BI28" s="92"/>
      <c r="BJ28" s="92"/>
      <c r="BK28" s="92"/>
      <c r="BN28" s="80"/>
      <c r="BO28" s="92"/>
      <c r="BP28" s="92"/>
      <c r="BQ28" s="92"/>
      <c r="BR28" s="92"/>
      <c r="BS28" s="92"/>
      <c r="BV28" s="80"/>
      <c r="BW28" s="92"/>
      <c r="BX28" s="92"/>
      <c r="BY28" s="92"/>
      <c r="BZ28" s="92"/>
      <c r="CA28" s="92"/>
      <c r="CD28" s="80"/>
      <c r="CE28" s="92"/>
      <c r="CF28" s="92"/>
      <c r="CG28" s="92"/>
      <c r="CH28" s="92"/>
      <c r="CI28" s="92"/>
      <c r="CL28" s="80"/>
      <c r="CM28" s="92"/>
      <c r="CN28" s="92"/>
      <c r="CO28" s="92"/>
      <c r="CP28" s="92"/>
      <c r="CQ28" s="92"/>
      <c r="CT28" s="80"/>
      <c r="CU28" s="92"/>
      <c r="CV28" s="92"/>
      <c r="CW28" s="92"/>
      <c r="CX28" s="92"/>
      <c r="CY28" s="92"/>
      <c r="DB28" s="80"/>
      <c r="DC28" s="92"/>
      <c r="DD28" s="92"/>
      <c r="DE28" s="92"/>
      <c r="DF28" s="92"/>
      <c r="DG28" s="92"/>
    </row>
    <row r="30" spans="2:113" s="81" customFormat="1">
      <c r="B30" s="120"/>
      <c r="C30" s="120"/>
      <c r="D30" s="120"/>
      <c r="E30" s="120"/>
      <c r="F30" s="120"/>
      <c r="G30" s="120"/>
      <c r="H30" s="82"/>
      <c r="I30" s="82"/>
      <c r="J30" s="120"/>
      <c r="K30" s="120"/>
      <c r="L30" s="120"/>
      <c r="M30" s="120"/>
      <c r="N30" s="120"/>
      <c r="O30" s="120"/>
      <c r="P30" s="82"/>
      <c r="Q30" s="82"/>
      <c r="R30" s="120"/>
      <c r="S30" s="120"/>
      <c r="T30" s="120"/>
      <c r="U30" s="120"/>
      <c r="V30" s="120"/>
      <c r="W30" s="120"/>
      <c r="X30" s="82"/>
      <c r="Y30" s="82"/>
      <c r="Z30" s="120"/>
      <c r="AA30" s="120"/>
      <c r="AB30" s="120"/>
      <c r="AC30" s="120"/>
      <c r="AD30" s="120"/>
      <c r="AE30" s="120"/>
      <c r="AF30" s="82"/>
      <c r="AG30" s="82"/>
      <c r="AH30" s="120"/>
      <c r="AI30" s="120"/>
      <c r="AJ30" s="120"/>
      <c r="AK30" s="120"/>
      <c r="AL30" s="120"/>
      <c r="AM30" s="120"/>
      <c r="AN30" s="82"/>
      <c r="AO30" s="82"/>
      <c r="AP30" s="120"/>
      <c r="AQ30" s="120"/>
      <c r="AR30" s="120"/>
      <c r="AS30" s="120"/>
      <c r="AT30" s="120"/>
      <c r="AU30" s="120"/>
      <c r="AV30" s="82"/>
      <c r="AW30" s="82"/>
      <c r="AX30" s="120"/>
      <c r="AY30" s="120"/>
      <c r="AZ30" s="120"/>
      <c r="BA30" s="120"/>
      <c r="BB30" s="120"/>
      <c r="BC30" s="120"/>
      <c r="BD30" s="82"/>
      <c r="BE30" s="82"/>
      <c r="BF30" s="120"/>
      <c r="BG30" s="120"/>
      <c r="BH30" s="120"/>
      <c r="BI30" s="120"/>
      <c r="BJ30" s="120"/>
      <c r="BK30" s="120"/>
      <c r="BL30" s="82"/>
      <c r="BM30" s="82"/>
      <c r="BN30" s="120"/>
      <c r="BO30" s="120"/>
      <c r="BP30" s="120"/>
      <c r="BQ30" s="120"/>
      <c r="BR30" s="120"/>
      <c r="BS30" s="120"/>
      <c r="BT30" s="82"/>
      <c r="BU30" s="82"/>
      <c r="BV30" s="120"/>
      <c r="BW30" s="120"/>
      <c r="BX30" s="120"/>
      <c r="BY30" s="120"/>
      <c r="BZ30" s="120"/>
      <c r="CA30" s="120"/>
      <c r="CB30" s="82"/>
      <c r="CC30" s="82"/>
      <c r="CD30" s="120"/>
      <c r="CE30" s="120"/>
      <c r="CF30" s="120"/>
      <c r="CG30" s="120"/>
      <c r="CH30" s="120"/>
      <c r="CI30" s="120"/>
      <c r="CJ30" s="82"/>
      <c r="CK30" s="82"/>
      <c r="CL30" s="120"/>
      <c r="CM30" s="120"/>
      <c r="CN30" s="120"/>
      <c r="CO30" s="120"/>
      <c r="CP30" s="120"/>
      <c r="CQ30" s="120"/>
      <c r="CR30" s="82"/>
      <c r="CS30" s="82"/>
      <c r="CT30" s="120"/>
      <c r="CU30" s="120"/>
      <c r="CV30" s="120"/>
      <c r="CW30" s="120"/>
      <c r="CX30" s="120"/>
      <c r="CY30" s="120"/>
      <c r="CZ30" s="82"/>
      <c r="DA30" s="82"/>
      <c r="DB30" s="120"/>
      <c r="DC30" s="120"/>
      <c r="DD30" s="120"/>
      <c r="DE30" s="120"/>
      <c r="DF30" s="120"/>
      <c r="DG30" s="120"/>
      <c r="DH30" s="82"/>
      <c r="DI30" s="82"/>
    </row>
    <row r="31" spans="2:113" s="76" customFormat="1" ht="21">
      <c r="B31" s="502" t="str">
        <f>intervencao1</f>
        <v>PET-CT</v>
      </c>
      <c r="C31" s="502"/>
      <c r="D31" s="502"/>
      <c r="E31" s="502"/>
      <c r="F31" s="502"/>
      <c r="G31" s="502"/>
      <c r="H31" s="502"/>
      <c r="I31" s="77"/>
      <c r="J31" s="502">
        <f>intervencao2</f>
        <v>0</v>
      </c>
      <c r="K31" s="502"/>
      <c r="L31" s="502"/>
      <c r="M31" s="502"/>
      <c r="N31" s="502"/>
      <c r="O31" s="502"/>
      <c r="P31" s="502"/>
      <c r="Q31" s="77"/>
      <c r="R31" s="502">
        <f>intervencao3</f>
        <v>0</v>
      </c>
      <c r="S31" s="502"/>
      <c r="T31" s="502"/>
      <c r="U31" s="502"/>
      <c r="V31" s="502"/>
      <c r="W31" s="502"/>
      <c r="X31" s="502"/>
      <c r="Y31" s="77"/>
      <c r="Z31" s="502">
        <f>intervencao4</f>
        <v>0</v>
      </c>
      <c r="AA31" s="502"/>
      <c r="AB31" s="502"/>
      <c r="AC31" s="502"/>
      <c r="AD31" s="502"/>
      <c r="AE31" s="502"/>
      <c r="AF31" s="502"/>
      <c r="AG31" s="77"/>
      <c r="AH31" s="502" t="str">
        <f>comparador1</f>
        <v>CT scan + scintigraphy</v>
      </c>
      <c r="AI31" s="502"/>
      <c r="AJ31" s="502"/>
      <c r="AK31" s="502"/>
      <c r="AL31" s="502"/>
      <c r="AM31" s="502"/>
      <c r="AN31" s="502"/>
      <c r="AO31" s="77"/>
      <c r="AP31" s="502">
        <f>comparador2</f>
        <v>0</v>
      </c>
      <c r="AQ31" s="502"/>
      <c r="AR31" s="502"/>
      <c r="AS31" s="502"/>
      <c r="AT31" s="502"/>
      <c r="AU31" s="502"/>
      <c r="AV31" s="502"/>
      <c r="AW31" s="77"/>
      <c r="AX31" s="502">
        <f>comparador3</f>
        <v>0</v>
      </c>
      <c r="AY31" s="502"/>
      <c r="AZ31" s="502"/>
      <c r="BA31" s="502"/>
      <c r="BB31" s="502"/>
      <c r="BC31" s="502"/>
      <c r="BD31" s="502"/>
      <c r="BE31" s="77"/>
      <c r="BF31" s="502">
        <f>comparador4</f>
        <v>0</v>
      </c>
      <c r="BG31" s="502"/>
      <c r="BH31" s="502"/>
      <c r="BI31" s="502"/>
      <c r="BJ31" s="502"/>
      <c r="BK31" s="502"/>
      <c r="BL31" s="502"/>
      <c r="BM31" s="77"/>
      <c r="BN31" s="502">
        <f>comparador5</f>
        <v>0</v>
      </c>
      <c r="BO31" s="502"/>
      <c r="BP31" s="502"/>
      <c r="BQ31" s="502"/>
      <c r="BR31" s="502"/>
      <c r="BS31" s="502"/>
      <c r="BT31" s="502"/>
      <c r="BU31" s="77"/>
      <c r="BV31" s="502">
        <f>comparador6</f>
        <v>0</v>
      </c>
      <c r="BW31" s="502"/>
      <c r="BX31" s="502"/>
      <c r="BY31" s="502"/>
      <c r="BZ31" s="502"/>
      <c r="CA31" s="502"/>
      <c r="CB31" s="502"/>
      <c r="CC31" s="77"/>
      <c r="CD31" s="502">
        <f>comparador7</f>
        <v>0</v>
      </c>
      <c r="CE31" s="502"/>
      <c r="CF31" s="502"/>
      <c r="CG31" s="502"/>
      <c r="CH31" s="502"/>
      <c r="CI31" s="502"/>
      <c r="CJ31" s="502"/>
      <c r="CK31" s="77"/>
      <c r="CL31" s="502">
        <f>comparador8</f>
        <v>0</v>
      </c>
      <c r="CM31" s="502"/>
      <c r="CN31" s="502"/>
      <c r="CO31" s="502"/>
      <c r="CP31" s="502"/>
      <c r="CQ31" s="502"/>
      <c r="CR31" s="502"/>
      <c r="CS31" s="77"/>
      <c r="CT31" s="502">
        <f>comparador9</f>
        <v>0</v>
      </c>
      <c r="CU31" s="502"/>
      <c r="CV31" s="502"/>
      <c r="CW31" s="502"/>
      <c r="CX31" s="502"/>
      <c r="CY31" s="502"/>
      <c r="CZ31" s="502"/>
      <c r="DA31" s="77"/>
      <c r="DB31" s="502">
        <f>comparador10</f>
        <v>0</v>
      </c>
      <c r="DC31" s="502"/>
      <c r="DD31" s="502"/>
      <c r="DE31" s="502"/>
      <c r="DF31" s="502"/>
      <c r="DG31" s="502"/>
      <c r="DH31" s="502"/>
      <c r="DI31" s="77"/>
    </row>
    <row r="32" spans="2:113" ht="18">
      <c r="B32" s="503" t="s">
        <v>181</v>
      </c>
      <c r="C32" s="503"/>
      <c r="D32" s="503"/>
      <c r="E32" s="503"/>
      <c r="F32" s="503"/>
      <c r="G32" s="503"/>
      <c r="H32" s="71"/>
      <c r="I32" s="71"/>
      <c r="J32" s="503" t="s">
        <v>181</v>
      </c>
      <c r="K32" s="503"/>
      <c r="L32" s="503"/>
      <c r="M32" s="503"/>
      <c r="N32" s="503"/>
      <c r="O32" s="503"/>
      <c r="P32" s="71"/>
      <c r="Q32" s="71"/>
      <c r="R32" s="503" t="s">
        <v>181</v>
      </c>
      <c r="S32" s="503"/>
      <c r="T32" s="503"/>
      <c r="U32" s="503"/>
      <c r="V32" s="503"/>
      <c r="W32" s="503"/>
      <c r="X32" s="71"/>
      <c r="Y32" s="71"/>
      <c r="Z32" s="503" t="s">
        <v>181</v>
      </c>
      <c r="AA32" s="503"/>
      <c r="AB32" s="503"/>
      <c r="AC32" s="503"/>
      <c r="AD32" s="503"/>
      <c r="AE32" s="503"/>
      <c r="AF32" s="71"/>
      <c r="AG32" s="71"/>
      <c r="AH32" s="503" t="s">
        <v>181</v>
      </c>
      <c r="AI32" s="503"/>
      <c r="AJ32" s="503"/>
      <c r="AK32" s="503"/>
      <c r="AL32" s="503"/>
      <c r="AM32" s="503"/>
      <c r="AN32" s="71"/>
      <c r="AO32" s="71"/>
      <c r="AP32" s="503" t="s">
        <v>181</v>
      </c>
      <c r="AQ32" s="503"/>
      <c r="AR32" s="503"/>
      <c r="AS32" s="503"/>
      <c r="AT32" s="503"/>
      <c r="AU32" s="503"/>
      <c r="AV32" s="71"/>
      <c r="AW32" s="71"/>
      <c r="AX32" s="503" t="s">
        <v>181</v>
      </c>
      <c r="AY32" s="503"/>
      <c r="AZ32" s="503"/>
      <c r="BA32" s="503"/>
      <c r="BB32" s="503"/>
      <c r="BC32" s="503"/>
      <c r="BD32" s="71"/>
      <c r="BE32" s="71"/>
      <c r="BF32" s="503" t="s">
        <v>181</v>
      </c>
      <c r="BG32" s="503"/>
      <c r="BH32" s="503"/>
      <c r="BI32" s="503"/>
      <c r="BJ32" s="503"/>
      <c r="BK32" s="503"/>
      <c r="BL32" s="71"/>
      <c r="BM32" s="71"/>
      <c r="BN32" s="503" t="s">
        <v>181</v>
      </c>
      <c r="BO32" s="503"/>
      <c r="BP32" s="503"/>
      <c r="BQ32" s="503"/>
      <c r="BR32" s="503"/>
      <c r="BS32" s="503"/>
      <c r="BT32" s="71"/>
      <c r="BU32" s="71"/>
      <c r="BV32" s="503" t="s">
        <v>181</v>
      </c>
      <c r="BW32" s="503"/>
      <c r="BX32" s="503"/>
      <c r="BY32" s="503"/>
      <c r="BZ32" s="503"/>
      <c r="CA32" s="503"/>
      <c r="CB32" s="71"/>
      <c r="CC32" s="71"/>
      <c r="CD32" s="503" t="s">
        <v>181</v>
      </c>
      <c r="CE32" s="503"/>
      <c r="CF32" s="503"/>
      <c r="CG32" s="503"/>
      <c r="CH32" s="503"/>
      <c r="CI32" s="503"/>
      <c r="CJ32" s="71"/>
      <c r="CK32" s="71"/>
      <c r="CL32" s="503" t="s">
        <v>181</v>
      </c>
      <c r="CM32" s="503"/>
      <c r="CN32" s="503"/>
      <c r="CO32" s="503"/>
      <c r="CP32" s="503"/>
      <c r="CQ32" s="503"/>
      <c r="CR32" s="71"/>
      <c r="CS32" s="71"/>
      <c r="CT32" s="503" t="s">
        <v>181</v>
      </c>
      <c r="CU32" s="503"/>
      <c r="CV32" s="503"/>
      <c r="CW32" s="503"/>
      <c r="CX32" s="503"/>
      <c r="CY32" s="503"/>
      <c r="CZ32" s="71"/>
      <c r="DA32" s="71"/>
      <c r="DB32" s="503" t="s">
        <v>181</v>
      </c>
      <c r="DC32" s="503"/>
      <c r="DD32" s="503"/>
      <c r="DE32" s="503"/>
      <c r="DF32" s="503"/>
      <c r="DG32" s="503"/>
      <c r="DH32" s="71"/>
      <c r="DI32" s="71"/>
    </row>
    <row r="33" spans="2:113" ht="15" thickBot="1">
      <c r="B33" s="83"/>
      <c r="C33" s="83"/>
      <c r="D33" s="83"/>
      <c r="E33" s="83"/>
      <c r="F33" s="83"/>
      <c r="G33" s="83"/>
      <c r="J33" s="83"/>
      <c r="K33" s="83"/>
      <c r="L33" s="83"/>
      <c r="M33" s="83"/>
      <c r="N33" s="83"/>
      <c r="O33" s="83"/>
      <c r="R33" s="83"/>
      <c r="S33" s="83"/>
      <c r="T33" s="83"/>
      <c r="U33" s="83"/>
      <c r="V33" s="83"/>
      <c r="W33" s="83"/>
      <c r="Z33" s="83"/>
      <c r="AA33" s="83"/>
      <c r="AB33" s="83"/>
      <c r="AC33" s="83"/>
      <c r="AD33" s="83"/>
      <c r="AE33" s="83"/>
      <c r="AH33" s="83"/>
      <c r="AI33" s="83"/>
      <c r="AJ33" s="83"/>
      <c r="AK33" s="83"/>
      <c r="AL33" s="83"/>
      <c r="AM33" s="83"/>
      <c r="AP33" s="83"/>
      <c r="AQ33" s="83"/>
      <c r="AR33" s="83"/>
      <c r="AS33" s="83"/>
      <c r="AT33" s="83"/>
      <c r="AU33" s="83"/>
      <c r="AX33" s="83"/>
      <c r="AY33" s="83"/>
      <c r="AZ33" s="83"/>
      <c r="BA33" s="83"/>
      <c r="BB33" s="83"/>
      <c r="BC33" s="83"/>
      <c r="BF33" s="83"/>
      <c r="BG33" s="83"/>
      <c r="BH33" s="83"/>
      <c r="BI33" s="83"/>
      <c r="BJ33" s="83"/>
      <c r="BK33" s="83"/>
      <c r="BN33" s="83"/>
      <c r="BO33" s="83"/>
      <c r="BP33" s="83"/>
      <c r="BQ33" s="83"/>
      <c r="BR33" s="83"/>
      <c r="BS33" s="83"/>
      <c r="BV33" s="83"/>
      <c r="BW33" s="83"/>
      <c r="BX33" s="83"/>
      <c r="BY33" s="83"/>
      <c r="BZ33" s="83"/>
      <c r="CA33" s="83"/>
      <c r="CD33" s="83"/>
      <c r="CE33" s="83"/>
      <c r="CF33" s="83"/>
      <c r="CG33" s="83"/>
      <c r="CH33" s="83"/>
      <c r="CI33" s="83"/>
      <c r="CL33" s="83"/>
      <c r="CM33" s="83"/>
      <c r="CN33" s="83"/>
      <c r="CO33" s="83"/>
      <c r="CP33" s="83"/>
      <c r="CQ33" s="83"/>
      <c r="CT33" s="83"/>
      <c r="CU33" s="83"/>
      <c r="CV33" s="83"/>
      <c r="CW33" s="83"/>
      <c r="CX33" s="83"/>
      <c r="CY33" s="83"/>
      <c r="DB33" s="83"/>
      <c r="DC33" s="83"/>
      <c r="DD33" s="83"/>
      <c r="DE33" s="83"/>
      <c r="DF33" s="83"/>
      <c r="DG33" s="83"/>
    </row>
    <row r="34" spans="2:113" ht="15" thickBot="1">
      <c r="B34" s="504" t="str">
        <f>B13</f>
        <v>Without PET-CT</v>
      </c>
      <c r="C34" s="505"/>
      <c r="D34" s="505"/>
      <c r="E34" s="505"/>
      <c r="F34" s="505"/>
      <c r="G34" s="506"/>
      <c r="J34" s="504" t="str">
        <f>J13</f>
        <v>Without PET-CT</v>
      </c>
      <c r="K34" s="505"/>
      <c r="L34" s="505"/>
      <c r="M34" s="505"/>
      <c r="N34" s="505"/>
      <c r="O34" s="506"/>
      <c r="R34" s="504" t="str">
        <f>R13</f>
        <v>Without PET-CT</v>
      </c>
      <c r="S34" s="505"/>
      <c r="T34" s="505"/>
      <c r="U34" s="505"/>
      <c r="V34" s="505"/>
      <c r="W34" s="506"/>
      <c r="Z34" s="504" t="str">
        <f>Z13</f>
        <v>Without PET-CT</v>
      </c>
      <c r="AA34" s="505"/>
      <c r="AB34" s="505"/>
      <c r="AC34" s="505"/>
      <c r="AD34" s="505"/>
      <c r="AE34" s="506"/>
      <c r="AH34" s="504" t="str">
        <f>AH13</f>
        <v>Without PET-CT</v>
      </c>
      <c r="AI34" s="505"/>
      <c r="AJ34" s="505"/>
      <c r="AK34" s="505"/>
      <c r="AL34" s="505"/>
      <c r="AM34" s="506"/>
      <c r="AP34" s="504" t="str">
        <f>AP13</f>
        <v>Without PET-CT</v>
      </c>
      <c r="AQ34" s="505"/>
      <c r="AR34" s="505"/>
      <c r="AS34" s="505"/>
      <c r="AT34" s="505"/>
      <c r="AU34" s="506"/>
      <c r="AX34" s="504" t="str">
        <f>AX13</f>
        <v>Without PET-CT</v>
      </c>
      <c r="AY34" s="505"/>
      <c r="AZ34" s="505"/>
      <c r="BA34" s="505"/>
      <c r="BB34" s="505"/>
      <c r="BC34" s="506"/>
      <c r="BF34" s="504" t="str">
        <f>BF13</f>
        <v>Without PET-CT</v>
      </c>
      <c r="BG34" s="505"/>
      <c r="BH34" s="505"/>
      <c r="BI34" s="505"/>
      <c r="BJ34" s="505"/>
      <c r="BK34" s="506"/>
      <c r="BN34" s="504" t="str">
        <f>BN13</f>
        <v>Without PET-CT</v>
      </c>
      <c r="BO34" s="505"/>
      <c r="BP34" s="505"/>
      <c r="BQ34" s="505"/>
      <c r="BR34" s="505"/>
      <c r="BS34" s="506"/>
      <c r="BV34" s="504" t="str">
        <f>BV13</f>
        <v>Without PET-CT</v>
      </c>
      <c r="BW34" s="505"/>
      <c r="BX34" s="505"/>
      <c r="BY34" s="505"/>
      <c r="BZ34" s="505"/>
      <c r="CA34" s="506"/>
      <c r="CD34" s="504" t="str">
        <f>CD13</f>
        <v>Without PET-CT</v>
      </c>
      <c r="CE34" s="505"/>
      <c r="CF34" s="505"/>
      <c r="CG34" s="505"/>
      <c r="CH34" s="505"/>
      <c r="CI34" s="506"/>
      <c r="CL34" s="504" t="str">
        <f>CL13</f>
        <v>Without PET-CT</v>
      </c>
      <c r="CM34" s="505"/>
      <c r="CN34" s="505"/>
      <c r="CO34" s="505"/>
      <c r="CP34" s="505"/>
      <c r="CQ34" s="506"/>
      <c r="CT34" s="504" t="str">
        <f>CT13</f>
        <v>Without PET-CT</v>
      </c>
      <c r="CU34" s="505"/>
      <c r="CV34" s="505"/>
      <c r="CW34" s="505"/>
      <c r="CX34" s="505"/>
      <c r="CY34" s="506"/>
      <c r="DB34" s="504" t="str">
        <f>DB13</f>
        <v>Without PET-CT</v>
      </c>
      <c r="DC34" s="505"/>
      <c r="DD34" s="505"/>
      <c r="DE34" s="505"/>
      <c r="DF34" s="505"/>
      <c r="DG34" s="506"/>
    </row>
    <row r="35" spans="2:113">
      <c r="B35" s="84"/>
      <c r="C35" s="101">
        <f>C14</f>
        <v>2024</v>
      </c>
      <c r="D35" s="101">
        <f>D14</f>
        <v>2025</v>
      </c>
      <c r="E35" s="101">
        <f>E14</f>
        <v>2026</v>
      </c>
      <c r="F35" s="101">
        <f>F14</f>
        <v>2027</v>
      </c>
      <c r="G35" s="102">
        <f>G14</f>
        <v>2028</v>
      </c>
      <c r="J35" s="84"/>
      <c r="K35" s="101">
        <f>K14</f>
        <v>2024</v>
      </c>
      <c r="L35" s="101">
        <f>L14</f>
        <v>2025</v>
      </c>
      <c r="M35" s="101">
        <f>M14</f>
        <v>2026</v>
      </c>
      <c r="N35" s="101">
        <f>N14</f>
        <v>2027</v>
      </c>
      <c r="O35" s="102">
        <f>O14</f>
        <v>2028</v>
      </c>
      <c r="R35" s="84"/>
      <c r="S35" s="101">
        <f>S14</f>
        <v>2024</v>
      </c>
      <c r="T35" s="101">
        <f>T14</f>
        <v>2025</v>
      </c>
      <c r="U35" s="101">
        <f>U14</f>
        <v>2026</v>
      </c>
      <c r="V35" s="101">
        <f>V14</f>
        <v>2027</v>
      </c>
      <c r="W35" s="102">
        <f>W14</f>
        <v>2028</v>
      </c>
      <c r="Z35" s="84"/>
      <c r="AA35" s="101">
        <f>AA14</f>
        <v>2024</v>
      </c>
      <c r="AB35" s="101">
        <f>AB14</f>
        <v>2025</v>
      </c>
      <c r="AC35" s="101">
        <f>AC14</f>
        <v>2026</v>
      </c>
      <c r="AD35" s="101">
        <f>AD14</f>
        <v>2027</v>
      </c>
      <c r="AE35" s="102">
        <f>AE14</f>
        <v>2028</v>
      </c>
      <c r="AH35" s="84"/>
      <c r="AI35" s="101">
        <f>AI14</f>
        <v>2024</v>
      </c>
      <c r="AJ35" s="101">
        <f>AJ14</f>
        <v>2025</v>
      </c>
      <c r="AK35" s="101">
        <f>AK14</f>
        <v>2026</v>
      </c>
      <c r="AL35" s="101">
        <f>AL14</f>
        <v>2027</v>
      </c>
      <c r="AM35" s="102">
        <f>AM14</f>
        <v>2028</v>
      </c>
      <c r="AP35" s="84"/>
      <c r="AQ35" s="101">
        <f>AQ14</f>
        <v>2024</v>
      </c>
      <c r="AR35" s="101">
        <f>AR14</f>
        <v>2025</v>
      </c>
      <c r="AS35" s="101">
        <f>AS14</f>
        <v>2026</v>
      </c>
      <c r="AT35" s="101">
        <f>AT14</f>
        <v>2027</v>
      </c>
      <c r="AU35" s="102">
        <f>AU14</f>
        <v>2028</v>
      </c>
      <c r="AX35" s="84"/>
      <c r="AY35" s="101">
        <f>AY14</f>
        <v>2024</v>
      </c>
      <c r="AZ35" s="101">
        <f>AZ14</f>
        <v>2025</v>
      </c>
      <c r="BA35" s="101">
        <f>BA14</f>
        <v>2026</v>
      </c>
      <c r="BB35" s="101">
        <f>BB14</f>
        <v>2027</v>
      </c>
      <c r="BC35" s="102">
        <f>BC14</f>
        <v>2028</v>
      </c>
      <c r="BF35" s="84"/>
      <c r="BG35" s="101">
        <f>BG14</f>
        <v>2024</v>
      </c>
      <c r="BH35" s="101">
        <f>BH14</f>
        <v>2025</v>
      </c>
      <c r="BI35" s="101">
        <f>BI14</f>
        <v>2026</v>
      </c>
      <c r="BJ35" s="101">
        <f>BJ14</f>
        <v>2027</v>
      </c>
      <c r="BK35" s="102">
        <f>BK14</f>
        <v>2028</v>
      </c>
      <c r="BN35" s="84"/>
      <c r="BO35" s="101">
        <f>BO14</f>
        <v>2024</v>
      </c>
      <c r="BP35" s="101">
        <f>BP14</f>
        <v>2025</v>
      </c>
      <c r="BQ35" s="101">
        <f>BQ14</f>
        <v>2026</v>
      </c>
      <c r="BR35" s="101">
        <f>BR14</f>
        <v>2027</v>
      </c>
      <c r="BS35" s="102">
        <f>BS14</f>
        <v>2028</v>
      </c>
      <c r="BV35" s="84"/>
      <c r="BW35" s="101">
        <f>BW14</f>
        <v>2024</v>
      </c>
      <c r="BX35" s="101">
        <f>BX14</f>
        <v>2025</v>
      </c>
      <c r="BY35" s="101">
        <f>BY14</f>
        <v>2026</v>
      </c>
      <c r="BZ35" s="101">
        <f>BZ14</f>
        <v>2027</v>
      </c>
      <c r="CA35" s="102">
        <f>CA14</f>
        <v>2028</v>
      </c>
      <c r="CD35" s="84"/>
      <c r="CE35" s="101">
        <f>CE14</f>
        <v>2024</v>
      </c>
      <c r="CF35" s="101">
        <f>CF14</f>
        <v>2025</v>
      </c>
      <c r="CG35" s="101">
        <f>CG14</f>
        <v>2026</v>
      </c>
      <c r="CH35" s="101">
        <f>CH14</f>
        <v>2027</v>
      </c>
      <c r="CI35" s="102">
        <f>CI14</f>
        <v>2028</v>
      </c>
      <c r="CL35" s="84"/>
      <c r="CM35" s="101">
        <f>CM14</f>
        <v>2024</v>
      </c>
      <c r="CN35" s="101">
        <f>CN14</f>
        <v>2025</v>
      </c>
      <c r="CO35" s="101">
        <f>CO14</f>
        <v>2026</v>
      </c>
      <c r="CP35" s="101">
        <f>CP14</f>
        <v>2027</v>
      </c>
      <c r="CQ35" s="102">
        <f>CQ14</f>
        <v>2028</v>
      </c>
      <c r="CT35" s="84"/>
      <c r="CU35" s="101">
        <f>CU14</f>
        <v>2024</v>
      </c>
      <c r="CV35" s="101">
        <f>CV14</f>
        <v>2025</v>
      </c>
      <c r="CW35" s="101">
        <f>CW14</f>
        <v>2026</v>
      </c>
      <c r="CX35" s="101">
        <f>CX14</f>
        <v>2027</v>
      </c>
      <c r="CY35" s="102">
        <f>CY14</f>
        <v>2028</v>
      </c>
      <c r="DB35" s="84"/>
      <c r="DC35" s="101">
        <f>DC14</f>
        <v>2024</v>
      </c>
      <c r="DD35" s="101">
        <f>DD14</f>
        <v>2025</v>
      </c>
      <c r="DE35" s="101">
        <f>DE14</f>
        <v>2026</v>
      </c>
      <c r="DF35" s="101">
        <f>DF14</f>
        <v>2027</v>
      </c>
      <c r="DG35" s="102">
        <f>DG14</f>
        <v>2028</v>
      </c>
    </row>
    <row r="36" spans="2:113" s="83" customFormat="1" ht="15" thickBot="1">
      <c r="B36" s="386"/>
      <c r="C36" s="388">
        <f ca="1">(C15*c_inicial)+(C15*c_on*12)+(C15*ci_int1)+(C15*(ct_int1+ca_int1)*'Time on treatment'!$D$12)</f>
        <v>0</v>
      </c>
      <c r="D36" s="388">
        <f ca="1">((D15-C15)*(c_inicial+ci_int1))+(D15*c_on*12)+(D15*(ct_int1+ca_int1)*'Time on treatment'!$D$12)</f>
        <v>0</v>
      </c>
      <c r="E36" s="388">
        <f ca="1">(((E15-(D15-C15))-C15)*(c_inicial+ci_int1))+(E15*c_on*12)+(E15*(ct_int1+ca_int1)*'Time on treatment'!$D$12)</f>
        <v>0</v>
      </c>
      <c r="F36" s="388">
        <f ca="1">((F15-(E15-D15)-(D15-C15)-C15)*(c_inicial+ci_int1))+(F15*c_on*12)+(F15*(ct_int1+ca_int1)*'Time on treatment'!$D$12)</f>
        <v>0</v>
      </c>
      <c r="G36" s="389">
        <f ca="1">((G15-(F15-E15)-(E15-D15)-(D15-C15)-C15)*(c_inicial+ci_int1))+(G15*c_on*12)+(G15*(ct_int1+ca_int1)*'Time on treatment'!$D$12)</f>
        <v>0</v>
      </c>
      <c r="H36" s="77"/>
      <c r="I36" s="77"/>
      <c r="J36" s="386"/>
      <c r="K36" s="388">
        <f ca="1">(K15*c_inicial)+(K15*c_on*12)+(K15*ci_int2)+(K15*(ct_int2+ca_int2)*'Time on treatment'!$D$12)</f>
        <v>0</v>
      </c>
      <c r="L36" s="388">
        <f ca="1">((L15-K15)*(c_inicial+ci_int2))+(L15*c_on*12)+(L15*(ct_int2+ca_int2)*'Time on treatment'!$D$12)</f>
        <v>0</v>
      </c>
      <c r="M36" s="388">
        <f ca="1">(((M15-(L15-K15))-K15)*(c_inicial+ci_int2))+(M15*c_on*12)+(M15*(ct_int2+ca_int2)*'Time on treatment'!$D$12)</f>
        <v>0</v>
      </c>
      <c r="N36" s="388">
        <f ca="1">((N15-(M15-L15)-(L15-K15)-K15)*(c_inicial+ci_int2))+(N15*c_on*12)+(N15*(ct_int2+ca_int2)*'Time on treatment'!$D$12)</f>
        <v>0</v>
      </c>
      <c r="O36" s="389">
        <f ca="1">((O15-(N15-M15)-(M15-L15)-(L15-K15)-K15)*(c_inicial+ci_int2))+(O15*c_on*12)+(O15*(ct_int2+ca_int2)*'Time on treatment'!$D$12)</f>
        <v>0</v>
      </c>
      <c r="P36" s="77"/>
      <c r="Q36" s="77"/>
      <c r="R36" s="386"/>
      <c r="S36" s="388">
        <f ca="1">(S15*c_inicial)+(S15*c_on*12)+(S15*ci_int3)+(S15*(ct_int3+ca_int3)*'Time on treatment'!$D$12)</f>
        <v>0</v>
      </c>
      <c r="T36" s="388">
        <f ca="1">((T15-S15)*(c_inicial+ci_int3))+(T15*c_on*12)+(T15*(ct_int3+ca_int3)*'Time on treatment'!$D$12)</f>
        <v>0</v>
      </c>
      <c r="U36" s="388">
        <f ca="1">(((U15-(T15-S15))-S15)*(c_inicial+ci_int3))+(U15*c_on*12)+(U15*(ct_int3+ca_int3)*'Time on treatment'!$D$12)</f>
        <v>0</v>
      </c>
      <c r="V36" s="388">
        <f ca="1">((V15-(U15-T15)-(T15-S15)-S15)*(c_inicial+ci_int3))+(V15*c_on*12)+(V15*(ct_int3+ca_int3)*'Time on treatment'!$D$12)</f>
        <v>0</v>
      </c>
      <c r="W36" s="389">
        <f ca="1">((W15-(V15-U15)-(U15-T15)-(T15-S15)-S15)*(c_inicial+ci_int3))+(W15*c_on*12)+(W15*(ct_int3+ca_int3)*'Time on treatment'!$D$12)</f>
        <v>0</v>
      </c>
      <c r="X36" s="77"/>
      <c r="Y36" s="77"/>
      <c r="Z36" s="386"/>
      <c r="AA36" s="388">
        <f ca="1">(AA15*c_inicial)+(AA15*c_on*12)+(AA15*ci_int4)+(AA15*(ct_int4+ca_int4)*'Time on treatment'!$D$12)</f>
        <v>0</v>
      </c>
      <c r="AB36" s="388">
        <f ca="1">((AB15-AA15)*(c_inicial+ci_int4))+(AB15*c_on*12)+(AB15*(ct_int4+ca_int4)*'Time on treatment'!$D$12)</f>
        <v>0</v>
      </c>
      <c r="AC36" s="388">
        <f ca="1">(((AC15-(AB15-AA15))-AA15)*(c_inicial+ci_int4))+(AC15*c_on*12)+(AC15*(ct_int4+ca_int4)*'Time on treatment'!$D$12)</f>
        <v>0</v>
      </c>
      <c r="AD36" s="388">
        <f ca="1">((AD15-(AC15-AB15)-(AB15-AA15)-AA15)*(c_inicial+ci_int4))+(AD15*c_on*12)+(AD15*(ct_int4+ca_int4)*'Time on treatment'!$D$12)</f>
        <v>0</v>
      </c>
      <c r="AE36" s="389">
        <f ca="1">((AE15-(AD15-AC15)-(AC15-AB15)-(AB15-AA15)-AA15)*(c_inicial+ci_int4))+(AE15*c_on*12)+(AE15*(ct_int4+ca_int4)*'Time on treatment'!$D$12)</f>
        <v>0</v>
      </c>
      <c r="AF36" s="77"/>
      <c r="AG36" s="77"/>
      <c r="AH36" s="386"/>
      <c r="AI36" s="388">
        <f ca="1">(AI15*c_inicial)+(AI15*c_on*12)+(AI15*ci_comp1)+(AI15*(ct_comp1+ca_comp1)*'Time on treatment'!$D$12)</f>
        <v>5840477.6854851758</v>
      </c>
      <c r="AJ36" s="388">
        <f ca="1">((AJ15-AI15)*(c_inicial+ci_comp1))+(AJ15*c_on*12)+(AJ15*(ct_comp1+ca_comp1)*'Time on treatment'!$D$12)</f>
        <v>36076.471781948472</v>
      </c>
      <c r="AK36" s="388">
        <f ca="1">(((AK15-(AJ15-AI15))-AI15)*(c_inicial+ci_comp1))+(AK15*c_on*12)+(AK15*(ct_comp1+ca_comp1)*'Time on treatment'!$D$12)</f>
        <v>34541.955823967226</v>
      </c>
      <c r="AL36" s="388">
        <f ca="1">((AL15-(AK15-AJ15)-(AJ15-AI15)-AI15)*(c_inicial+ci_comp1))+(AL15*c_on*12)+(AL15*(ct_comp1+ca_comp1)*'Time on treatment'!$D$12)</f>
        <v>32966.148470746004</v>
      </c>
      <c r="AM36" s="389">
        <f ca="1">((AM15-(AL15-AK15)-(AK15-AJ15)-(AJ15-AI15)-AI15)*(c_inicial+ci_comp1))+(AM15*c_on*12)+(AM15*(ct_comp1+ca_comp1)*'Time on treatment'!$D$12)</f>
        <v>31349.13021233266</v>
      </c>
      <c r="AN36" s="77"/>
      <c r="AO36" s="77"/>
      <c r="AP36" s="386"/>
      <c r="AQ36" s="388">
        <f ca="1">(AQ15*c_inicial)+(AQ15*c_on*12)+(AQ15*ci_comp2)+(AQ15*(ct_comp2+ca_comp2)*'Time on treatment'!$D$12)</f>
        <v>0</v>
      </c>
      <c r="AR36" s="388">
        <f ca="1">((AR15-AQ15)*(c_inicial+ci_comp2))+(AR15*c_on*12)+(AR15*(ct_comp2+ca_comp2)*'Time on treatment'!$D$12)</f>
        <v>0</v>
      </c>
      <c r="AS36" s="388">
        <f ca="1">(((AS15-(AR15-AQ15))-AQ15)*(c_inicial+ci_comp2))+(AS15*c_on*12)+(AS15*(ct_comp2+ca_comp2)*'Time on treatment'!$D$12)</f>
        <v>0</v>
      </c>
      <c r="AT36" s="388">
        <f ca="1">((AT15-(AS15-AR15)-(AR15-AQ15)-AQ15)*(c_inicial+ci_comp2))+(AT15*c_on*12)+(AT15*(ct_comp2+ca_comp2)*'Time on treatment'!$D$12)</f>
        <v>0</v>
      </c>
      <c r="AU36" s="389">
        <f ca="1">((AU15-(AT15-AS15)-(AS15-AR15)-(AR15-AQ15)-AQ15)*(c_inicial+ci_comp2))+(AU15*c_on*12)+(AU15*(ct_comp2+ca_comp2)*'Time on treatment'!$D$12)</f>
        <v>0</v>
      </c>
      <c r="AV36" s="77"/>
      <c r="AW36" s="77"/>
      <c r="AX36" s="386"/>
      <c r="AY36" s="388">
        <f ca="1">(AY15*c_inicial)+(AY15*c_on*12)+(AY15*ci_comp3)+(AY15*(ct_comp3+ca_comp3)*'Time on treatment'!$D$12)</f>
        <v>0</v>
      </c>
      <c r="AZ36" s="388">
        <f ca="1">((AZ15-AY15)*(c_inicial+ci_comp3))+(AZ15*c_on*12)+(AZ15*(ct_comp3+ca_comp3)*'Time on treatment'!$D$12)</f>
        <v>0</v>
      </c>
      <c r="BA36" s="388">
        <f ca="1">(((BA15-(AZ15-AY15))-AY15)*(c_inicial+ci_comp3))+(BA15*c_on*12)+(BA15*(ct_comp3+ca_comp3)*'Time on treatment'!$D$12)</f>
        <v>0</v>
      </c>
      <c r="BB36" s="388">
        <f ca="1">((BB15-(BA15-AZ15)-(AZ15-AY15)-AY15)*(c_inicial+ci_comp3))+(BB15*c_on*12)+(BB15*(ct_comp3+ca_comp3)*'Time on treatment'!$D$12)</f>
        <v>0</v>
      </c>
      <c r="BC36" s="389">
        <f ca="1">((BC15-(BB15-BA15)-(BA15-AZ15)-(AZ15-AY15)-AY15)*(c_inicial+ci_comp3))+(BC15*c_on*12)+(BC15*(ct_comp3+ca_comp3)*'Time on treatment'!$D$12)</f>
        <v>0</v>
      </c>
      <c r="BD36" s="77"/>
      <c r="BE36" s="77"/>
      <c r="BF36" s="386"/>
      <c r="BG36" s="388">
        <f ca="1">(BG15*c_inicial)+(BG15*c_on*12)+(BG15*ci_comp4)+(BG15*(ct_comp4+ca_comp4)*'Time on treatment'!$D$12)</f>
        <v>0</v>
      </c>
      <c r="BH36" s="388">
        <f ca="1">((BH15-BG15)*(c_inicial+ci_comp4))+(BH15*c_on*12)+(BH15*(ct_comp4+ca_comp4)*'Time on treatment'!$D$12)</f>
        <v>0</v>
      </c>
      <c r="BI36" s="388">
        <f ca="1">(((BI15-(BH15-BG15))-BG15)*(c_inicial+ci_comp4))+(BI15*c_on*12)+(BI15*(ct_comp4+ca_comp4)*'Time on treatment'!$D$12)</f>
        <v>0</v>
      </c>
      <c r="BJ36" s="388">
        <f ca="1">((BJ15-(BI15-BH15)-(BH15-BG15)-BG15)*(c_inicial+ci_comp4))+(BJ15*c_on*12)+(BJ15*(ct_comp4+ca_comp4)*'Time on treatment'!$D$12)</f>
        <v>0</v>
      </c>
      <c r="BK36" s="389">
        <f ca="1">((BK15-(BJ15-BI15)-(BI15-BH15)-(BH15-BG15)-BG15)*(c_inicial+ci_comp4))+(BK15*c_on*12)+(BK15*(ct_comp4+ca_comp4)*'Time on treatment'!$D$12)</f>
        <v>0</v>
      </c>
      <c r="BL36" s="77"/>
      <c r="BM36" s="77"/>
      <c r="BN36" s="386"/>
      <c r="BO36" s="388">
        <f ca="1">(BO15*c_inicial)+(BO15*c_on*12)+(BO15*ci_comp5)+(BO15*(ct_comp5+ca_comp5)*'Time on treatment'!$D$12)</f>
        <v>0</v>
      </c>
      <c r="BP36" s="388">
        <f ca="1">((BP15-BO15)*(c_inicial+ci_comp5))+(BP15*c_on*12)+(BP15*(ct_comp5+ca_comp5)*'Time on treatment'!$D$12)</f>
        <v>0</v>
      </c>
      <c r="BQ36" s="388">
        <f ca="1">(((BQ15-(BP15-BO15))-BO15)*(c_inicial+ci_comp5))+(BQ15*c_on*12)+(BQ15*(ct_comp5+ca_comp5)*'Time on treatment'!$D$12)</f>
        <v>0</v>
      </c>
      <c r="BR36" s="388">
        <f ca="1">((BR15-(BQ15-BP15)-(BP15-BO15)-BO15)*(c_inicial+ci_comp5))+(BR15*c_on*12)+(BR15*(ct_comp5+ca_comp5)*'Time on treatment'!$D$12)</f>
        <v>0</v>
      </c>
      <c r="BS36" s="389">
        <f ca="1">((BS15-(BR15-BQ15)-(BQ15-BP15)-(BP15-BO15)-BO15)*(c_inicial+ci_comp5))+(BS15*c_on*12)+(BS15*(ct_comp5+ca_comp5)*'Time on treatment'!$D$12)</f>
        <v>0</v>
      </c>
      <c r="BT36" s="77"/>
      <c r="BU36" s="77"/>
      <c r="BV36" s="386"/>
      <c r="BW36" s="388">
        <f ca="1">(BW15*c_inicial)+(BW15*c_on*12)+(BW15*ci_comp6)+(BW15*(ct_comp6+ca_comp6)*'Time on treatment'!$D$12)</f>
        <v>0</v>
      </c>
      <c r="BX36" s="388">
        <f ca="1">((BX15-BW15)*(c_inicial+ci_comp6))+(BX15*c_on*12)+(BX15*(ct_comp6+ca_comp6)*'Time on treatment'!$D$12)</f>
        <v>0</v>
      </c>
      <c r="BY36" s="388">
        <f ca="1">(((BY15-(BX15-BW15))-BW15)*(c_inicial+ci_comp6))+(BY15*c_on*12)+(BY15*(ct_comp6+ca_comp6)*'Time on treatment'!$D$12)</f>
        <v>0</v>
      </c>
      <c r="BZ36" s="388">
        <f ca="1">((BZ15-(BY15-BX15)-(BX15-BW15)-BW15)*(c_inicial+ci_comp6))+(BZ15*c_on*12)+(BZ15*(ct_comp6+ca_comp6)*'Time on treatment'!$D$12)</f>
        <v>0</v>
      </c>
      <c r="CA36" s="389">
        <f ca="1">((CA15-(BZ15-BY15)-(BY15-BX15)-(BX15-BW15)-BW15)*(c_inicial+ci_comp6))+(CA15*c_on*12)+(CA15*(ct_comp6+ca_comp6)*'Time on treatment'!$D$12)</f>
        <v>0</v>
      </c>
      <c r="CB36" s="77"/>
      <c r="CC36" s="77"/>
      <c r="CD36" s="386"/>
      <c r="CE36" s="388">
        <f ca="1">(CE15*c_inicial)+(CE15*c_on*12)+(CE15*ci_comp7)+(CE15*(ct_comp7+ca_comp7)*'Time on treatment'!$D$12)</f>
        <v>0</v>
      </c>
      <c r="CF36" s="388">
        <f ca="1">((CF15-CE15)*(c_inicial+ci_comp7))+(CF15*c_on*12)+(CF15*(ct_comp7+ca_comp7)*'Time on treatment'!$D$12)</f>
        <v>0</v>
      </c>
      <c r="CG36" s="388">
        <f ca="1">(((CG15-(CF15-CE15))-CE15)*(c_inicial+ci_comp7))+(CG15*c_on*12)+(CG15*(ct_comp7+ca_comp7)*'Time on treatment'!$D$12)</f>
        <v>0</v>
      </c>
      <c r="CH36" s="388">
        <f ca="1">((CH15-(CG15-CF15)-(CF15-CE15)-CE15)*(c_inicial+ci_comp7))+(CH15*c_on*12)+(CH15*(ct_comp7+ca_comp7)*'Time on treatment'!$D$12)</f>
        <v>0</v>
      </c>
      <c r="CI36" s="389">
        <f ca="1">((CI15-(CH15-CG15)-(CG15-CF15)-(CF15-CE15)-CE15)*(c_inicial+ci_comp7))+(CI15*c_on*12)+(CI15*(ct_comp7+ca_comp7)*'Time on treatment'!$D$12)</f>
        <v>0</v>
      </c>
      <c r="CJ36" s="77"/>
      <c r="CK36" s="77"/>
      <c r="CL36" s="386"/>
      <c r="CM36" s="388">
        <f ca="1">(CM15*c_inicial)+(CM15*c_on*12)+(CM15*ci_comp8)+(CM15*(ct_comp8+ca_comp8)*'Time on treatment'!$D$12)</f>
        <v>0</v>
      </c>
      <c r="CN36" s="388">
        <f ca="1">((CN15-CM15)*(c_inicial+ci_comp8))+(CN15*c_on*12)+(CN15*(ct_comp8+ca_comp8)*'Time on treatment'!$D$12)</f>
        <v>0</v>
      </c>
      <c r="CO36" s="388">
        <f ca="1">(((CO15-(CN15-CM15))-CM15)*(c_inicial+ci_comp8))+(CO15*c_on*12)+(CO15*(ct_comp8+ca_comp8)*'Time on treatment'!$D$12)</f>
        <v>0</v>
      </c>
      <c r="CP36" s="388">
        <f ca="1">((CP15-(CO15-CN15)-(CN15-CM15)-CM15)*(c_inicial+ci_comp8))+(CP15*c_on*12)+(CP15*(ct_comp8+ca_comp8)*'Time on treatment'!$D$12)</f>
        <v>0</v>
      </c>
      <c r="CQ36" s="389">
        <f ca="1">((CQ15-(CP15-CO15)-(CO15-CN15)-(CN15-CM15)-CM15)*(c_inicial+ci_comp8))+(CQ15*c_on*12)+(CQ15*(ct_comp8+ca_comp8)*'Time on treatment'!$D$12)</f>
        <v>0</v>
      </c>
      <c r="CR36" s="77"/>
      <c r="CS36" s="77"/>
      <c r="CT36" s="386"/>
      <c r="CU36" s="388">
        <f ca="1">(CU15*c_inicial)+(CU15*c_on*12)+(CU15*ci_comp9)+(CU15*(ct_comp9+ca_comp9)*'Time on treatment'!$D$12)</f>
        <v>0</v>
      </c>
      <c r="CV36" s="388">
        <f ca="1">((CV15-CU15)*(c_inicial+ci_comp9))+(CV15*c_on*12)+(CV15*(ct_comp9+ca_comp9)*'Time on treatment'!$D$12)</f>
        <v>0</v>
      </c>
      <c r="CW36" s="388">
        <f ca="1">(((CW15-(CV15-CU15))-CU15)*(c_inicial+ci_comp9))+(CW15*c_on*12)+(CW15*(ct_comp9+ca_comp9)*'Time on treatment'!$D$12)</f>
        <v>0</v>
      </c>
      <c r="CX36" s="388">
        <f ca="1">((CX15-(CW15-CV15)-(CV15-CU15)-CU15)*(c_inicial+ci_comp9))+(CX15*c_on*12)+(CX15*(ct_comp9+ca_comp9)*'Time on treatment'!$D$12)</f>
        <v>0</v>
      </c>
      <c r="CY36" s="389">
        <f ca="1">((CY15-(CX15-CW15)-(CW15-CV15)-(CV15-CU15)-CU15)*(c_inicial+ci_comp9))+(CY15*c_on*12)+(CY15*(ct_comp9+ca_comp9)*'Time on treatment'!$D$12)</f>
        <v>0</v>
      </c>
      <c r="CZ36" s="77"/>
      <c r="DA36" s="77"/>
      <c r="DB36" s="386"/>
      <c r="DC36" s="388">
        <f ca="1">(DC15*c_inicial)+(DC15*c_on*12)+(DC15*ci_comp10)+(DC15*(ct_comp10+ca_comp10)*'Time on treatment'!$D$12)</f>
        <v>0</v>
      </c>
      <c r="DD36" s="388">
        <f ca="1">((DD15-DC15)*(c_inicial+ci_comp10))+(DD15*c_on*12)+(DD15*(ct_comp10+ca_comp10)*'Time on treatment'!$D$12)</f>
        <v>0</v>
      </c>
      <c r="DE36" s="388">
        <f ca="1">(((DE15-(DD15-DC15))-DC15)*(c_inicial+ci_comp10))+(DE15*c_on*12)+(DE15*(ct_comp10+ca_comp10)*'Time on treatment'!$D$12)</f>
        <v>0</v>
      </c>
      <c r="DF36" s="388">
        <f ca="1">((DF15-(DE15-DD15)-(DD15-DC15)-DC15)*(c_inicial+ci_comp10))+(DF15*c_on*12)+(DF15*(ct_comp10+ca_comp10)*'Time on treatment'!$D$12)</f>
        <v>0</v>
      </c>
      <c r="DG36" s="389">
        <f ca="1">((DG15-(DF15-DE15)-(DE15-DD15)-(DD15-DC15)-DC15)*(c_inicial+ci_comp10))+(DG15*c_on*12)+(DG15*(ct_comp10+ca_comp10)*'Time on treatment'!$D$12)</f>
        <v>0</v>
      </c>
      <c r="DH36" s="77"/>
      <c r="DI36" s="77"/>
    </row>
    <row r="37" spans="2:113" ht="15" thickBot="1">
      <c r="B37" s="83"/>
      <c r="C37" s="86"/>
      <c r="D37" s="86"/>
      <c r="E37" s="86"/>
      <c r="F37" s="86"/>
      <c r="G37" s="86"/>
      <c r="J37" s="83"/>
      <c r="K37" s="86"/>
      <c r="L37" s="86"/>
      <c r="M37" s="86"/>
      <c r="N37" s="86"/>
      <c r="O37" s="86"/>
      <c r="R37" s="83"/>
      <c r="S37" s="86"/>
      <c r="T37" s="86"/>
      <c r="U37" s="86"/>
      <c r="V37" s="86"/>
      <c r="W37" s="86"/>
      <c r="Z37" s="83"/>
      <c r="AA37" s="86"/>
      <c r="AB37" s="86"/>
      <c r="AC37" s="86"/>
      <c r="AD37" s="86"/>
      <c r="AE37" s="86"/>
      <c r="AH37" s="83"/>
      <c r="AI37" s="86"/>
      <c r="AJ37" s="86"/>
      <c r="AK37" s="86"/>
      <c r="AL37" s="86"/>
      <c r="AM37" s="86"/>
      <c r="AP37" s="83"/>
      <c r="AQ37" s="86"/>
      <c r="AR37" s="86"/>
      <c r="AS37" s="86"/>
      <c r="AT37" s="86"/>
      <c r="AU37" s="86"/>
      <c r="AX37" s="83"/>
      <c r="AY37" s="86"/>
      <c r="AZ37" s="86"/>
      <c r="BA37" s="86"/>
      <c r="BB37" s="86"/>
      <c r="BC37" s="86"/>
      <c r="BF37" s="83"/>
      <c r="BG37" s="86"/>
      <c r="BH37" s="86"/>
      <c r="BI37" s="86"/>
      <c r="BJ37" s="86"/>
      <c r="BK37" s="86"/>
      <c r="BN37" s="83"/>
      <c r="BO37" s="86"/>
      <c r="BP37" s="86"/>
      <c r="BQ37" s="86"/>
      <c r="BR37" s="86"/>
      <c r="BS37" s="86"/>
      <c r="BV37" s="83"/>
      <c r="BW37" s="86"/>
      <c r="BX37" s="86"/>
      <c r="BY37" s="86"/>
      <c r="BZ37" s="86"/>
      <c r="CA37" s="86"/>
      <c r="CD37" s="83"/>
      <c r="CE37" s="86"/>
      <c r="CF37" s="86"/>
      <c r="CG37" s="86"/>
      <c r="CH37" s="86"/>
      <c r="CI37" s="86"/>
      <c r="CL37" s="83"/>
      <c r="CM37" s="86"/>
      <c r="CN37" s="86"/>
      <c r="CO37" s="86"/>
      <c r="CP37" s="86"/>
      <c r="CQ37" s="86"/>
      <c r="CT37" s="83"/>
      <c r="CU37" s="86"/>
      <c r="CV37" s="86"/>
      <c r="CW37" s="86"/>
      <c r="CX37" s="86"/>
      <c r="CY37" s="86"/>
      <c r="DB37" s="83"/>
      <c r="DC37" s="86"/>
      <c r="DD37" s="86"/>
      <c r="DE37" s="86"/>
      <c r="DF37" s="86"/>
      <c r="DG37" s="86"/>
    </row>
    <row r="38" spans="2:113" ht="15" thickBot="1">
      <c r="B38" s="507" t="str">
        <f>B17</f>
        <v>With PET-CT 20-100%</v>
      </c>
      <c r="C38" s="505"/>
      <c r="D38" s="505"/>
      <c r="E38" s="505"/>
      <c r="F38" s="505"/>
      <c r="G38" s="506"/>
      <c r="J38" s="507" t="str">
        <f>J17</f>
        <v>With PET-CT 20-100%</v>
      </c>
      <c r="K38" s="505"/>
      <c r="L38" s="505"/>
      <c r="M38" s="505"/>
      <c r="N38" s="505"/>
      <c r="O38" s="506"/>
      <c r="R38" s="507" t="str">
        <f>R17</f>
        <v>With PET-CT 20-100%</v>
      </c>
      <c r="S38" s="505"/>
      <c r="T38" s="505"/>
      <c r="U38" s="505"/>
      <c r="V38" s="505"/>
      <c r="W38" s="506"/>
      <c r="Z38" s="507" t="str">
        <f>Z17</f>
        <v>With PET-CT 20-100%</v>
      </c>
      <c r="AA38" s="505"/>
      <c r="AB38" s="505"/>
      <c r="AC38" s="505"/>
      <c r="AD38" s="505"/>
      <c r="AE38" s="506"/>
      <c r="AH38" s="507" t="str">
        <f>AH17</f>
        <v>With PET-CT 20-100%</v>
      </c>
      <c r="AI38" s="505"/>
      <c r="AJ38" s="505"/>
      <c r="AK38" s="505"/>
      <c r="AL38" s="505"/>
      <c r="AM38" s="506"/>
      <c r="AP38" s="507" t="str">
        <f>AP17</f>
        <v>With PET-CT 20-100%</v>
      </c>
      <c r="AQ38" s="505"/>
      <c r="AR38" s="505"/>
      <c r="AS38" s="505"/>
      <c r="AT38" s="505"/>
      <c r="AU38" s="506"/>
      <c r="AX38" s="507" t="str">
        <f>AX17</f>
        <v>With PET-CT 20-100%</v>
      </c>
      <c r="AY38" s="505"/>
      <c r="AZ38" s="505"/>
      <c r="BA38" s="505"/>
      <c r="BB38" s="505"/>
      <c r="BC38" s="506"/>
      <c r="BF38" s="507" t="str">
        <f>BF17</f>
        <v>With PET-CT 20-100%</v>
      </c>
      <c r="BG38" s="505"/>
      <c r="BH38" s="505"/>
      <c r="BI38" s="505"/>
      <c r="BJ38" s="505"/>
      <c r="BK38" s="506"/>
      <c r="BN38" s="507" t="str">
        <f>BN17</f>
        <v>With PET-CT 20-100%</v>
      </c>
      <c r="BO38" s="505"/>
      <c r="BP38" s="505"/>
      <c r="BQ38" s="505"/>
      <c r="BR38" s="505"/>
      <c r="BS38" s="506"/>
      <c r="BV38" s="507" t="str">
        <f>BV17</f>
        <v>With PET-CT 20-100%</v>
      </c>
      <c r="BW38" s="505"/>
      <c r="BX38" s="505"/>
      <c r="BY38" s="505"/>
      <c r="BZ38" s="505"/>
      <c r="CA38" s="506"/>
      <c r="CD38" s="507" t="str">
        <f>CD17</f>
        <v>With PET-CT 20-100%</v>
      </c>
      <c r="CE38" s="505"/>
      <c r="CF38" s="505"/>
      <c r="CG38" s="505"/>
      <c r="CH38" s="505"/>
      <c r="CI38" s="506"/>
      <c r="CL38" s="507" t="str">
        <f>CL17</f>
        <v>With PET-CT 20-100%</v>
      </c>
      <c r="CM38" s="505"/>
      <c r="CN38" s="505"/>
      <c r="CO38" s="505"/>
      <c r="CP38" s="505"/>
      <c r="CQ38" s="506"/>
      <c r="CT38" s="507" t="str">
        <f>CT17</f>
        <v>With PET-CT 20-100%</v>
      </c>
      <c r="CU38" s="505"/>
      <c r="CV38" s="505"/>
      <c r="CW38" s="505"/>
      <c r="CX38" s="505"/>
      <c r="CY38" s="506"/>
      <c r="DB38" s="507" t="str">
        <f>DB17</f>
        <v>With PET-CT 20-100%</v>
      </c>
      <c r="DC38" s="505"/>
      <c r="DD38" s="505"/>
      <c r="DE38" s="505"/>
      <c r="DF38" s="505"/>
      <c r="DG38" s="506"/>
    </row>
    <row r="39" spans="2:113">
      <c r="B39" s="84"/>
      <c r="C39" s="101">
        <f>C18</f>
        <v>2024</v>
      </c>
      <c r="D39" s="101">
        <f>D18</f>
        <v>2025</v>
      </c>
      <c r="E39" s="101">
        <f>E18</f>
        <v>2026</v>
      </c>
      <c r="F39" s="101">
        <f>F18</f>
        <v>2027</v>
      </c>
      <c r="G39" s="102">
        <f>G18</f>
        <v>2028</v>
      </c>
      <c r="J39" s="84"/>
      <c r="K39" s="101">
        <f>K18</f>
        <v>2024</v>
      </c>
      <c r="L39" s="101">
        <f>L18</f>
        <v>2025</v>
      </c>
      <c r="M39" s="101">
        <f>M18</f>
        <v>2026</v>
      </c>
      <c r="N39" s="101">
        <f>N18</f>
        <v>2027</v>
      </c>
      <c r="O39" s="102">
        <f>O18</f>
        <v>2028</v>
      </c>
      <c r="R39" s="84"/>
      <c r="S39" s="101">
        <f>S18</f>
        <v>2024</v>
      </c>
      <c r="T39" s="101">
        <f>T18</f>
        <v>2025</v>
      </c>
      <c r="U39" s="101">
        <f>U18</f>
        <v>2026</v>
      </c>
      <c r="V39" s="101">
        <f>V18</f>
        <v>2027</v>
      </c>
      <c r="W39" s="102">
        <f>W18</f>
        <v>2028</v>
      </c>
      <c r="Z39" s="84"/>
      <c r="AA39" s="101">
        <f>AA18</f>
        <v>2024</v>
      </c>
      <c r="AB39" s="101">
        <f>AB18</f>
        <v>2025</v>
      </c>
      <c r="AC39" s="101">
        <f>AC18</f>
        <v>2026</v>
      </c>
      <c r="AD39" s="101">
        <f>AD18</f>
        <v>2027</v>
      </c>
      <c r="AE39" s="102">
        <f>AE18</f>
        <v>2028</v>
      </c>
      <c r="AH39" s="84"/>
      <c r="AI39" s="101">
        <f>AI18</f>
        <v>2024</v>
      </c>
      <c r="AJ39" s="101">
        <f>AJ18</f>
        <v>2025</v>
      </c>
      <c r="AK39" s="101">
        <f>AK18</f>
        <v>2026</v>
      </c>
      <c r="AL39" s="101">
        <f>AL18</f>
        <v>2027</v>
      </c>
      <c r="AM39" s="102">
        <f>AM18</f>
        <v>2028</v>
      </c>
      <c r="AP39" s="84"/>
      <c r="AQ39" s="101">
        <f>AQ18</f>
        <v>2024</v>
      </c>
      <c r="AR39" s="101">
        <f>AR18</f>
        <v>2025</v>
      </c>
      <c r="AS39" s="101">
        <f>AS18</f>
        <v>2026</v>
      </c>
      <c r="AT39" s="101">
        <f>AT18</f>
        <v>2027</v>
      </c>
      <c r="AU39" s="102">
        <f>AU18</f>
        <v>2028</v>
      </c>
      <c r="AX39" s="84"/>
      <c r="AY39" s="101">
        <f>AY18</f>
        <v>2024</v>
      </c>
      <c r="AZ39" s="101">
        <f>AZ18</f>
        <v>2025</v>
      </c>
      <c r="BA39" s="101">
        <f>BA18</f>
        <v>2026</v>
      </c>
      <c r="BB39" s="101">
        <f>BB18</f>
        <v>2027</v>
      </c>
      <c r="BC39" s="102">
        <f>BC18</f>
        <v>2028</v>
      </c>
      <c r="BF39" s="84"/>
      <c r="BG39" s="101">
        <f>BG18</f>
        <v>2024</v>
      </c>
      <c r="BH39" s="101">
        <f>BH18</f>
        <v>2025</v>
      </c>
      <c r="BI39" s="101">
        <f>BI18</f>
        <v>2026</v>
      </c>
      <c r="BJ39" s="101">
        <f>BJ18</f>
        <v>2027</v>
      </c>
      <c r="BK39" s="102">
        <f>BK18</f>
        <v>2028</v>
      </c>
      <c r="BN39" s="84"/>
      <c r="BO39" s="101">
        <f>BO18</f>
        <v>2024</v>
      </c>
      <c r="BP39" s="101">
        <f>BP18</f>
        <v>2025</v>
      </c>
      <c r="BQ39" s="101">
        <f>BQ18</f>
        <v>2026</v>
      </c>
      <c r="BR39" s="101">
        <f>BR18</f>
        <v>2027</v>
      </c>
      <c r="BS39" s="102">
        <f>BS18</f>
        <v>2028</v>
      </c>
      <c r="BV39" s="84"/>
      <c r="BW39" s="101">
        <f>BW18</f>
        <v>2024</v>
      </c>
      <c r="BX39" s="101">
        <f>BX18</f>
        <v>2025</v>
      </c>
      <c r="BY39" s="101">
        <f>BY18</f>
        <v>2026</v>
      </c>
      <c r="BZ39" s="101">
        <f>BZ18</f>
        <v>2027</v>
      </c>
      <c r="CA39" s="102">
        <f>CA18</f>
        <v>2028</v>
      </c>
      <c r="CD39" s="84"/>
      <c r="CE39" s="101">
        <f>CE18</f>
        <v>2024</v>
      </c>
      <c r="CF39" s="101">
        <f>CF18</f>
        <v>2025</v>
      </c>
      <c r="CG39" s="101">
        <f>CG18</f>
        <v>2026</v>
      </c>
      <c r="CH39" s="101">
        <f>CH18</f>
        <v>2027</v>
      </c>
      <c r="CI39" s="102">
        <f>CI18</f>
        <v>2028</v>
      </c>
      <c r="CL39" s="84"/>
      <c r="CM39" s="101">
        <f>CM18</f>
        <v>2024</v>
      </c>
      <c r="CN39" s="101">
        <f>CN18</f>
        <v>2025</v>
      </c>
      <c r="CO39" s="101">
        <f>CO18</f>
        <v>2026</v>
      </c>
      <c r="CP39" s="101">
        <f>CP18</f>
        <v>2027</v>
      </c>
      <c r="CQ39" s="102">
        <f>CQ18</f>
        <v>2028</v>
      </c>
      <c r="CT39" s="84"/>
      <c r="CU39" s="101">
        <f>CU18</f>
        <v>2024</v>
      </c>
      <c r="CV39" s="101">
        <f>CV18</f>
        <v>2025</v>
      </c>
      <c r="CW39" s="101">
        <f>CW18</f>
        <v>2026</v>
      </c>
      <c r="CX39" s="101">
        <f>CX18</f>
        <v>2027</v>
      </c>
      <c r="CY39" s="102">
        <f>CY18</f>
        <v>2028</v>
      </c>
      <c r="DB39" s="84"/>
      <c r="DC39" s="101">
        <f>DC18</f>
        <v>2024</v>
      </c>
      <c r="DD39" s="101">
        <f>DD18</f>
        <v>2025</v>
      </c>
      <c r="DE39" s="101">
        <f>DE18</f>
        <v>2026</v>
      </c>
      <c r="DF39" s="101">
        <f>DF18</f>
        <v>2027</v>
      </c>
      <c r="DG39" s="102">
        <f>DG18</f>
        <v>2028</v>
      </c>
    </row>
    <row r="40" spans="2:113" s="83" customFormat="1" ht="15" thickBot="1">
      <c r="B40" s="386"/>
      <c r="C40" s="388">
        <f ca="1">(C19*c_inicial)+(C19*c_on*12)+(C19*ci_int1)+(C19*(ct_int1+ca_int1)*'Time on treatment'!$D$12)</f>
        <v>3181339.1732890946</v>
      </c>
      <c r="D40" s="388">
        <f ca="1">((D19-C19)*(c_inicial+ci_int1))+(D19*c_on*12)+(D19*(ct_int1+ca_int1)*'Time on treatment'!$D$12)</f>
        <v>3220641.2643489409</v>
      </c>
      <c r="E40" s="388">
        <f ca="1">((E19-D19)*(c_inicial+ci_int1))+(E19*c_on*12)+(E19*(ct_int1+ca_int1)*'Time on treatment'!$D$12)</f>
        <v>3257435.778464545</v>
      </c>
      <c r="F40" s="388">
        <f ca="1">((F19-E19)*(c_inicial+ci_int1))+(F19*c_on*12)+(F19*(ct_int1+ca_int1)*'Time on treatment'!$D$12)</f>
        <v>3291632.7490679165</v>
      </c>
      <c r="G40" s="389">
        <f ca="1">((G19-F19)*(c_inicial+ci_int1))+(G19*c_on*12)+(G19*(ct_int1+ca_int1)*'Time on treatment'!$D$12)</f>
        <v>3323142.4288078416</v>
      </c>
      <c r="H40" s="77"/>
      <c r="I40" s="77"/>
      <c r="J40" s="386"/>
      <c r="K40" s="388">
        <f ca="1">(K19*c_inicial)+(K19*c_on*12)+(K19*ci_int2)+(K19*(ct_int2+ca_int2)*'Time on treatment'!$D$12)</f>
        <v>0</v>
      </c>
      <c r="L40" s="388">
        <f ca="1">((L19-K19)*(c_inicial+ci_int2))+(L19*c_on*12)+(L19*(ct_int2+ca_int2)*'Time on treatment'!$D$12)</f>
        <v>0</v>
      </c>
      <c r="M40" s="388">
        <f ca="1">(((M19-(L19-K19))-K19)*(c_inicial+ci_int2))+(M19*c_on*12)+(M19*(ct_int2+ca_int2)*'Time on treatment'!$D$12)</f>
        <v>0</v>
      </c>
      <c r="N40" s="388">
        <f ca="1">((N19-(M19-L19)-(L19-K19)-K19)*(c_inicial+ci_int2))+(N19*c_on*12)+(N19*(ct_int2+ca_int2)*'Time on treatment'!$D$12)</f>
        <v>0</v>
      </c>
      <c r="O40" s="389">
        <f ca="1">((O19-(N19-M19)-(M19-L19)-(L19-K19)-K19)*(c_inicial+ci_int2))+(O19*c_on*12)+(O19*(ct_int2+ca_int2)*'Time on treatment'!$D$12)</f>
        <v>0</v>
      </c>
      <c r="P40" s="77"/>
      <c r="Q40" s="77"/>
      <c r="R40" s="386"/>
      <c r="S40" s="388">
        <f ca="1">(S19*c_inicial)+(S19*c_on*12)+(S19*ci_int3)+(S19*(ct_int3+ca_int3)*'Time on treatment'!$D$12)</f>
        <v>0</v>
      </c>
      <c r="T40" s="388">
        <f ca="1">((T19-S19)*(c_inicial+ci_int3))+(T19*c_on*12)+(T19*(ct_int3+ca_int3)*'Time on treatment'!$D$12)</f>
        <v>0</v>
      </c>
      <c r="U40" s="388">
        <f ca="1">(((U19-(T19-S19))-S19)*(c_inicial+ci_int3))+(U19*c_on*12)+(U19*(ct_int3+ca_int3)*'Time on treatment'!$D$12)</f>
        <v>0</v>
      </c>
      <c r="V40" s="388">
        <f ca="1">((V19-(U19-T19)-(T19-S19)-S19)*(c_inicial+ci_int3))+(V19*c_on*12)+(V19*(ct_int3+ca_int3)*'Time on treatment'!$D$12)</f>
        <v>0</v>
      </c>
      <c r="W40" s="389">
        <f ca="1">((W19-(V19-U19)-(U19-T19)-(T19-S19)-S19)*(c_inicial+ci_int3))+(W19*c_on*12)+(W19*(ct_int3+ca_int3)*'Time on treatment'!$D$12)</f>
        <v>0</v>
      </c>
      <c r="X40" s="77"/>
      <c r="Y40" s="77"/>
      <c r="Z40" s="386"/>
      <c r="AA40" s="388">
        <f ca="1">(AA19*c_inicial)+(AA19*c_on*12)+(AA19*ci_int4)+(AA19*(ct_int4+ca_int4)*'Time on treatment'!$D$12)</f>
        <v>0</v>
      </c>
      <c r="AB40" s="388">
        <f ca="1">((AB19-AA19)*(c_inicial+ci_int4))+(AB19*c_on*12)+(AB19*(ct_int4+ca_int4)*'Time on treatment'!$D$12)</f>
        <v>0</v>
      </c>
      <c r="AC40" s="388">
        <f ca="1">(((AC19-(AB19-AA19))-AA19)*(c_inicial+ci_int4))+(AC19*c_on*12)+(AC19*(ct_int4+ca_int4)*'Time on treatment'!$D$12)</f>
        <v>0</v>
      </c>
      <c r="AD40" s="388">
        <f ca="1">((AD19-(AC19-AB19)-(AB19-AA19)-AA19)*(c_inicial+ci_int4))+(AD19*c_on*12)+(AD19*(ct_int4+ca_int4)*'Time on treatment'!$D$12)</f>
        <v>0</v>
      </c>
      <c r="AE40" s="389">
        <f ca="1">((AE19-(AD19-AC19)-(AC19-AB19)-(AB19-AA19)-AA19)*(c_inicial+ci_int4))+(AE19*c_on*12)+(AE19*(ct_int4+ca_int4)*'Time on treatment'!$D$12)</f>
        <v>0</v>
      </c>
      <c r="AF40" s="77"/>
      <c r="AG40" s="77"/>
      <c r="AH40" s="386"/>
      <c r="AI40" s="388">
        <f ca="1">(AI19*c_inicial)+(AI19*c_on*12)+(AI19*ci_comp1)+(AI19*(ct_comp1+ca_comp1)*'Time on treatment'!$D$12)</f>
        <v>4672382.1483881408</v>
      </c>
      <c r="AJ40" s="388">
        <f ca="1">((AJ19-AI19)*(c_inicial+ci_comp1))+(AJ19*c_on*12)+(AJ19*(ct_comp1+ca_comp1)*'Time on treatment'!$D$12)</f>
        <v>-1146449.6540278664</v>
      </c>
      <c r="AK40" s="388">
        <f ca="1">(((AK19-(AJ19-AI19))-AI19)*(c_inicial+ci_comp1))+(AK19*c_on*12)+(AK19*(ct_comp1+ca_comp1)*'Time on treatment'!$D$12)</f>
        <v>-1161494.0491238378</v>
      </c>
      <c r="AL40" s="388">
        <f ca="1">((AL19-(AK19-AJ19)-(AJ19-AI19)-AI19)*(c_inicial+ci_comp1))+(AL19*c_on*12)+(AL19*(ct_comp1+ca_comp1)*'Time on treatment'!$D$12)</f>
        <v>-1175625.9929240695</v>
      </c>
      <c r="AM40" s="389">
        <f ca="1">((AM19-(AL19-AK19)-(AK19-AJ19)-(AJ19-AI19)-AI19)*(c_inicial+ci_comp1))+(AM19*c_on*12)+(AM19*(ct_comp1+ca_comp1)*'Time on treatment'!$D$12)</f>
        <v>-1188812.4523123673</v>
      </c>
      <c r="AN40" s="77"/>
      <c r="AO40" s="77"/>
      <c r="AP40" s="386"/>
      <c r="AQ40" s="388">
        <f ca="1">(AQ19*c_inicial)+(AQ19*c_on*12)+(AQ19*ci_comp2)+(AQ19*(ct_comp2+ca_comp2)*'Time on treatment'!$D$12)</f>
        <v>0</v>
      </c>
      <c r="AR40" s="388">
        <f ca="1">((AR19-AQ19)*(c_inicial+ci_comp2))+(AR19*c_on*12)+(AR19*(ct_comp2+ca_comp2)*'Time on treatment'!$D$12)</f>
        <v>0</v>
      </c>
      <c r="AS40" s="388">
        <f ca="1">(((AS19-(AR19-AQ19))-AQ19)*(c_inicial+ci_comp2))+(AS19*c_on*12)+(AS19*(ct_comp2+ca_comp2)*'Time on treatment'!$D$12)</f>
        <v>0</v>
      </c>
      <c r="AT40" s="388">
        <f ca="1">((AT19-(AS19-AR19)-(AR19-AQ19)-AQ19)*(c_inicial+ci_comp2))+(AT19*c_on*12)+(AT19*(ct_comp2+ca_comp2)*'Time on treatment'!$D$12)</f>
        <v>0</v>
      </c>
      <c r="AU40" s="389">
        <f ca="1">((AU19-(AT19-AS19)-(AS19-AR19)-(AR19-AQ19)-AQ19)*(c_inicial+ci_comp2))+(AU19*c_on*12)+(AU19*(ct_comp2+ca_comp2)*'Time on treatment'!$D$12)</f>
        <v>0</v>
      </c>
      <c r="AV40" s="77"/>
      <c r="AW40" s="77"/>
      <c r="AX40" s="386"/>
      <c r="AY40" s="388">
        <f ca="1">(AY19*c_inicial)+(AY19*c_on*12)+(AY19*ci_comp3)+(AY19*(ct_comp3+ca_comp3)*'Time on treatment'!$D$12)</f>
        <v>0</v>
      </c>
      <c r="AZ40" s="388">
        <f ca="1">((AZ19-AY19)*(c_inicial+ci_comp3))+(AZ19*c_on*12)+(AZ19*(ct_comp3+ca_comp3)*'Time on treatment'!$D$12)</f>
        <v>0</v>
      </c>
      <c r="BA40" s="388">
        <f ca="1">(((BA19-(AZ19-AY19))-AY19)*(c_inicial+ci_comp3))+(BA19*c_on*12)+(BA19*(ct_comp3+ca_comp3)*'Time on treatment'!$D$12)</f>
        <v>0</v>
      </c>
      <c r="BB40" s="388">
        <f ca="1">((BB19-(BA19-AZ19)-(AZ19-AY19)-AY19)*(c_inicial+ci_comp3))+(BB19*c_on*12)+(BB19*(ct_comp3+ca_comp3)*'Time on treatment'!$D$12)</f>
        <v>0</v>
      </c>
      <c r="BC40" s="389">
        <f ca="1">((BC19-(BB19-BA19)-(BA19-AZ19)-(AZ19-AY19)-AY19)*(c_inicial+ci_comp3))+(BC19*c_on*12)+(BC19*(ct_comp3+ca_comp3)*'Time on treatment'!$D$12)</f>
        <v>0</v>
      </c>
      <c r="BD40" s="77"/>
      <c r="BE40" s="77"/>
      <c r="BF40" s="386"/>
      <c r="BG40" s="388">
        <f ca="1">(BG19*c_inicial)+(BG19*c_on*12)+(BG19*ci_comp4)+(BG19*(ct_comp4+ca_comp4)*'Time on treatment'!$D$12)</f>
        <v>0</v>
      </c>
      <c r="BH40" s="388">
        <f ca="1">((BH19-BG19)*(c_inicial+ci_comp4))+(BH19*c_on*12)+(BH19*(ct_comp4+ca_comp4)*'Time on treatment'!$D$12)</f>
        <v>0</v>
      </c>
      <c r="BI40" s="388">
        <f ca="1">(((BI19-(BH19-BG19))-BG19)*(c_inicial+ci_comp4))+(BI19*c_on*12)+(BI19*(ct_comp4+ca_comp4)*'Time on treatment'!$D$12)</f>
        <v>0</v>
      </c>
      <c r="BJ40" s="388">
        <f ca="1">((BJ19-(BI19-BH19)-(BH19-BG19)-BG19)*(c_inicial+ci_comp4))+(BJ19*c_on*12)+(BJ19*(ct_comp4+ca_comp4)*'Time on treatment'!$D$12)</f>
        <v>0</v>
      </c>
      <c r="BK40" s="389">
        <f ca="1">((BK19-(BJ19-BI19)-(BI19-BH19)-(BH19-BG19)-BG19)*(c_inicial+ci_comp4))+(BK19*c_on*12)+(BK19*(ct_comp4+ca_comp4)*'Time on treatment'!$D$12)</f>
        <v>0</v>
      </c>
      <c r="BL40" s="77"/>
      <c r="BM40" s="77"/>
      <c r="BN40" s="386"/>
      <c r="BO40" s="388">
        <f ca="1">(BO19*c_inicial)+(BO19*c_on*12)+(BO19*ci_comp5)+(BO19*(ct_comp5+ca_comp5)*'Time on treatment'!$D$12)</f>
        <v>0</v>
      </c>
      <c r="BP40" s="388">
        <f ca="1">((BP19-BO19)*(c_inicial+ci_comp5))+(BP19*c_on*12)+(BP19*(ct_comp5+ca_comp5)*'Time on treatment'!$D$12)</f>
        <v>0</v>
      </c>
      <c r="BQ40" s="388">
        <f ca="1">(((BQ19-(BP19-BO19))-BO19)*(c_inicial+ci_comp5))+(BQ19*c_on*12)+(BQ19*(ct_comp5+ca_comp5)*'Time on treatment'!$D$12)</f>
        <v>0</v>
      </c>
      <c r="BR40" s="388">
        <f ca="1">((BR19-(BQ19-BP19)-(BP19-BO19)-BO19)*(c_inicial+ci_comp5))+(BR19*c_on*12)+(BR19*(ct_comp5+ca_comp5)*'Time on treatment'!$D$12)</f>
        <v>0</v>
      </c>
      <c r="BS40" s="389">
        <f ca="1">((BS19-(BR19-BQ19)-(BQ19-BP19)-(BP19-BO19)-BO19)*(c_inicial+ci_comp5))+(BS19*c_on*12)+(BS19*(ct_comp5+ca_comp5)*'Time on treatment'!$D$12)</f>
        <v>0</v>
      </c>
      <c r="BT40" s="77"/>
      <c r="BU40" s="77"/>
      <c r="BV40" s="386"/>
      <c r="BW40" s="388">
        <f ca="1">(BW19*c_inicial)+(BW19*c_on*12)+(BW19*ci_comp6)+(BW19*(ct_comp6+ca_comp6)*'Time on treatment'!$D$12)</f>
        <v>0</v>
      </c>
      <c r="BX40" s="388">
        <f ca="1">((BX19-BW19)*(c_inicial+ci_comp6))+(BX19*c_on*12)+(BX19*(ct_comp6+ca_comp6)*'Time on treatment'!$D$12)</f>
        <v>0</v>
      </c>
      <c r="BY40" s="388">
        <f ca="1">(((BY19-(BX19-BW19))-BW19)*(c_inicial+ci_comp6))+(BY19*c_on*12)+(BY19*(ct_comp6+ca_comp6)*'Time on treatment'!$D$12)</f>
        <v>0</v>
      </c>
      <c r="BZ40" s="388">
        <f ca="1">((BZ19-(BY19-BX19)-(BX19-BW19)-BW19)*(c_inicial+ci_comp6))+(BZ19*c_on*12)+(BZ19*(ct_comp6+ca_comp6)*'Time on treatment'!$D$12)</f>
        <v>0</v>
      </c>
      <c r="CA40" s="389">
        <f ca="1">((CA19-(BZ19-BY19)-(BY19-BX19)-(BX19-BW19)-BW19)*(c_inicial+ci_comp6))+(CA19*c_on*12)+(CA19*(ct_comp6+ca_comp6)*'Time on treatment'!$D$12)</f>
        <v>0</v>
      </c>
      <c r="CB40" s="77"/>
      <c r="CC40" s="77"/>
      <c r="CD40" s="386"/>
      <c r="CE40" s="388">
        <f ca="1">(CE19*c_inicial)+(CE19*c_on*12)+(CE19*ci_comp7)+(CE19*(ct_comp7+ca_comp7)*'Time on treatment'!$D$12)</f>
        <v>0</v>
      </c>
      <c r="CF40" s="388">
        <f ca="1">((CF19-CE19)*(c_inicial+ci_comp7))+(CF19*c_on*12)+(CF19*(ct_comp7+ca_comp7)*'Time on treatment'!$D$12)</f>
        <v>0</v>
      </c>
      <c r="CG40" s="388">
        <f ca="1">(((CG19-(CF19-CE19))-CE19)*(c_inicial+ci_comp7))+(CG19*c_on*12)+(CG19*(ct_comp7+ca_comp7)*'Time on treatment'!$D$12)</f>
        <v>0</v>
      </c>
      <c r="CH40" s="388">
        <f ca="1">((CH19-(CG19-CF19)-(CF19-CE19)-CE19)*(c_inicial+ci_comp7))+(CH19*c_on*12)+(CH19*(ct_comp7+ca_comp7)*'Time on treatment'!$D$12)</f>
        <v>0</v>
      </c>
      <c r="CI40" s="389">
        <f ca="1">((CI19-(CH19-CG19)-(CG19-CF19)-(CF19-CE19)-CE19)*(c_inicial+ci_comp7))+(CI19*c_on*12)+(CI19*(ct_comp7+ca_comp7)*'Time on treatment'!$D$12)</f>
        <v>0</v>
      </c>
      <c r="CJ40" s="77"/>
      <c r="CK40" s="77"/>
      <c r="CL40" s="386"/>
      <c r="CM40" s="388">
        <f ca="1">(CM19*c_inicial)+(CM19*c_on*12)+(CM19*ci_comp8)+(CM19*(ct_comp8+ca_comp8)*'Time on treatment'!$D$12)</f>
        <v>0</v>
      </c>
      <c r="CN40" s="388">
        <f ca="1">((CN19-CM19)*(c_inicial+ci_comp8))+(CN19*c_on*12)+(CN19*(ct_comp8+ca_comp8)*'Time on treatment'!$D$12)</f>
        <v>0</v>
      </c>
      <c r="CO40" s="388">
        <f ca="1">(((CO19-(CN19-CM19))-CM19)*(c_inicial+ci_comp8))+(CO19*c_on*12)+(CO19*(ct_comp8+ca_comp8)*'Time on treatment'!$D$12)</f>
        <v>0</v>
      </c>
      <c r="CP40" s="388">
        <f ca="1">((CP19-(CO19-CN19)-(CN19-CM19)-CM19)*(c_inicial+ci_comp8))+(CP19*c_on*12)+(CP19*(ct_comp8+ca_comp8)*'Time on treatment'!$D$12)</f>
        <v>0</v>
      </c>
      <c r="CQ40" s="389">
        <f ca="1">((CQ19-(CP19-CO19)-(CO19-CN19)-(CN19-CM19)-CM19)*(c_inicial+ci_comp8))+(CQ19*c_on*12)+(CQ19*(ct_comp8+ca_comp8)*'Time on treatment'!$D$12)</f>
        <v>0</v>
      </c>
      <c r="CR40" s="77"/>
      <c r="CS40" s="77"/>
      <c r="CT40" s="386"/>
      <c r="CU40" s="388">
        <f ca="1">(CU19*c_inicial)+(CU19*c_on*12)+(CU19*ci_comp9)+(CU19*(ct_comp9+ca_comp9)*'Time on treatment'!$D$12)</f>
        <v>0</v>
      </c>
      <c r="CV40" s="388">
        <f ca="1">((CV19-CU19)*(c_inicial+ci_comp9))+(CV19*c_on*12)+(CV19*(ct_comp9+ca_comp9)*'Time on treatment'!$D$12)</f>
        <v>0</v>
      </c>
      <c r="CW40" s="388">
        <f ca="1">(((CW19-(CV19-CU19))-CU19)*(c_inicial+ci_comp9))+(CW19*c_on*12)+(CW19*(ct_comp9+ca_comp9)*'Time on treatment'!$D$12)</f>
        <v>0</v>
      </c>
      <c r="CX40" s="388">
        <f ca="1">((CX19-(CW19-CV19)-(CV19-CU19)-CU19)*(c_inicial+ci_comp9))+(CX19*c_on*12)+(CX19*(ct_comp9+ca_comp9)*'Time on treatment'!$D$12)</f>
        <v>0</v>
      </c>
      <c r="CY40" s="389">
        <f ca="1">((CY19-(CX19-CW19)-(CW19-CV19)-(CV19-CU19)-CU19)*(c_inicial+ci_comp9))+(CY19*c_on*12)+(CY19*(ct_comp9+ca_comp9)*'Time on treatment'!$D$12)</f>
        <v>0</v>
      </c>
      <c r="CZ40" s="77"/>
      <c r="DA40" s="77"/>
      <c r="DB40" s="386"/>
      <c r="DC40" s="388">
        <f ca="1">(DC19*c_inicial)+(DC19*c_on*12)+(DC19*ci_comp10)+(DC19*(ct_comp10+ca_comp10)*'Time on treatment'!$D$12)</f>
        <v>0</v>
      </c>
      <c r="DD40" s="388">
        <f ca="1">((DD19-DC19)*(c_inicial+ci_comp10))+(DD19*c_on*12)+(DD19*(ct_comp10+ca_comp10)*'Time on treatment'!$D$12)</f>
        <v>0</v>
      </c>
      <c r="DE40" s="388">
        <f ca="1">(((DE19-(DD19-DC19))-DC19)*(c_inicial+ci_comp10))+(DE19*c_on*12)+(DE19*(ct_comp10+ca_comp10)*'Time on treatment'!$D$12)</f>
        <v>0</v>
      </c>
      <c r="DF40" s="388">
        <f ca="1">((DF19-(DE19-DD19)-(DD19-DC19)-DC19)*(c_inicial+ci_comp10))+(DF19*c_on*12)+(DF19*(ct_comp10+ca_comp10)*'Time on treatment'!$D$12)</f>
        <v>0</v>
      </c>
      <c r="DG40" s="389">
        <f ca="1">((DG19-(DF19-DE19)-(DE19-DD19)-(DD19-DC19)-DC19)*(c_inicial+ci_comp10))+(DG19*c_on*12)+(DG19*(ct_comp10+ca_comp10)*'Time on treatment'!$D$12)</f>
        <v>0</v>
      </c>
      <c r="DH40" s="77"/>
      <c r="DI40" s="77"/>
    </row>
    <row r="41" spans="2:113" ht="15" thickBot="1">
      <c r="B41" s="83"/>
      <c r="C41" s="86"/>
      <c r="D41" s="86"/>
      <c r="E41" s="86"/>
      <c r="F41" s="86"/>
      <c r="G41" s="86"/>
      <c r="J41" s="83"/>
      <c r="K41" s="86"/>
      <c r="L41" s="86"/>
      <c r="M41" s="86"/>
      <c r="N41" s="86"/>
      <c r="O41" s="86"/>
      <c r="R41" s="83"/>
      <c r="S41" s="86"/>
      <c r="T41" s="86"/>
      <c r="U41" s="86"/>
      <c r="V41" s="86"/>
      <c r="W41" s="86"/>
      <c r="Z41" s="83"/>
      <c r="AA41" s="86"/>
      <c r="AB41" s="86"/>
      <c r="AC41" s="86"/>
      <c r="AD41" s="86"/>
      <c r="AE41" s="86"/>
      <c r="AH41" s="83"/>
      <c r="AI41" s="86"/>
      <c r="AJ41" s="86"/>
      <c r="AK41" s="86"/>
      <c r="AL41" s="86"/>
      <c r="AM41" s="86"/>
      <c r="AP41" s="83"/>
      <c r="AQ41" s="86"/>
      <c r="AR41" s="86"/>
      <c r="AS41" s="86"/>
      <c r="AT41" s="86"/>
      <c r="AU41" s="86"/>
      <c r="AX41" s="83"/>
      <c r="AY41" s="86"/>
      <c r="AZ41" s="86"/>
      <c r="BA41" s="86"/>
      <c r="BB41" s="86"/>
      <c r="BC41" s="86"/>
      <c r="BF41" s="83"/>
      <c r="BG41" s="86"/>
      <c r="BH41" s="86"/>
      <c r="BI41" s="86"/>
      <c r="BJ41" s="86"/>
      <c r="BK41" s="86"/>
      <c r="BN41" s="83"/>
      <c r="BO41" s="86"/>
      <c r="BP41" s="86"/>
      <c r="BQ41" s="86"/>
      <c r="BR41" s="86"/>
      <c r="BS41" s="86"/>
      <c r="BV41" s="83"/>
      <c r="BW41" s="86"/>
      <c r="BX41" s="86"/>
      <c r="BY41" s="86"/>
      <c r="BZ41" s="86"/>
      <c r="CA41" s="86"/>
      <c r="CD41" s="83"/>
      <c r="CE41" s="86"/>
      <c r="CF41" s="86"/>
      <c r="CG41" s="86"/>
      <c r="CH41" s="86"/>
      <c r="CI41" s="86"/>
      <c r="CL41" s="83"/>
      <c r="CM41" s="86"/>
      <c r="CN41" s="86"/>
      <c r="CO41" s="86"/>
      <c r="CP41" s="86"/>
      <c r="CQ41" s="86"/>
      <c r="CT41" s="83"/>
      <c r="CU41" s="86"/>
      <c r="CV41" s="86"/>
      <c r="CW41" s="86"/>
      <c r="CX41" s="86"/>
      <c r="CY41" s="86"/>
      <c r="DB41" s="83"/>
      <c r="DC41" s="86"/>
      <c r="DD41" s="86"/>
      <c r="DE41" s="86"/>
      <c r="DF41" s="86"/>
      <c r="DG41" s="86"/>
    </row>
    <row r="42" spans="2:113" ht="15" thickBot="1">
      <c r="B42" s="507" t="str">
        <f>B21</f>
        <v>With PET-CT 10-50%</v>
      </c>
      <c r="C42" s="505"/>
      <c r="D42" s="505"/>
      <c r="E42" s="505"/>
      <c r="F42" s="505"/>
      <c r="G42" s="506"/>
      <c r="J42" s="507" t="str">
        <f>J21</f>
        <v>With PET-CT 10-50%</v>
      </c>
      <c r="K42" s="505"/>
      <c r="L42" s="505"/>
      <c r="M42" s="505"/>
      <c r="N42" s="505"/>
      <c r="O42" s="506"/>
      <c r="R42" s="507" t="str">
        <f>R21</f>
        <v>With PET-CT 10-50%</v>
      </c>
      <c r="S42" s="505"/>
      <c r="T42" s="505"/>
      <c r="U42" s="505"/>
      <c r="V42" s="505"/>
      <c r="W42" s="506"/>
      <c r="Z42" s="507" t="str">
        <f>Z21</f>
        <v>With PET-CT 10-50%</v>
      </c>
      <c r="AA42" s="505"/>
      <c r="AB42" s="505"/>
      <c r="AC42" s="505"/>
      <c r="AD42" s="505"/>
      <c r="AE42" s="506"/>
      <c r="AH42" s="507" t="str">
        <f>AH21</f>
        <v>With PET-CT 10-50%</v>
      </c>
      <c r="AI42" s="505"/>
      <c r="AJ42" s="505"/>
      <c r="AK42" s="505"/>
      <c r="AL42" s="505"/>
      <c r="AM42" s="506"/>
      <c r="AP42" s="507" t="str">
        <f>AP21</f>
        <v>With PET-CT 10-50%</v>
      </c>
      <c r="AQ42" s="505"/>
      <c r="AR42" s="505"/>
      <c r="AS42" s="505"/>
      <c r="AT42" s="505"/>
      <c r="AU42" s="506"/>
      <c r="AX42" s="507" t="str">
        <f>AX21</f>
        <v>With PET-CT 10-50%</v>
      </c>
      <c r="AY42" s="505"/>
      <c r="AZ42" s="505"/>
      <c r="BA42" s="505"/>
      <c r="BB42" s="505"/>
      <c r="BC42" s="506"/>
      <c r="BF42" s="507" t="str">
        <f>BF21</f>
        <v>With PET-CT 10-50%</v>
      </c>
      <c r="BG42" s="505"/>
      <c r="BH42" s="505"/>
      <c r="BI42" s="505"/>
      <c r="BJ42" s="505"/>
      <c r="BK42" s="506"/>
      <c r="BN42" s="507" t="str">
        <f>BN21</f>
        <v>With PET-CT 10-50%</v>
      </c>
      <c r="BO42" s="505"/>
      <c r="BP42" s="505"/>
      <c r="BQ42" s="505"/>
      <c r="BR42" s="505"/>
      <c r="BS42" s="506"/>
      <c r="BV42" s="507" t="str">
        <f>BV21</f>
        <v>With PET-CT 10-50%</v>
      </c>
      <c r="BW42" s="505"/>
      <c r="BX42" s="505"/>
      <c r="BY42" s="505"/>
      <c r="BZ42" s="505"/>
      <c r="CA42" s="506"/>
      <c r="CD42" s="507" t="str">
        <f>CD21</f>
        <v>With PET-CT 10-50%</v>
      </c>
      <c r="CE42" s="505"/>
      <c r="CF42" s="505"/>
      <c r="CG42" s="505"/>
      <c r="CH42" s="505"/>
      <c r="CI42" s="506"/>
      <c r="CL42" s="507" t="str">
        <f>CL21</f>
        <v>With PET-CT 10-50%</v>
      </c>
      <c r="CM42" s="505"/>
      <c r="CN42" s="505"/>
      <c r="CO42" s="505"/>
      <c r="CP42" s="505"/>
      <c r="CQ42" s="506"/>
      <c r="CT42" s="507" t="str">
        <f>CT21</f>
        <v>With PET-CT 10-50%</v>
      </c>
      <c r="CU42" s="505"/>
      <c r="CV42" s="505"/>
      <c r="CW42" s="505"/>
      <c r="CX42" s="505"/>
      <c r="CY42" s="506"/>
      <c r="DB42" s="507" t="str">
        <f>DB21</f>
        <v>With PET-CT 10-50%</v>
      </c>
      <c r="DC42" s="505"/>
      <c r="DD42" s="505"/>
      <c r="DE42" s="505"/>
      <c r="DF42" s="505"/>
      <c r="DG42" s="506"/>
    </row>
    <row r="43" spans="2:113">
      <c r="B43" s="84"/>
      <c r="C43" s="101">
        <f>C22</f>
        <v>2024</v>
      </c>
      <c r="D43" s="101">
        <f>D22</f>
        <v>2025</v>
      </c>
      <c r="E43" s="101">
        <f>E22</f>
        <v>2026</v>
      </c>
      <c r="F43" s="101">
        <f>F22</f>
        <v>2027</v>
      </c>
      <c r="G43" s="102">
        <f>G22</f>
        <v>2028</v>
      </c>
      <c r="J43" s="84"/>
      <c r="K43" s="101">
        <f>K22</f>
        <v>2024</v>
      </c>
      <c r="L43" s="101">
        <f>L22</f>
        <v>2025</v>
      </c>
      <c r="M43" s="101">
        <f>M22</f>
        <v>2026</v>
      </c>
      <c r="N43" s="101">
        <f>N22</f>
        <v>2027</v>
      </c>
      <c r="O43" s="102">
        <f>O22</f>
        <v>2028</v>
      </c>
      <c r="R43" s="84"/>
      <c r="S43" s="101">
        <f>S22</f>
        <v>2024</v>
      </c>
      <c r="T43" s="101">
        <f>T22</f>
        <v>2025</v>
      </c>
      <c r="U43" s="101">
        <f>U22</f>
        <v>2026</v>
      </c>
      <c r="V43" s="101">
        <f>V22</f>
        <v>2027</v>
      </c>
      <c r="W43" s="102">
        <f>W22</f>
        <v>2028</v>
      </c>
      <c r="Z43" s="84"/>
      <c r="AA43" s="101">
        <f>AA22</f>
        <v>2024</v>
      </c>
      <c r="AB43" s="101">
        <f>AB22</f>
        <v>2025</v>
      </c>
      <c r="AC43" s="101">
        <f>AC22</f>
        <v>2026</v>
      </c>
      <c r="AD43" s="101">
        <f>AD22</f>
        <v>2027</v>
      </c>
      <c r="AE43" s="102">
        <f>AE22</f>
        <v>2028</v>
      </c>
      <c r="AH43" s="84"/>
      <c r="AI43" s="101">
        <f>AI22</f>
        <v>2024</v>
      </c>
      <c r="AJ43" s="101">
        <f>AJ22</f>
        <v>2025</v>
      </c>
      <c r="AK43" s="101">
        <f>AK22</f>
        <v>2026</v>
      </c>
      <c r="AL43" s="101">
        <f>AL22</f>
        <v>2027</v>
      </c>
      <c r="AM43" s="102">
        <f>AM22</f>
        <v>2028</v>
      </c>
      <c r="AP43" s="84"/>
      <c r="AQ43" s="101">
        <f>AQ22</f>
        <v>2024</v>
      </c>
      <c r="AR43" s="101">
        <f>AR22</f>
        <v>2025</v>
      </c>
      <c r="AS43" s="101">
        <f>AS22</f>
        <v>2026</v>
      </c>
      <c r="AT43" s="101">
        <f>AT22</f>
        <v>2027</v>
      </c>
      <c r="AU43" s="102">
        <f>AU22</f>
        <v>2028</v>
      </c>
      <c r="AX43" s="84"/>
      <c r="AY43" s="101">
        <f>AY22</f>
        <v>2024</v>
      </c>
      <c r="AZ43" s="101">
        <f>AZ22</f>
        <v>2025</v>
      </c>
      <c r="BA43" s="101">
        <f>BA22</f>
        <v>2026</v>
      </c>
      <c r="BB43" s="101">
        <f>BB22</f>
        <v>2027</v>
      </c>
      <c r="BC43" s="102">
        <f>BC22</f>
        <v>2028</v>
      </c>
      <c r="BF43" s="84"/>
      <c r="BG43" s="101">
        <f>BG22</f>
        <v>2024</v>
      </c>
      <c r="BH43" s="101">
        <f>BH22</f>
        <v>2025</v>
      </c>
      <c r="BI43" s="101">
        <f>BI22</f>
        <v>2026</v>
      </c>
      <c r="BJ43" s="101">
        <f>BJ22</f>
        <v>2027</v>
      </c>
      <c r="BK43" s="102">
        <f>BK22</f>
        <v>2028</v>
      </c>
      <c r="BN43" s="84"/>
      <c r="BO43" s="101">
        <f>BO22</f>
        <v>2024</v>
      </c>
      <c r="BP43" s="101">
        <f>BP22</f>
        <v>2025</v>
      </c>
      <c r="BQ43" s="101">
        <f>BQ22</f>
        <v>2026</v>
      </c>
      <c r="BR43" s="101">
        <f>BR22</f>
        <v>2027</v>
      </c>
      <c r="BS43" s="102">
        <f>BS22</f>
        <v>2028</v>
      </c>
      <c r="BV43" s="84"/>
      <c r="BW43" s="101">
        <f>BW22</f>
        <v>2024</v>
      </c>
      <c r="BX43" s="101">
        <f>BX22</f>
        <v>2025</v>
      </c>
      <c r="BY43" s="101">
        <f>BY22</f>
        <v>2026</v>
      </c>
      <c r="BZ43" s="101">
        <f>BZ22</f>
        <v>2027</v>
      </c>
      <c r="CA43" s="102">
        <f>CA22</f>
        <v>2028</v>
      </c>
      <c r="CD43" s="84"/>
      <c r="CE43" s="101">
        <f>CE22</f>
        <v>2024</v>
      </c>
      <c r="CF43" s="101">
        <f>CF22</f>
        <v>2025</v>
      </c>
      <c r="CG43" s="101">
        <f>CG22</f>
        <v>2026</v>
      </c>
      <c r="CH43" s="101">
        <f>CH22</f>
        <v>2027</v>
      </c>
      <c r="CI43" s="102">
        <f>CI22</f>
        <v>2028</v>
      </c>
      <c r="CL43" s="84"/>
      <c r="CM43" s="101">
        <f>CM22</f>
        <v>2024</v>
      </c>
      <c r="CN43" s="101">
        <f>CN22</f>
        <v>2025</v>
      </c>
      <c r="CO43" s="101">
        <f>CO22</f>
        <v>2026</v>
      </c>
      <c r="CP43" s="101">
        <f>CP22</f>
        <v>2027</v>
      </c>
      <c r="CQ43" s="102">
        <f>CQ22</f>
        <v>2028</v>
      </c>
      <c r="CT43" s="84"/>
      <c r="CU43" s="101">
        <f>CU22</f>
        <v>2024</v>
      </c>
      <c r="CV43" s="101">
        <f>CV22</f>
        <v>2025</v>
      </c>
      <c r="CW43" s="101">
        <f>CW22</f>
        <v>2026</v>
      </c>
      <c r="CX43" s="101">
        <f>CX22</f>
        <v>2027</v>
      </c>
      <c r="CY43" s="102">
        <f>CY22</f>
        <v>2028</v>
      </c>
      <c r="DB43" s="84"/>
      <c r="DC43" s="101">
        <f>DC22</f>
        <v>2024</v>
      </c>
      <c r="DD43" s="101">
        <f>DD22</f>
        <v>2025</v>
      </c>
      <c r="DE43" s="101">
        <f>DE22</f>
        <v>2026</v>
      </c>
      <c r="DF43" s="101">
        <f>DF22</f>
        <v>2027</v>
      </c>
      <c r="DG43" s="102">
        <f>DG22</f>
        <v>2028</v>
      </c>
    </row>
    <row r="44" spans="2:113" s="83" customFormat="1" ht="15" thickBot="1">
      <c r="B44" s="386"/>
      <c r="C44" s="388">
        <f ca="1">(C23*c_inicial)+(C23*c_on*12)+(C23*ci_int1)+(C23*(ct_int1+ca_int1)*'Time on treatment'!$D$12)</f>
        <v>1590669.5866445473</v>
      </c>
      <c r="D44" s="388">
        <f ca="1">((D23-C23)*(c_inicial+ci_int1))+(D23*c_on*12)+(D23*(ct_int1+ca_int1)*'Time on treatment'!$D$12)</f>
        <v>1610320.6321744705</v>
      </c>
      <c r="E44" s="388">
        <f ca="1">(((E23-(D23-C23))-C23)*(c_inicial+ci_int1))+(E23*c_on*12)+(E23*(ct_int1+ca_int1)*'Time on treatment'!$D$12)</f>
        <v>1628717.8892322725</v>
      </c>
      <c r="F44" s="388">
        <f ca="1">((F23-(E23-D23)-(D23-C23)-C23)*(c_inicial+ci_int1))+(F23*c_on*12)+(F23*(ct_int1+ca_int1)*'Time on treatment'!$D$12)</f>
        <v>1645816.3745339583</v>
      </c>
      <c r="G44" s="389">
        <f ca="1">((G23-(F23-E23)-(E23-D23)-(D23-C23)-C23)*(c_inicial+ci_int1))+(G23*c_on*12)+(G23*(ct_int1+ca_int1)*'Time on treatment'!$D$12)</f>
        <v>1661571.2144039208</v>
      </c>
      <c r="H44" s="77"/>
      <c r="I44" s="77"/>
      <c r="J44" s="386"/>
      <c r="K44" s="388">
        <f ca="1">(K23*c_inicial)+(K23*c_on*12)+(K23*ci_int2)+(K23*(ct_int2+ca_int2)*'Time on treatment'!$D$12)</f>
        <v>0</v>
      </c>
      <c r="L44" s="388">
        <f ca="1">((L23-K23)*(c_inicial+ci_int2))+(L23*c_on*12)+(L23*(ct_int2+ca_int2)*'Time on treatment'!$D$12)</f>
        <v>0</v>
      </c>
      <c r="M44" s="388">
        <f ca="1">(((M23-(L23-K23))-K23)*(c_inicial+ci_int2))+(M23*c_on*12)+(M23*(ct_int2+ca_int2)*'Time on treatment'!$D$12)</f>
        <v>0</v>
      </c>
      <c r="N44" s="388">
        <f ca="1">((N23-(M23-L23)-(L23-K23)-K23)*(c_inicial+ci_int2))+(N23*c_on*12)+(N23*(ct_int2+ca_int2)*'Time on treatment'!$D$12)</f>
        <v>0</v>
      </c>
      <c r="O44" s="389">
        <f ca="1">((O23-(N23-M23)-(M23-L23)-(L23-K23)-K23)*(c_inicial+ci_int2))+(O23*c_on*12)+(O23*(ct_int2+ca_int2)*'Time on treatment'!$D$12)</f>
        <v>0</v>
      </c>
      <c r="P44" s="77"/>
      <c r="Q44" s="77"/>
      <c r="R44" s="386"/>
      <c r="S44" s="388">
        <f ca="1">(S23*c_inicial)+(S23*c_on*12)+(S23*ci_int3)+(S23*(ct_int3+ca_int3)*'Time on treatment'!$D$12)</f>
        <v>0</v>
      </c>
      <c r="T44" s="388">
        <f ca="1">((T23-S23)*(c_inicial+ci_int3))+(T23*c_on*12)+(T23*(ct_int3+ca_int3)*'Time on treatment'!$D$12)</f>
        <v>0</v>
      </c>
      <c r="U44" s="388">
        <f ca="1">(((U23-(T23-S23))-S23)*(c_inicial+ci_int3))+(U23*c_on*12)+(U23*(ct_int3+ca_int3)*'Time on treatment'!$D$12)</f>
        <v>0</v>
      </c>
      <c r="V44" s="388">
        <f ca="1">((V23-(U23-T23)-(T23-S23)-S23)*(c_inicial+ci_int3))+(V23*c_on*12)+(V23*(ct_int3+ca_int3)*'Time on treatment'!$D$12)</f>
        <v>0</v>
      </c>
      <c r="W44" s="389">
        <f ca="1">((W23-(V23-U23)-(U23-T23)-(T23-S23)-S23)*(c_inicial+ci_int3))+(W23*c_on*12)+(W23*(ct_int3+ca_int3)*'Time on treatment'!$D$12)</f>
        <v>0</v>
      </c>
      <c r="X44" s="77"/>
      <c r="Y44" s="77"/>
      <c r="Z44" s="386"/>
      <c r="AA44" s="388">
        <f ca="1">(AA23*c_inicial)+(AA23*c_on*12)+(AA23*ci_int4)+(AA23*(ct_int4+ca_int4)*'Time on treatment'!$D$12)</f>
        <v>0</v>
      </c>
      <c r="AB44" s="388">
        <f ca="1">((AB23-AA23)*(c_inicial+ci_int4))+(AB23*c_on*12)+(AB23*(ct_int4+ca_int4)*'Time on treatment'!$D$12)</f>
        <v>0</v>
      </c>
      <c r="AC44" s="388">
        <f ca="1">(((AC23-(AB23-AA23))-AA23)*(c_inicial+ci_int4))+(AC23*c_on*12)+(AC23*(ct_int4+ca_int4)*'Time on treatment'!$D$12)</f>
        <v>0</v>
      </c>
      <c r="AD44" s="388">
        <f ca="1">((AD23-(AC23-AB23)-(AB23-AA23)-AA23)*(c_inicial+ci_int4))+(AD23*c_on*12)+(AD23*(ct_int4+ca_int4)*'Time on treatment'!$D$12)</f>
        <v>0</v>
      </c>
      <c r="AE44" s="389">
        <f ca="1">((AE23-(AD23-AC23)-(AC23-AB23)-(AB23-AA23)-AA23)*(c_inicial+ci_int4))+(AE23*c_on*12)+(AE23*(ct_int4+ca_int4)*'Time on treatment'!$D$12)</f>
        <v>0</v>
      </c>
      <c r="AF44" s="77"/>
      <c r="AG44" s="77"/>
      <c r="AH44" s="386"/>
      <c r="AI44" s="388">
        <f ca="1">(AI23*c_inicial)+(AI23*c_on*12)+(AI23*ci_comp1)+(AI23*(ct_comp1+ca_comp1)*'Time on treatment'!$D$12)</f>
        <v>5256429.9169366583</v>
      </c>
      <c r="AJ44" s="388">
        <f ca="1">((AJ23-AI23)*(c_inicial+ci_comp1))+(AJ23*c_on*12)+(AJ23*(ct_comp1+ca_comp1)*'Time on treatment'!$D$12)</f>
        <v>-555186.59112295904</v>
      </c>
      <c r="AK44" s="388">
        <f ca="1">(((AK23-(AJ23-AI23))-AI23)*(c_inicial+ci_comp1))+(AK23*c_on*12)+(AK23*(ct_comp1+ca_comp1)*'Time on treatment'!$D$12)</f>
        <v>-563476.04664993554</v>
      </c>
      <c r="AL44" s="388">
        <f ca="1">((AL23-(AK23-AJ23)-(AJ23-AI23)-AI23)*(c_inicial+ci_comp1))+(AL23*c_on*12)+(AL23*(ct_comp1+ca_comp1)*'Time on treatment'!$D$12)</f>
        <v>-571329.92222666123</v>
      </c>
      <c r="AM44" s="389">
        <f ca="1">((AM23-(AL23-AK23)-(AK23-AJ23)-(AJ23-AI23)-AI23)*(c_inicial+ci_comp1))+(AM23*c_on*12)+(AM23*(ct_comp1+ca_comp1)*'Time on treatment'!$D$12)</f>
        <v>-578731.66105001757</v>
      </c>
      <c r="AN44" s="77"/>
      <c r="AO44" s="77"/>
      <c r="AP44" s="386"/>
      <c r="AQ44" s="388">
        <f ca="1">(AQ23*c_inicial)+(AQ23*c_on*12)+(AQ23*ci_comp2)+(AQ23*(ct_comp2+ca_comp2)*'Time on treatment'!$D$12)</f>
        <v>0</v>
      </c>
      <c r="AR44" s="388">
        <f ca="1">((AR23-AQ23)*(c_inicial+ci_comp2))+(AR23*c_on*12)+(AR23*(ct_comp2+ca_comp2)*'Time on treatment'!$D$12)</f>
        <v>0</v>
      </c>
      <c r="AS44" s="388">
        <f ca="1">(((AS23-(AR23-AQ23))-AQ23)*(c_inicial+ci_comp2))+(AS23*c_on*12)+(AS23*(ct_comp2+ca_comp2)*'Time on treatment'!$D$12)</f>
        <v>0</v>
      </c>
      <c r="AT44" s="388">
        <f ca="1">((AT23-(AS23-AR23)-(AR23-AQ23)-AQ23)*(c_inicial+ci_comp2))+(AT23*c_on*12)+(AT23*(ct_comp2+ca_comp2)*'Time on treatment'!$D$12)</f>
        <v>0</v>
      </c>
      <c r="AU44" s="389">
        <f ca="1">((AU23-(AT23-AS23)-(AS23-AR23)-(AR23-AQ23)-AQ23)*(c_inicial+ci_comp2))+(AU23*c_on*12)+(AU23*(ct_comp2+ca_comp2)*'Time on treatment'!$D$12)</f>
        <v>0</v>
      </c>
      <c r="AV44" s="77"/>
      <c r="AW44" s="77"/>
      <c r="AX44" s="386"/>
      <c r="AY44" s="388">
        <f ca="1">(AY23*c_inicial)+(AY23*c_on*12)+(AY23*ci_comp3)+(AY23*(ct_comp3+ca_comp3)*'Time on treatment'!$D$12)</f>
        <v>0</v>
      </c>
      <c r="AZ44" s="388">
        <f ca="1">((AZ23-AY23)*(c_inicial+ci_comp3))+(AZ23*c_on*12)+(AZ23*(ct_comp3+ca_comp3)*'Time on treatment'!$D$12)</f>
        <v>0</v>
      </c>
      <c r="BA44" s="388">
        <f ca="1">(((BA23-(AZ23-AY23))-AY23)*(c_inicial+ci_comp3))+(BA23*c_on*12)+(BA23*(ct_comp3+ca_comp3)*'Time on treatment'!$D$12)</f>
        <v>0</v>
      </c>
      <c r="BB44" s="388">
        <f ca="1">((BB23-(BA23-AZ23)-(AZ23-AY23)-AY23)*(c_inicial+ci_comp3))+(BB23*c_on*12)+(BB23*(ct_comp3+ca_comp3)*'Time on treatment'!$D$12)</f>
        <v>0</v>
      </c>
      <c r="BC44" s="389">
        <f ca="1">((BC23-(BB23-BA23)-(BA23-AZ23)-(AZ23-AY23)-AY23)*(c_inicial+ci_comp3))+(BC23*c_on*12)+(BC23*(ct_comp3+ca_comp3)*'Time on treatment'!$D$12)</f>
        <v>0</v>
      </c>
      <c r="BD44" s="77"/>
      <c r="BE44" s="77"/>
      <c r="BF44" s="386"/>
      <c r="BG44" s="388">
        <f ca="1">(BG23*c_inicial)+(BG23*c_on*12)+(BG23*ci_comp4)+(BG23*(ct_comp4+ca_comp4)*'Time on treatment'!$D$12)</f>
        <v>0</v>
      </c>
      <c r="BH44" s="388">
        <f ca="1">((BH23-BG23)*(c_inicial+ci_comp4))+(BH23*c_on*12)+(BH23*(ct_comp4+ca_comp4)*'Time on treatment'!$D$12)</f>
        <v>0</v>
      </c>
      <c r="BI44" s="388">
        <f ca="1">(((BI23-(BH23-BG23))-BG23)*(c_inicial+ci_comp4))+(BI23*c_on*12)+(BI23*(ct_comp4+ca_comp4)*'Time on treatment'!$D$12)</f>
        <v>0</v>
      </c>
      <c r="BJ44" s="388">
        <f ca="1">((BJ23-(BI23-BH23)-(BH23-BG23)-BG23)*(c_inicial+ci_comp4))+(BJ23*c_on*12)+(BJ23*(ct_comp4+ca_comp4)*'Time on treatment'!$D$12)</f>
        <v>0</v>
      </c>
      <c r="BK44" s="389">
        <f ca="1">((BK23-(BJ23-BI23)-(BI23-BH23)-(BH23-BG23)-BG23)*(c_inicial+ci_comp4))+(BK23*c_on*12)+(BK23*(ct_comp4+ca_comp4)*'Time on treatment'!$D$12)</f>
        <v>0</v>
      </c>
      <c r="BL44" s="77"/>
      <c r="BM44" s="77"/>
      <c r="BN44" s="386"/>
      <c r="BO44" s="388">
        <f ca="1">(BO23*c_inicial)+(BO23*c_on*12)+(BO23*ci_comp5)+(BO23*(ct_comp5+ca_comp5)*'Time on treatment'!$D$12)</f>
        <v>0</v>
      </c>
      <c r="BP44" s="388">
        <f ca="1">((BP23-BO23)*(c_inicial+ci_comp5))+(BP23*c_on*12)+(BP23*(ct_comp5+ca_comp5)*'Time on treatment'!$D$12)</f>
        <v>0</v>
      </c>
      <c r="BQ44" s="388">
        <f ca="1">(((BQ23-(BP23-BO23))-BO23)*(c_inicial+ci_comp5))+(BQ23*c_on*12)+(BQ23*(ct_comp5+ca_comp5)*'Time on treatment'!$D$12)</f>
        <v>0</v>
      </c>
      <c r="BR44" s="388">
        <f ca="1">((BR23-(BQ23-BP23)-(BP23-BO23)-BO23)*(c_inicial+ci_comp5))+(BR23*c_on*12)+(BR23*(ct_comp5+ca_comp5)*'Time on treatment'!$D$12)</f>
        <v>0</v>
      </c>
      <c r="BS44" s="389">
        <f ca="1">((BS23-(BR23-BQ23)-(BQ23-BP23)-(BP23-BO23)-BO23)*(c_inicial+ci_comp5))+(BS23*c_on*12)+(BS23*(ct_comp5+ca_comp5)*'Time on treatment'!$D$12)</f>
        <v>0</v>
      </c>
      <c r="BT44" s="77"/>
      <c r="BU44" s="77"/>
      <c r="BV44" s="386"/>
      <c r="BW44" s="388">
        <f ca="1">(BW23*c_inicial)+(BW23*c_on*12)+(BW23*ci_comp6)+(BW23*(ct_comp6+ca_comp6)*'Time on treatment'!$D$12)</f>
        <v>0</v>
      </c>
      <c r="BX44" s="388">
        <f ca="1">((BX23-BW23)*(c_inicial+ci_comp6))+(BX23*c_on*12)+(BX23*(ct_comp6+ca_comp6)*'Time on treatment'!$D$12)</f>
        <v>0</v>
      </c>
      <c r="BY44" s="388">
        <f ca="1">(((BY23-(BX23-BW23))-BW23)*(c_inicial+ci_comp6))+(BY23*c_on*12)+(BY23*(ct_comp6+ca_comp6)*'Time on treatment'!$D$12)</f>
        <v>0</v>
      </c>
      <c r="BZ44" s="388">
        <f ca="1">((BZ23-(BY23-BX23)-(BX23-BW23)-BW23)*(c_inicial+ci_comp6))+(BZ23*c_on*12)+(BZ23*(ct_comp6+ca_comp6)*'Time on treatment'!$D$12)</f>
        <v>0</v>
      </c>
      <c r="CA44" s="389">
        <f ca="1">((CA23-(BZ23-BY23)-(BY23-BX23)-(BX23-BW23)-BW23)*(c_inicial+ci_comp6))+(CA23*c_on*12)+(CA23*(ct_comp6+ca_comp6)*'Time on treatment'!$D$12)</f>
        <v>0</v>
      </c>
      <c r="CB44" s="77"/>
      <c r="CC44" s="77"/>
      <c r="CD44" s="386"/>
      <c r="CE44" s="388">
        <f ca="1">(CE23*c_inicial)+(CE23*c_on*12)+(CE23*ci_comp7)+(CE23*(ct_comp7+ca_comp7)*'Time on treatment'!$D$12)</f>
        <v>0</v>
      </c>
      <c r="CF44" s="388">
        <f ca="1">((CF23-CE23)*(c_inicial+ci_comp7))+(CF23*c_on*12)+(CF23*(ct_comp7+ca_comp7)*'Time on treatment'!$D$12)</f>
        <v>0</v>
      </c>
      <c r="CG44" s="388">
        <f ca="1">(((CG23-(CF23-CE23))-CE23)*(c_inicial+ci_comp7))+(CG23*c_on*12)+(CG23*(ct_comp7+ca_comp7)*'Time on treatment'!$D$12)</f>
        <v>0</v>
      </c>
      <c r="CH44" s="388">
        <f ca="1">((CH23-(CG23-CF23)-(CF23-CE23)-CE23)*(c_inicial+ci_comp7))+(CH23*c_on*12)+(CH23*(ct_comp7+ca_comp7)*'Time on treatment'!$D$12)</f>
        <v>0</v>
      </c>
      <c r="CI44" s="389">
        <f ca="1">((CI23-(CH23-CG23)-(CG23-CF23)-(CF23-CE23)-CE23)*(c_inicial+ci_comp7))+(CI23*c_on*12)+(CI23*(ct_comp7+ca_comp7)*'Time on treatment'!$D$12)</f>
        <v>0</v>
      </c>
      <c r="CJ44" s="77"/>
      <c r="CK44" s="77"/>
      <c r="CL44" s="386"/>
      <c r="CM44" s="388">
        <f ca="1">(CM23*c_inicial)+(CM23*c_on*12)+(CM23*ci_comp8)+(CM23*(ct_comp8+ca_comp8)*'Time on treatment'!$D$12)</f>
        <v>0</v>
      </c>
      <c r="CN44" s="388">
        <f ca="1">((CN23-CM23)*(c_inicial+ci_comp8))+(CN23*c_on*12)+(CN23*(ct_comp8+ca_comp8)*'Time on treatment'!$D$12)</f>
        <v>0</v>
      </c>
      <c r="CO44" s="388">
        <f ca="1">(((CO23-(CN23-CM23))-CM23)*(c_inicial+ci_comp8))+(CO23*c_on*12)+(CO23*(ct_comp8+ca_comp8)*'Time on treatment'!$D$12)</f>
        <v>0</v>
      </c>
      <c r="CP44" s="388">
        <f ca="1">((CP23-(CO23-CN23)-(CN23-CM23)-CM23)*(c_inicial+ci_comp8))+(CP23*c_on*12)+(CP23*(ct_comp8+ca_comp8)*'Time on treatment'!$D$12)</f>
        <v>0</v>
      </c>
      <c r="CQ44" s="389">
        <f ca="1">((CQ23-(CP23-CO23)-(CO23-CN23)-(CN23-CM23)-CM23)*(c_inicial+ci_comp8))+(CQ23*c_on*12)+(CQ23*(ct_comp8+ca_comp8)*'Time on treatment'!$D$12)</f>
        <v>0</v>
      </c>
      <c r="CR44" s="77"/>
      <c r="CS44" s="77"/>
      <c r="CT44" s="386"/>
      <c r="CU44" s="388">
        <f ca="1">(CU23*c_inicial)+(CU23*c_on*12)+(CU23*ci_comp9)+(CU23*(ct_comp9+ca_comp9)*'Time on treatment'!$D$12)</f>
        <v>0</v>
      </c>
      <c r="CV44" s="388">
        <f ca="1">((CV23-CU23)*(c_inicial+ci_comp9))+(CV23*c_on*12)+(CV23*(ct_comp9+ca_comp9)*'Time on treatment'!$D$12)</f>
        <v>0</v>
      </c>
      <c r="CW44" s="388">
        <f ca="1">(((CW23-(CV23-CU23))-CU23)*(c_inicial+ci_comp9))+(CW23*c_on*12)+(CW23*(ct_comp9+ca_comp9)*'Time on treatment'!$D$12)</f>
        <v>0</v>
      </c>
      <c r="CX44" s="388">
        <f ca="1">((CX23-(CW23-CV23)-(CV23-CU23)-CU23)*(c_inicial+ci_comp9))+(CX23*c_on*12)+(CX23*(ct_comp9+ca_comp9)*'Time on treatment'!$D$12)</f>
        <v>0</v>
      </c>
      <c r="CY44" s="389">
        <f ca="1">((CY23-(CX23-CW23)-(CW23-CV23)-(CV23-CU23)-CU23)*(c_inicial+ci_comp9))+(CY23*c_on*12)+(CY23*(ct_comp9+ca_comp9)*'Time on treatment'!$D$12)</f>
        <v>0</v>
      </c>
      <c r="CZ44" s="77"/>
      <c r="DA44" s="77"/>
      <c r="DB44" s="386"/>
      <c r="DC44" s="388">
        <f ca="1">(DC23*c_inicial)+(DC23*c_on*12)+(DC23*ci_comp10)+(DC23*(ct_comp10+ca_comp10)*'Time on treatment'!$D$12)</f>
        <v>0</v>
      </c>
      <c r="DD44" s="388">
        <f ca="1">((DD23-DC23)*(c_inicial+ci_comp10))+(DD23*c_on*12)+(DD23*(ct_comp10+ca_comp10)*'Time on treatment'!$D$12)</f>
        <v>0</v>
      </c>
      <c r="DE44" s="388">
        <f ca="1">(((DE23-(DD23-DC23))-DC23)*(c_inicial+ci_comp10))+(DE23*c_on*12)+(DE23*(ct_comp10+ca_comp10)*'Time on treatment'!$D$12)</f>
        <v>0</v>
      </c>
      <c r="DF44" s="388">
        <f ca="1">((DF23-(DE23-DD23)-(DD23-DC23)-DC23)*(c_inicial+ci_comp10))+(DF23*c_on*12)+(DF23*(ct_comp10+ca_comp10)*'Time on treatment'!$D$12)</f>
        <v>0</v>
      </c>
      <c r="DG44" s="389">
        <f ca="1">((DG23-(DF23-DE23)-(DE23-DD23)-(DD23-DC23)-DC23)*(c_inicial+ci_comp10))+(DG23*c_on*12)+(DG23*(ct_comp10+ca_comp10)*'Time on treatment'!$D$12)</f>
        <v>0</v>
      </c>
      <c r="DH44" s="77"/>
      <c r="DI44" s="77"/>
    </row>
    <row r="45" spans="2:113" ht="15" thickBot="1">
      <c r="B45" s="83"/>
      <c r="C45" s="83"/>
      <c r="D45" s="83"/>
      <c r="E45" s="83"/>
      <c r="F45" s="83"/>
      <c r="G45" s="83"/>
      <c r="J45" s="83"/>
      <c r="K45" s="83"/>
      <c r="L45" s="83"/>
      <c r="M45" s="83"/>
      <c r="N45" s="83"/>
      <c r="O45" s="83"/>
      <c r="R45" s="83"/>
      <c r="S45" s="83"/>
      <c r="T45" s="83"/>
      <c r="U45" s="83"/>
      <c r="V45" s="83"/>
      <c r="W45" s="83"/>
      <c r="Z45" s="83"/>
      <c r="AA45" s="83"/>
      <c r="AB45" s="83"/>
      <c r="AC45" s="83"/>
      <c r="AD45" s="83"/>
      <c r="AE45" s="83"/>
      <c r="AH45" s="83"/>
      <c r="AI45" s="83"/>
      <c r="AJ45" s="83"/>
      <c r="AK45" s="83"/>
      <c r="AL45" s="83"/>
      <c r="AM45" s="83"/>
      <c r="AP45" s="83"/>
      <c r="AQ45" s="83"/>
      <c r="AR45" s="83"/>
      <c r="AS45" s="83"/>
      <c r="AT45" s="83"/>
      <c r="AU45" s="83"/>
      <c r="AX45" s="83"/>
      <c r="AY45" s="83"/>
      <c r="AZ45" s="83"/>
      <c r="BA45" s="83"/>
      <c r="BB45" s="83"/>
      <c r="BC45" s="83"/>
      <c r="BF45" s="83"/>
      <c r="BG45" s="83"/>
      <c r="BH45" s="83"/>
      <c r="BI45" s="83"/>
      <c r="BJ45" s="83"/>
      <c r="BK45" s="83"/>
      <c r="BN45" s="83"/>
      <c r="BO45" s="83"/>
      <c r="BP45" s="83"/>
      <c r="BQ45" s="83"/>
      <c r="BR45" s="83"/>
      <c r="BS45" s="83"/>
      <c r="BV45" s="83"/>
      <c r="BW45" s="83"/>
      <c r="BX45" s="83"/>
      <c r="BY45" s="83"/>
      <c r="BZ45" s="83"/>
      <c r="CA45" s="83"/>
      <c r="CD45" s="83"/>
      <c r="CE45" s="83"/>
      <c r="CF45" s="83"/>
      <c r="CG45" s="83"/>
      <c r="CH45" s="83"/>
      <c r="CI45" s="83"/>
      <c r="CL45" s="83"/>
      <c r="CM45" s="83"/>
      <c r="CN45" s="83"/>
      <c r="CO45" s="83"/>
      <c r="CP45" s="83"/>
      <c r="CQ45" s="83"/>
      <c r="CT45" s="83"/>
      <c r="CU45" s="83"/>
      <c r="CV45" s="83"/>
      <c r="CW45" s="83"/>
      <c r="CX45" s="83"/>
      <c r="CY45" s="83"/>
      <c r="DB45" s="83"/>
      <c r="DC45" s="83"/>
      <c r="DD45" s="83"/>
      <c r="DE45" s="83"/>
      <c r="DF45" s="83"/>
      <c r="DG45" s="83"/>
    </row>
    <row r="46" spans="2:113" ht="15" thickBot="1">
      <c r="B46" s="507">
        <f>B25</f>
        <v>0</v>
      </c>
      <c r="C46" s="505"/>
      <c r="D46" s="505"/>
      <c r="E46" s="505"/>
      <c r="F46" s="505"/>
      <c r="G46" s="506"/>
      <c r="J46" s="507">
        <f>J25</f>
        <v>0</v>
      </c>
      <c r="K46" s="505"/>
      <c r="L46" s="505"/>
      <c r="M46" s="505"/>
      <c r="N46" s="505"/>
      <c r="O46" s="506"/>
      <c r="R46" s="507">
        <f>R25</f>
        <v>0</v>
      </c>
      <c r="S46" s="505"/>
      <c r="T46" s="505"/>
      <c r="U46" s="505"/>
      <c r="V46" s="505"/>
      <c r="W46" s="506"/>
      <c r="Z46" s="507">
        <f>Z25</f>
        <v>0</v>
      </c>
      <c r="AA46" s="505"/>
      <c r="AB46" s="505"/>
      <c r="AC46" s="505"/>
      <c r="AD46" s="505"/>
      <c r="AE46" s="506"/>
      <c r="AH46" s="507">
        <f>AH25</f>
        <v>0</v>
      </c>
      <c r="AI46" s="505"/>
      <c r="AJ46" s="505"/>
      <c r="AK46" s="505"/>
      <c r="AL46" s="505"/>
      <c r="AM46" s="506"/>
      <c r="AP46" s="507">
        <f>AP25</f>
        <v>0</v>
      </c>
      <c r="AQ46" s="505"/>
      <c r="AR46" s="505"/>
      <c r="AS46" s="505"/>
      <c r="AT46" s="505"/>
      <c r="AU46" s="506"/>
      <c r="AX46" s="507">
        <f>AX25</f>
        <v>0</v>
      </c>
      <c r="AY46" s="505"/>
      <c r="AZ46" s="505"/>
      <c r="BA46" s="505"/>
      <c r="BB46" s="505"/>
      <c r="BC46" s="506"/>
      <c r="BF46" s="507">
        <f>BF25</f>
        <v>0</v>
      </c>
      <c r="BG46" s="505"/>
      <c r="BH46" s="505"/>
      <c r="BI46" s="505"/>
      <c r="BJ46" s="505"/>
      <c r="BK46" s="506"/>
      <c r="BN46" s="507">
        <f>BN25</f>
        <v>0</v>
      </c>
      <c r="BO46" s="505"/>
      <c r="BP46" s="505"/>
      <c r="BQ46" s="505"/>
      <c r="BR46" s="505"/>
      <c r="BS46" s="506"/>
      <c r="BV46" s="507">
        <f>BV25</f>
        <v>0</v>
      </c>
      <c r="BW46" s="505"/>
      <c r="BX46" s="505"/>
      <c r="BY46" s="505"/>
      <c r="BZ46" s="505"/>
      <c r="CA46" s="506"/>
      <c r="CD46" s="507">
        <f>CD25</f>
        <v>0</v>
      </c>
      <c r="CE46" s="505"/>
      <c r="CF46" s="505"/>
      <c r="CG46" s="505"/>
      <c r="CH46" s="505"/>
      <c r="CI46" s="506"/>
      <c r="CL46" s="507">
        <f>CL25</f>
        <v>0</v>
      </c>
      <c r="CM46" s="505"/>
      <c r="CN46" s="505"/>
      <c r="CO46" s="505"/>
      <c r="CP46" s="505"/>
      <c r="CQ46" s="506"/>
      <c r="CT46" s="507">
        <f>CT25</f>
        <v>0</v>
      </c>
      <c r="CU46" s="505"/>
      <c r="CV46" s="505"/>
      <c r="CW46" s="505"/>
      <c r="CX46" s="505"/>
      <c r="CY46" s="506"/>
      <c r="DB46" s="507">
        <f>DB25</f>
        <v>0</v>
      </c>
      <c r="DC46" s="505"/>
      <c r="DD46" s="505"/>
      <c r="DE46" s="505"/>
      <c r="DF46" s="505"/>
      <c r="DG46" s="506"/>
    </row>
    <row r="47" spans="2:113">
      <c r="B47" s="84"/>
      <c r="C47" s="101">
        <f>C26</f>
        <v>2024</v>
      </c>
      <c r="D47" s="101">
        <f>D26</f>
        <v>2025</v>
      </c>
      <c r="E47" s="101">
        <f>E26</f>
        <v>2026</v>
      </c>
      <c r="F47" s="101">
        <f>F26</f>
        <v>2027</v>
      </c>
      <c r="G47" s="102">
        <f>G26</f>
        <v>2028</v>
      </c>
      <c r="J47" s="84"/>
      <c r="K47" s="101">
        <f>K26</f>
        <v>2024</v>
      </c>
      <c r="L47" s="101">
        <f>L26</f>
        <v>2025</v>
      </c>
      <c r="M47" s="101">
        <f>M26</f>
        <v>2026</v>
      </c>
      <c r="N47" s="101">
        <f>N26</f>
        <v>2027</v>
      </c>
      <c r="O47" s="102">
        <f>O26</f>
        <v>2028</v>
      </c>
      <c r="R47" s="84"/>
      <c r="S47" s="101">
        <f>S26</f>
        <v>2024</v>
      </c>
      <c r="T47" s="101">
        <f>T26</f>
        <v>2025</v>
      </c>
      <c r="U47" s="101">
        <f>U26</f>
        <v>2026</v>
      </c>
      <c r="V47" s="101">
        <f>V26</f>
        <v>2027</v>
      </c>
      <c r="W47" s="102">
        <f>W26</f>
        <v>2028</v>
      </c>
      <c r="Z47" s="84"/>
      <c r="AA47" s="101">
        <f>AA26</f>
        <v>2024</v>
      </c>
      <c r="AB47" s="101">
        <f>AB26</f>
        <v>2025</v>
      </c>
      <c r="AC47" s="101">
        <f>AC26</f>
        <v>2026</v>
      </c>
      <c r="AD47" s="101">
        <f>AD26</f>
        <v>2027</v>
      </c>
      <c r="AE47" s="102">
        <f>AE26</f>
        <v>2028</v>
      </c>
      <c r="AH47" s="84"/>
      <c r="AI47" s="101">
        <f>AI26</f>
        <v>2024</v>
      </c>
      <c r="AJ47" s="101">
        <f>AJ26</f>
        <v>2025</v>
      </c>
      <c r="AK47" s="101">
        <f>AK26</f>
        <v>2026</v>
      </c>
      <c r="AL47" s="101">
        <f>AL26</f>
        <v>2027</v>
      </c>
      <c r="AM47" s="102">
        <f>AM26</f>
        <v>2028</v>
      </c>
      <c r="AP47" s="84"/>
      <c r="AQ47" s="101">
        <f>AQ26</f>
        <v>2024</v>
      </c>
      <c r="AR47" s="101">
        <f>AR26</f>
        <v>2025</v>
      </c>
      <c r="AS47" s="101">
        <f>AS26</f>
        <v>2026</v>
      </c>
      <c r="AT47" s="101">
        <f>AT26</f>
        <v>2027</v>
      </c>
      <c r="AU47" s="102">
        <f>AU26</f>
        <v>2028</v>
      </c>
      <c r="AX47" s="84"/>
      <c r="AY47" s="101">
        <f>AY26</f>
        <v>2024</v>
      </c>
      <c r="AZ47" s="101">
        <f>AZ26</f>
        <v>2025</v>
      </c>
      <c r="BA47" s="101">
        <f>BA26</f>
        <v>2026</v>
      </c>
      <c r="BB47" s="101">
        <f>BB26</f>
        <v>2027</v>
      </c>
      <c r="BC47" s="102">
        <f>BC26</f>
        <v>2028</v>
      </c>
      <c r="BF47" s="84"/>
      <c r="BG47" s="101">
        <f>BG26</f>
        <v>2024</v>
      </c>
      <c r="BH47" s="101">
        <f>BH26</f>
        <v>2025</v>
      </c>
      <c r="BI47" s="101">
        <f>BI26</f>
        <v>2026</v>
      </c>
      <c r="BJ47" s="101">
        <f>BJ26</f>
        <v>2027</v>
      </c>
      <c r="BK47" s="102">
        <f>BK26</f>
        <v>2028</v>
      </c>
      <c r="BN47" s="84"/>
      <c r="BO47" s="101">
        <f>BO26</f>
        <v>2024</v>
      </c>
      <c r="BP47" s="101">
        <f>BP26</f>
        <v>2025</v>
      </c>
      <c r="BQ47" s="101">
        <f>BQ26</f>
        <v>2026</v>
      </c>
      <c r="BR47" s="101">
        <f>BR26</f>
        <v>2027</v>
      </c>
      <c r="BS47" s="102">
        <f>BS26</f>
        <v>2028</v>
      </c>
      <c r="BV47" s="84"/>
      <c r="BW47" s="101">
        <f>BW26</f>
        <v>2024</v>
      </c>
      <c r="BX47" s="101">
        <f>BX26</f>
        <v>2025</v>
      </c>
      <c r="BY47" s="101">
        <f>BY26</f>
        <v>2026</v>
      </c>
      <c r="BZ47" s="101">
        <f>BZ26</f>
        <v>2027</v>
      </c>
      <c r="CA47" s="102">
        <f>CA26</f>
        <v>2028</v>
      </c>
      <c r="CD47" s="84"/>
      <c r="CE47" s="101">
        <f>CE26</f>
        <v>2024</v>
      </c>
      <c r="CF47" s="101">
        <f>CF26</f>
        <v>2025</v>
      </c>
      <c r="CG47" s="101">
        <f>CG26</f>
        <v>2026</v>
      </c>
      <c r="CH47" s="101">
        <f>CH26</f>
        <v>2027</v>
      </c>
      <c r="CI47" s="102">
        <f>CI26</f>
        <v>2028</v>
      </c>
      <c r="CL47" s="84"/>
      <c r="CM47" s="101">
        <f>CM26</f>
        <v>2024</v>
      </c>
      <c r="CN47" s="101">
        <f>CN26</f>
        <v>2025</v>
      </c>
      <c r="CO47" s="101">
        <f>CO26</f>
        <v>2026</v>
      </c>
      <c r="CP47" s="101">
        <f>CP26</f>
        <v>2027</v>
      </c>
      <c r="CQ47" s="102">
        <f>CQ26</f>
        <v>2028</v>
      </c>
      <c r="CT47" s="84"/>
      <c r="CU47" s="101">
        <f>CU26</f>
        <v>2024</v>
      </c>
      <c r="CV47" s="101">
        <f>CV26</f>
        <v>2025</v>
      </c>
      <c r="CW47" s="101">
        <f>CW26</f>
        <v>2026</v>
      </c>
      <c r="CX47" s="101">
        <f>CX26</f>
        <v>2027</v>
      </c>
      <c r="CY47" s="102">
        <f>CY26</f>
        <v>2028</v>
      </c>
      <c r="DB47" s="84"/>
      <c r="DC47" s="101">
        <f>DC26</f>
        <v>2024</v>
      </c>
      <c r="DD47" s="101">
        <f>DD26</f>
        <v>2025</v>
      </c>
      <c r="DE47" s="101">
        <f>DE26</f>
        <v>2026</v>
      </c>
      <c r="DF47" s="101">
        <f>DF26</f>
        <v>2027</v>
      </c>
      <c r="DG47" s="102">
        <f>DG26</f>
        <v>2028</v>
      </c>
    </row>
    <row r="48" spans="2:113" s="83" customFormat="1" ht="15" thickBot="1">
      <c r="B48" s="386"/>
      <c r="C48" s="388">
        <f ca="1">(C27*c_inicial)+(C27*c_on*12)+(C27*ci_int1)+(C27*(ct_int1+ca_int1)*'Time on treatment'!$D$12)</f>
        <v>0</v>
      </c>
      <c r="D48" s="388">
        <f ca="1">((D27-C27)*(c_inicial+ci_int1))+(D27*c_on*12)+(D27*(ct_int1+ca_int1)*'Time on treatment'!$D$12)</f>
        <v>0</v>
      </c>
      <c r="E48" s="388">
        <f ca="1">(((E27-(D27-C27))-C27)*(c_inicial+ci_int1))+(E27*c_on*12)+(E27*(ct_int1+ca_int1)*'Time on treatment'!$D$12)</f>
        <v>0</v>
      </c>
      <c r="F48" s="388">
        <f ca="1">((F27-(E27-D27)-(D27-C27)-C27)*(c_inicial+ci_int1))+(F27*c_on*12)+(F27*(ct_int1+ca_int1)*'Time on treatment'!$D$12)</f>
        <v>0</v>
      </c>
      <c r="G48" s="389">
        <f ca="1">((G27-(F27-E27)-(E27-D27)-(D27-C27)-C27)*(c_inicial+ci_int1))+(G27*c_on*12)+(G27*(ct_int1+ca_int1)*'Time on treatment'!$D$12)</f>
        <v>0</v>
      </c>
      <c r="H48" s="77"/>
      <c r="I48" s="77"/>
      <c r="J48" s="386"/>
      <c r="K48" s="388">
        <f ca="1">(K27*c_inicial)+(K27*c_on*12)+(K27*ci_int2)+(K27*(ct_int2+ca_int2)*'Time on treatment'!$D$12)</f>
        <v>0</v>
      </c>
      <c r="L48" s="388">
        <f ca="1">((L27-K27)*(c_inicial+ci_int2))+(L27*c_on*12)+(L27*(ct_int2+ca_int2)*'Time on treatment'!$D$12)</f>
        <v>0</v>
      </c>
      <c r="M48" s="388">
        <f ca="1">(((M27-(L27-K27))-K27)*(c_inicial+ci_int2))+(M27*c_on*12)+(M27*(ct_int2+ca_int2)*'Time on treatment'!$D$12)</f>
        <v>0</v>
      </c>
      <c r="N48" s="388">
        <f ca="1">((N27-(M27-L27)-(L27-K27)-K27)*(c_inicial+ci_int2))+(N27*c_on*12)+(N27*(ct_int2+ca_int2)*'Time on treatment'!$D$12)</f>
        <v>0</v>
      </c>
      <c r="O48" s="389">
        <f ca="1">((O27-(N27-M27)-(M27-L27)-(L27-K27)-K27)*(c_inicial+ci_int2))+(O27*c_on*12)+(O27*(ct_int2+ca_int2)*'Time on treatment'!$D$12)</f>
        <v>0</v>
      </c>
      <c r="P48" s="77"/>
      <c r="Q48" s="77"/>
      <c r="R48" s="386"/>
      <c r="S48" s="388">
        <f ca="1">(S27*c_inicial)+(S27*c_on*12)+(S27*ci_int3)+(S27*(ct_int3+ca_int3)*'Time on treatment'!$D$12)</f>
        <v>0</v>
      </c>
      <c r="T48" s="388">
        <f ca="1">((T27-S27)*(c_inicial+ci_int3))+(T27*c_on*12)+(T27*(ct_int3+ca_int3)*'Time on treatment'!$D$12)</f>
        <v>0</v>
      </c>
      <c r="U48" s="388">
        <f ca="1">(((U27-(T27-S27))-S27)*(c_inicial+ci_int3))+(U27*c_on*12)+(U27*(ct_int3+ca_int3)*'Time on treatment'!$D$12)</f>
        <v>0</v>
      </c>
      <c r="V48" s="388">
        <f ca="1">((V27-(U27-T27)-(T27-S27)-S27)*(c_inicial+ci_int3))+(V27*c_on*12)+(V27*(ct_int3+ca_int3)*'Time on treatment'!$D$12)</f>
        <v>0</v>
      </c>
      <c r="W48" s="389">
        <f ca="1">((W27-(V27-U27)-(U27-T27)-(T27-S27)-S27)*(c_inicial+ci_int3))+(W27*c_on*12)+(W27*(ct_int3+ca_int3)*'Time on treatment'!$D$12)</f>
        <v>0</v>
      </c>
      <c r="X48" s="77"/>
      <c r="Y48" s="77"/>
      <c r="Z48" s="386"/>
      <c r="AA48" s="388">
        <f ca="1">(AA27*c_inicial)+(AA27*c_on*12)+(AA27*ci_int4)+(AA27*(ct_int4+ca_int4)*'Time on treatment'!$D$12)</f>
        <v>0</v>
      </c>
      <c r="AB48" s="388">
        <f ca="1">((AB27-AA27)*(c_inicial+ci_int4))+(AB27*c_on*12)+(AB27*(ct_int4+ca_int4)*'Time on treatment'!$D$12)</f>
        <v>0</v>
      </c>
      <c r="AC48" s="388">
        <f ca="1">(((AC27-(AB27-AA27))-AA27)*(c_inicial+ci_int4))+(AC27*c_on*12)+(AC27*(ct_int4+ca_int4)*'Time on treatment'!$D$12)</f>
        <v>0</v>
      </c>
      <c r="AD48" s="388">
        <f ca="1">((AD27-(AC27-AB27)-(AB27-AA27)-AA27)*(c_inicial+ci_int4))+(AD27*c_on*12)+(AD27*(ct_int4+ca_int4)*'Time on treatment'!$D$12)</f>
        <v>0</v>
      </c>
      <c r="AE48" s="389">
        <f ca="1">((AE27-(AD27-AC27)-(AC27-AB27)-(AB27-AA27)-AA27)*(c_inicial+ci_int4))+(AE27*c_on*12)+(AE27*(ct_int4+ca_int4)*'Time on treatment'!$D$12)</f>
        <v>0</v>
      </c>
      <c r="AF48" s="77"/>
      <c r="AG48" s="77"/>
      <c r="AH48" s="386"/>
      <c r="AI48" s="388">
        <f ca="1">(AI27*c_inicial)+(AI27*c_on*12)+(AI27*ci_comp1)+(AI27*(ct_comp1+ca_comp1)*'Time on treatment'!$D$12)</f>
        <v>0</v>
      </c>
      <c r="AJ48" s="388">
        <f ca="1">((AJ27-AI27)*(c_inicial+ci_comp1))+(AJ27*c_on*12)+(AJ27*(ct_comp1+ca_comp1)*'Time on treatment'!$D$12)</f>
        <v>0</v>
      </c>
      <c r="AK48" s="388">
        <f ca="1">(((AK27-(AJ27-AI27))-AI27)*(c_inicial+ci_comp1))+(AK27*c_on*12)+(AK27*(ct_comp1+ca_comp1)*'Time on treatment'!$D$12)</f>
        <v>0</v>
      </c>
      <c r="AL48" s="388">
        <f ca="1">((AL27-(AK27-AJ27)-(AJ27-AI27)-AI27)*(c_inicial+ci_comp1))+(AL27*c_on*12)+(AL27*(ct_comp1+ca_comp1)*'Time on treatment'!$D$12)</f>
        <v>0</v>
      </c>
      <c r="AM48" s="389">
        <f ca="1">((AM27-(AL27-AK27)-(AK27-AJ27)-(AJ27-AI27)-AI27)*(c_inicial+ci_comp1))+(AM27*c_on*12)+(AM27*(ct_comp1+ca_comp1)*'Time on treatment'!$D$12)</f>
        <v>0</v>
      </c>
      <c r="AN48" s="77"/>
      <c r="AO48" s="77"/>
      <c r="AP48" s="386"/>
      <c r="AQ48" s="388">
        <f ca="1">(AQ27*c_inicial)+(AQ27*c_on*12)+(AQ27*ci_comp2)+(AQ27*(ct_comp2+ca_comp2)*'Time on treatment'!$D$12)</f>
        <v>0</v>
      </c>
      <c r="AR48" s="388">
        <f ca="1">((AR27-AQ27)*(c_inicial+ci_comp2))+(AR27*c_on*12)+(AR27*(ct_comp2+ca_comp2)*'Time on treatment'!$D$12)</f>
        <v>0</v>
      </c>
      <c r="AS48" s="388">
        <f ca="1">(((AS27-(AR27-AQ27))-AQ27)*(c_inicial+ci_comp2))+(AS27*c_on*12)+(AS27*(ct_comp2+ca_comp2)*'Time on treatment'!$D$12)</f>
        <v>0</v>
      </c>
      <c r="AT48" s="388">
        <f ca="1">((AT27-(AS27-AR27)-(AR27-AQ27)-AQ27)*(c_inicial+ci_comp2))+(AT27*c_on*12)+(AT27*(ct_comp2+ca_comp2)*'Time on treatment'!$D$12)</f>
        <v>0</v>
      </c>
      <c r="AU48" s="389">
        <f ca="1">((AU27-(AT27-AS27)-(AS27-AR27)-(AR27-AQ27)-AQ27)*(c_inicial+ci_comp2))+(AU27*c_on*12)+(AU27*(ct_comp2+ca_comp2)*'Time on treatment'!$D$12)</f>
        <v>0</v>
      </c>
      <c r="AV48" s="77"/>
      <c r="AW48" s="77"/>
      <c r="AX48" s="386"/>
      <c r="AY48" s="388">
        <f ca="1">(AY27*c_inicial)+(AY27*c_on*12)+(AY27*ci_comp3)+(AY27*(ct_comp3+ca_comp3)*'Time on treatment'!$D$12)</f>
        <v>0</v>
      </c>
      <c r="AZ48" s="388">
        <f ca="1">((AZ27-AY27)*(c_inicial+ci_comp3))+(AZ27*c_on*12)+(AZ27*(ct_comp3+ca_comp3)*'Time on treatment'!$D$12)</f>
        <v>0</v>
      </c>
      <c r="BA48" s="388">
        <f ca="1">(((BA27-(AZ27-AY27))-AY27)*(c_inicial+ci_comp3))+(BA27*c_on*12)+(BA27*(ct_comp3+ca_comp3)*'Time on treatment'!$D$12)</f>
        <v>0</v>
      </c>
      <c r="BB48" s="388">
        <f ca="1">((BB27-(BA27-AZ27)-(AZ27-AY27)-AY27)*(c_inicial+ci_comp3))+(BB27*c_on*12)+(BB27*(ct_comp3+ca_comp3)*'Time on treatment'!$D$12)</f>
        <v>0</v>
      </c>
      <c r="BC48" s="389">
        <f ca="1">((BC27-(BB27-BA27)-(BA27-AZ27)-(AZ27-AY27)-AY27)*(c_inicial+ci_comp3))+(BC27*c_on*12)+(BC27*(ct_comp3+ca_comp3)*'Time on treatment'!$D$12)</f>
        <v>0</v>
      </c>
      <c r="BD48" s="77"/>
      <c r="BE48" s="77"/>
      <c r="BF48" s="386"/>
      <c r="BG48" s="388">
        <f ca="1">(BG27*c_inicial)+(BG27*c_on*12)+(BG27*ci_comp4)+(BG27*(ct_comp4+ca_comp4)*'Time on treatment'!$D$12)</f>
        <v>0</v>
      </c>
      <c r="BH48" s="388">
        <f ca="1">((BH27-BG27)*(c_inicial+ci_comp4))+(BH27*c_on*12)+(BH27*(ct_comp4+ca_comp4)*'Time on treatment'!$D$12)</f>
        <v>0</v>
      </c>
      <c r="BI48" s="388">
        <f ca="1">(((BI27-(BH27-BG27))-BG27)*(c_inicial+ci_comp4))+(BI27*c_on*12)+(BI27*(ct_comp4+ca_comp4)*'Time on treatment'!$D$12)</f>
        <v>0</v>
      </c>
      <c r="BJ48" s="388">
        <f ca="1">((BJ27-(BI27-BH27)-(BH27-BG27)-BG27)*(c_inicial+ci_comp4))+(BJ27*c_on*12)+(BJ27*(ct_comp4+ca_comp4)*'Time on treatment'!$D$12)</f>
        <v>0</v>
      </c>
      <c r="BK48" s="389">
        <f ca="1">((BK27-(BJ27-BI27)-(BI27-BH27)-(BH27-BG27)-BG27)*(c_inicial+ci_comp4))+(BK27*c_on*12)+(BK27*(ct_comp4+ca_comp4)*'Time on treatment'!$D$12)</f>
        <v>0</v>
      </c>
      <c r="BL48" s="77"/>
      <c r="BM48" s="77"/>
      <c r="BN48" s="386"/>
      <c r="BO48" s="388">
        <f ca="1">(BO27*c_inicial)+(BO27*c_on*12)+(BO27*ci_comp5)+(BO27*(ct_comp5+ca_comp5)*'Time on treatment'!$D$12)</f>
        <v>0</v>
      </c>
      <c r="BP48" s="388">
        <f ca="1">((BP27-BO27)*(c_inicial+ci_comp5))+(BP27*c_on*12)+(BP27*(ct_comp5+ca_comp5)*'Time on treatment'!$D$12)</f>
        <v>0</v>
      </c>
      <c r="BQ48" s="388">
        <f ca="1">(((BQ27-(BP27-BO27))-BO27)*(c_inicial+ci_comp5))+(BQ27*c_on*12)+(BQ27*(ct_comp5+ca_comp5)*'Time on treatment'!$D$12)</f>
        <v>0</v>
      </c>
      <c r="BR48" s="388">
        <f ca="1">((BR27-(BQ27-BP27)-(BP27-BO27)-BO27)*(c_inicial+ci_comp5))+(BR27*c_on*12)+(BR27*(ct_comp5+ca_comp5)*'Time on treatment'!$D$12)</f>
        <v>0</v>
      </c>
      <c r="BS48" s="389">
        <f ca="1">((BS27-(BR27-BQ27)-(BQ27-BP27)-(BP27-BO27)-BO27)*(c_inicial+ci_comp5))+(BS27*c_on*12)+(BS27*(ct_comp5+ca_comp5)*'Time on treatment'!$D$12)</f>
        <v>0</v>
      </c>
      <c r="BT48" s="77"/>
      <c r="BU48" s="77"/>
      <c r="BV48" s="386"/>
      <c r="BW48" s="388">
        <f ca="1">(BW27*c_inicial)+(BW27*c_on*12)+(BW27*ci_comp6)+(BW27*(ct_comp6+ca_comp6)*'Time on treatment'!$D$12)</f>
        <v>0</v>
      </c>
      <c r="BX48" s="388">
        <f ca="1">((BX27-BW27)*(c_inicial+ci_comp6))+(BX27*c_on*12)+(BX27*(ct_comp6+ca_comp6)*'Time on treatment'!$D$12)</f>
        <v>0</v>
      </c>
      <c r="BY48" s="388">
        <f ca="1">(((BY27-(BX27-BW27))-BW27)*(c_inicial+ci_comp6))+(BY27*c_on*12)+(BY27*(ct_comp6+ca_comp6)*'Time on treatment'!$D$12)</f>
        <v>0</v>
      </c>
      <c r="BZ48" s="388">
        <f ca="1">((BZ27-(BY27-BX27)-(BX27-BW27)-BW27)*(c_inicial+ci_comp6))+(BZ27*c_on*12)+(BZ27*(ct_comp6+ca_comp6)*'Time on treatment'!$D$12)</f>
        <v>0</v>
      </c>
      <c r="CA48" s="389">
        <f ca="1">((CA27-(BZ27-BY27)-(BY27-BX27)-(BX27-BW27)-BW27)*(c_inicial+ci_comp6))+(CA27*c_on*12)+(CA27*(ct_comp6+ca_comp6)*'Time on treatment'!$D$12)</f>
        <v>0</v>
      </c>
      <c r="CB48" s="77"/>
      <c r="CC48" s="77"/>
      <c r="CD48" s="386"/>
      <c r="CE48" s="388">
        <f ca="1">(CE27*c_inicial)+(CE27*c_on*12)+(CE27*ci_comp7)+(CE27*(ct_comp7+ca_comp7)*'Time on treatment'!$D$12)</f>
        <v>0</v>
      </c>
      <c r="CF48" s="388">
        <f ca="1">((CF27-CE27)*(c_inicial+ci_comp7))+(CF27*c_on*12)+(CF27*(ct_comp7+ca_comp7)*'Time on treatment'!$D$12)</f>
        <v>0</v>
      </c>
      <c r="CG48" s="388">
        <f ca="1">(((CG27-(CF27-CE27))-CE27)*(c_inicial+ci_comp7))+(CG27*c_on*12)+(CG27*(ct_comp7+ca_comp7)*'Time on treatment'!$D$12)</f>
        <v>0</v>
      </c>
      <c r="CH48" s="388">
        <f ca="1">((CH27-(CG27-CF27)-(CF27-CE27)-CE27)*(c_inicial+ci_comp7))+(CH27*c_on*12)+(CH27*(ct_comp7+ca_comp7)*'Time on treatment'!$D$12)</f>
        <v>0</v>
      </c>
      <c r="CI48" s="389">
        <f ca="1">((CI27-(CH27-CG27)-(CG27-CF27)-(CF27-CE27)-CE27)*(c_inicial+ci_comp7))+(CI27*c_on*12)+(CI27*(ct_comp7+ca_comp7)*'Time on treatment'!$D$12)</f>
        <v>0</v>
      </c>
      <c r="CJ48" s="77"/>
      <c r="CK48" s="77"/>
      <c r="CL48" s="386"/>
      <c r="CM48" s="388">
        <f ca="1">(CM27*c_inicial)+(CM27*c_on*12)+(CM27*ci_comp8)+(CM27*(ct_comp8+ca_comp8)*'Time on treatment'!$D$12)</f>
        <v>0</v>
      </c>
      <c r="CN48" s="388">
        <f ca="1">((CN27-CM27)*(c_inicial+ci_comp8))+(CN27*c_on*12)+(CN27*(ct_comp8+ca_comp8)*'Time on treatment'!$D$12)</f>
        <v>0</v>
      </c>
      <c r="CO48" s="388">
        <f ca="1">(((CO27-(CN27-CM27))-CM27)*(c_inicial+ci_comp8))+(CO27*c_on*12)+(CO27*(ct_comp8+ca_comp8)*'Time on treatment'!$D$12)</f>
        <v>0</v>
      </c>
      <c r="CP48" s="388">
        <f ca="1">((CP27-(CO27-CN27)-(CN27-CM27)-CM27)*(c_inicial+ci_comp8))+(CP27*c_on*12)+(CP27*(ct_comp8+ca_comp8)*'Time on treatment'!$D$12)</f>
        <v>0</v>
      </c>
      <c r="CQ48" s="389">
        <f ca="1">((CQ27-(CP27-CO27)-(CO27-CN27)-(CN27-CM27)-CM27)*(c_inicial+ci_comp8))+(CQ27*c_on*12)+(CQ27*(ct_comp8+ca_comp8)*'Time on treatment'!$D$12)</f>
        <v>0</v>
      </c>
      <c r="CR48" s="77"/>
      <c r="CS48" s="77"/>
      <c r="CT48" s="386"/>
      <c r="CU48" s="388">
        <f ca="1">(CU27*c_inicial)+(CU27*c_on*12)+(CU27*ci_comp9)+(CU27*(ct_comp9+ca_comp9)*'Time on treatment'!$D$12)</f>
        <v>0</v>
      </c>
      <c r="CV48" s="388">
        <f ca="1">((CV27-CU27)*(c_inicial+ci_comp9))+(CV27*c_on*12)+(CV27*(ct_comp9+ca_comp9)*'Time on treatment'!$D$12)</f>
        <v>0</v>
      </c>
      <c r="CW48" s="388">
        <f ca="1">(((CW27-(CV27-CU27))-CU27)*(c_inicial+ci_comp9))+(CW27*c_on*12)+(CW27*(ct_comp9+ca_comp9)*'Time on treatment'!$D$12)</f>
        <v>0</v>
      </c>
      <c r="CX48" s="388">
        <f ca="1">((CX27-(CW27-CV27)-(CV27-CU27)-CU27)*(c_inicial+ci_comp9))+(CX27*c_on*12)+(CX27*(ct_comp9+ca_comp9)*'Time on treatment'!$D$12)</f>
        <v>0</v>
      </c>
      <c r="CY48" s="389">
        <f ca="1">((CY27-(CX27-CW27)-(CW27-CV27)-(CV27-CU27)-CU27)*(c_inicial+ci_comp9))+(CY27*c_on*12)+(CY27*(ct_comp9+ca_comp9)*'Time on treatment'!$D$12)</f>
        <v>0</v>
      </c>
      <c r="CZ48" s="77"/>
      <c r="DA48" s="77"/>
      <c r="DB48" s="386"/>
      <c r="DC48" s="388">
        <f ca="1">(DC27*c_inicial)+(DC27*c_on*12)+(DC27*ci_comp10)+(DC27*(ct_comp10+ca_comp10)*'Time on treatment'!$D$12)</f>
        <v>0</v>
      </c>
      <c r="DD48" s="388">
        <f ca="1">((DD27-DC27)*(c_inicial+ci_comp10))+(DD27*c_on*12)+(DD27*(ct_comp10+ca_comp10)*'Time on treatment'!$D$12)</f>
        <v>0</v>
      </c>
      <c r="DE48" s="388">
        <f ca="1">(((DE27-(DD27-DC27))-DC27)*(c_inicial+ci_comp10))+(DE27*c_on*12)+(DE27*(ct_comp10+ca_comp10)*'Time on treatment'!$D$12)</f>
        <v>0</v>
      </c>
      <c r="DF48" s="388">
        <f ca="1">((DF27-(DE27-DD27)-(DD27-DC27)-DC27)*(c_inicial+ci_comp10))+(DF27*c_on*12)+(DF27*(ct_comp10+ca_comp10)*'Time on treatment'!$D$12)</f>
        <v>0</v>
      </c>
      <c r="DG48" s="389">
        <f ca="1">((DG27-(DF27-DE27)-(DE27-DD27)-(DD27-DC27)-DC27)*(c_inicial+ci_comp10))+(DG27*c_on*12)+(DG27*(ct_comp10+ca_comp10)*'Time on treatment'!$D$12)</f>
        <v>0</v>
      </c>
      <c r="DH48" s="77"/>
      <c r="DI48" s="77"/>
    </row>
    <row r="51" spans="2:113" s="81" customFormat="1">
      <c r="B51" s="120"/>
      <c r="C51" s="120"/>
      <c r="D51" s="120"/>
      <c r="E51" s="120"/>
      <c r="F51" s="120"/>
      <c r="G51" s="120"/>
      <c r="H51" s="82"/>
      <c r="I51" s="82"/>
      <c r="J51" s="120"/>
      <c r="K51" s="120"/>
      <c r="L51" s="120"/>
      <c r="M51" s="120"/>
      <c r="N51" s="120"/>
      <c r="O51" s="120"/>
      <c r="P51" s="82"/>
      <c r="Q51" s="82"/>
      <c r="R51" s="120"/>
      <c r="S51" s="120"/>
      <c r="T51" s="120"/>
      <c r="U51" s="120"/>
      <c r="V51" s="120"/>
      <c r="W51" s="120"/>
      <c r="X51" s="82"/>
      <c r="Y51" s="82"/>
      <c r="Z51" s="120"/>
      <c r="AA51" s="120"/>
      <c r="AB51" s="120"/>
      <c r="AC51" s="120"/>
      <c r="AD51" s="120"/>
      <c r="AE51" s="120"/>
      <c r="AF51" s="82"/>
      <c r="AG51" s="82"/>
      <c r="AH51" s="120"/>
      <c r="AI51" s="120"/>
      <c r="AJ51" s="120"/>
      <c r="AK51" s="120"/>
      <c r="AL51" s="120"/>
      <c r="AM51" s="120"/>
      <c r="AN51" s="82"/>
      <c r="AO51" s="82"/>
      <c r="AP51" s="120"/>
      <c r="AQ51" s="120"/>
      <c r="AR51" s="120"/>
      <c r="AS51" s="120"/>
      <c r="AT51" s="120"/>
      <c r="AU51" s="120"/>
      <c r="AV51" s="82"/>
      <c r="AW51" s="82"/>
      <c r="AX51" s="120"/>
      <c r="AY51" s="120"/>
      <c r="AZ51" s="120"/>
      <c r="BA51" s="120"/>
      <c r="BB51" s="120"/>
      <c r="BC51" s="120"/>
      <c r="BD51" s="82"/>
      <c r="BE51" s="82"/>
      <c r="BF51" s="120"/>
      <c r="BG51" s="120"/>
      <c r="BH51" s="120"/>
      <c r="BI51" s="120"/>
      <c r="BJ51" s="120"/>
      <c r="BK51" s="120"/>
      <c r="BL51" s="82"/>
      <c r="BM51" s="82"/>
      <c r="BN51" s="120"/>
      <c r="BO51" s="120"/>
      <c r="BP51" s="120"/>
      <c r="BQ51" s="120"/>
      <c r="BR51" s="120"/>
      <c r="BS51" s="120"/>
      <c r="BT51" s="82"/>
      <c r="BU51" s="82"/>
      <c r="BV51" s="120"/>
      <c r="BW51" s="120"/>
      <c r="BX51" s="120"/>
      <c r="BY51" s="120"/>
      <c r="BZ51" s="120"/>
      <c r="CA51" s="120"/>
      <c r="CB51" s="82"/>
      <c r="CC51" s="82"/>
      <c r="CD51" s="120"/>
      <c r="CE51" s="120"/>
      <c r="CF51" s="120"/>
      <c r="CG51" s="120"/>
      <c r="CH51" s="120"/>
      <c r="CI51" s="120"/>
      <c r="CJ51" s="82"/>
      <c r="CK51" s="82"/>
      <c r="CL51" s="120"/>
      <c r="CM51" s="120"/>
      <c r="CN51" s="120"/>
      <c r="CO51" s="120"/>
      <c r="CP51" s="120"/>
      <c r="CQ51" s="120"/>
      <c r="CR51" s="82"/>
      <c r="CS51" s="82"/>
      <c r="CT51" s="120"/>
      <c r="CU51" s="120"/>
      <c r="CV51" s="120"/>
      <c r="CW51" s="120"/>
      <c r="CX51" s="120"/>
      <c r="CY51" s="120"/>
      <c r="CZ51" s="82"/>
      <c r="DA51" s="82"/>
      <c r="DB51" s="120"/>
      <c r="DC51" s="120"/>
      <c r="DD51" s="120"/>
      <c r="DE51" s="120"/>
      <c r="DF51" s="120"/>
      <c r="DG51" s="120"/>
      <c r="DH51" s="82"/>
      <c r="DI51" s="82"/>
    </row>
    <row r="52" spans="2:113" s="76" customFormat="1" ht="21">
      <c r="B52" s="502" t="str">
        <f>intervencao1</f>
        <v>PET-CT</v>
      </c>
      <c r="C52" s="502"/>
      <c r="D52" s="502"/>
      <c r="E52" s="502"/>
      <c r="F52" s="502"/>
      <c r="G52" s="502"/>
      <c r="H52" s="502"/>
      <c r="I52" s="77"/>
      <c r="J52" s="502">
        <f>intervencao2</f>
        <v>0</v>
      </c>
      <c r="K52" s="502"/>
      <c r="L52" s="502"/>
      <c r="M52" s="502"/>
      <c r="N52" s="502"/>
      <c r="O52" s="502"/>
      <c r="P52" s="502"/>
      <c r="Q52" s="77"/>
      <c r="R52" s="502">
        <f>intervencao3</f>
        <v>0</v>
      </c>
      <c r="S52" s="502"/>
      <c r="T52" s="502"/>
      <c r="U52" s="502"/>
      <c r="V52" s="502"/>
      <c r="W52" s="502"/>
      <c r="X52" s="502"/>
      <c r="Y52" s="77"/>
      <c r="Z52" s="502">
        <f>intervencao4</f>
        <v>0</v>
      </c>
      <c r="AA52" s="502"/>
      <c r="AB52" s="502"/>
      <c r="AC52" s="502"/>
      <c r="AD52" s="502"/>
      <c r="AE52" s="502"/>
      <c r="AF52" s="502"/>
      <c r="AG52" s="77"/>
      <c r="AH52" s="502" t="str">
        <f>comparador1</f>
        <v>CT scan + scintigraphy</v>
      </c>
      <c r="AI52" s="502"/>
      <c r="AJ52" s="502"/>
      <c r="AK52" s="502"/>
      <c r="AL52" s="502"/>
      <c r="AM52" s="502"/>
      <c r="AN52" s="502"/>
      <c r="AO52" s="77"/>
      <c r="AP52" s="502">
        <f>comparador2</f>
        <v>0</v>
      </c>
      <c r="AQ52" s="502"/>
      <c r="AR52" s="502"/>
      <c r="AS52" s="502"/>
      <c r="AT52" s="502"/>
      <c r="AU52" s="502"/>
      <c r="AV52" s="502"/>
      <c r="AW52" s="77"/>
      <c r="AX52" s="502">
        <f>comparador3</f>
        <v>0</v>
      </c>
      <c r="AY52" s="502"/>
      <c r="AZ52" s="502"/>
      <c r="BA52" s="502"/>
      <c r="BB52" s="502"/>
      <c r="BC52" s="502"/>
      <c r="BD52" s="502"/>
      <c r="BE52" s="77"/>
      <c r="BF52" s="502">
        <f>comparador4</f>
        <v>0</v>
      </c>
      <c r="BG52" s="502"/>
      <c r="BH52" s="502"/>
      <c r="BI52" s="502"/>
      <c r="BJ52" s="502"/>
      <c r="BK52" s="502"/>
      <c r="BL52" s="502"/>
      <c r="BM52" s="77"/>
      <c r="BN52" s="502">
        <f>comparador5</f>
        <v>0</v>
      </c>
      <c r="BO52" s="502"/>
      <c r="BP52" s="502"/>
      <c r="BQ52" s="502"/>
      <c r="BR52" s="502"/>
      <c r="BS52" s="502"/>
      <c r="BT52" s="502"/>
      <c r="BU52" s="77"/>
      <c r="BV52" s="502">
        <f>comparador6</f>
        <v>0</v>
      </c>
      <c r="BW52" s="502"/>
      <c r="BX52" s="502"/>
      <c r="BY52" s="502"/>
      <c r="BZ52" s="502"/>
      <c r="CA52" s="502"/>
      <c r="CB52" s="502"/>
      <c r="CC52" s="77"/>
      <c r="CD52" s="502">
        <f>comparador7</f>
        <v>0</v>
      </c>
      <c r="CE52" s="502"/>
      <c r="CF52" s="502"/>
      <c r="CG52" s="502"/>
      <c r="CH52" s="502"/>
      <c r="CI52" s="502"/>
      <c r="CJ52" s="502"/>
      <c r="CK52" s="77"/>
      <c r="CL52" s="502">
        <f>comparador8</f>
        <v>0</v>
      </c>
      <c r="CM52" s="502"/>
      <c r="CN52" s="502"/>
      <c r="CO52" s="502"/>
      <c r="CP52" s="502"/>
      <c r="CQ52" s="502"/>
      <c r="CR52" s="502"/>
      <c r="CS52" s="77"/>
      <c r="CT52" s="502">
        <f>comparador9</f>
        <v>0</v>
      </c>
      <c r="CU52" s="502"/>
      <c r="CV52" s="502"/>
      <c r="CW52" s="502"/>
      <c r="CX52" s="502"/>
      <c r="CY52" s="502"/>
      <c r="CZ52" s="502"/>
      <c r="DA52" s="77"/>
      <c r="DB52" s="502">
        <f>comparador10</f>
        <v>0</v>
      </c>
      <c r="DC52" s="502"/>
      <c r="DD52" s="502"/>
      <c r="DE52" s="502"/>
      <c r="DF52" s="502"/>
      <c r="DG52" s="502"/>
      <c r="DH52" s="502"/>
      <c r="DI52" s="77"/>
    </row>
    <row r="53" spans="2:113" ht="18">
      <c r="B53" s="503" t="s">
        <v>182</v>
      </c>
      <c r="C53" s="503"/>
      <c r="D53" s="503"/>
      <c r="E53" s="503"/>
      <c r="F53" s="503"/>
      <c r="G53" s="503"/>
      <c r="H53" s="71"/>
      <c r="I53" s="71"/>
      <c r="J53" s="503" t="s">
        <v>182</v>
      </c>
      <c r="K53" s="503"/>
      <c r="L53" s="503"/>
      <c r="M53" s="503"/>
      <c r="N53" s="503"/>
      <c r="O53" s="503"/>
      <c r="P53" s="71"/>
      <c r="Q53" s="71"/>
      <c r="R53" s="503" t="s">
        <v>182</v>
      </c>
      <c r="S53" s="503"/>
      <c r="T53" s="503"/>
      <c r="U53" s="503"/>
      <c r="V53" s="503"/>
      <c r="W53" s="503"/>
      <c r="X53" s="71"/>
      <c r="Y53" s="71"/>
      <c r="Z53" s="503" t="s">
        <v>182</v>
      </c>
      <c r="AA53" s="503"/>
      <c r="AB53" s="503"/>
      <c r="AC53" s="503"/>
      <c r="AD53" s="503"/>
      <c r="AE53" s="503"/>
      <c r="AF53" s="71"/>
      <c r="AG53" s="71"/>
      <c r="AH53" s="503" t="s">
        <v>182</v>
      </c>
      <c r="AI53" s="503"/>
      <c r="AJ53" s="503"/>
      <c r="AK53" s="503"/>
      <c r="AL53" s="503"/>
      <c r="AM53" s="503"/>
      <c r="AN53" s="71"/>
      <c r="AO53" s="71"/>
      <c r="AP53" s="503" t="s">
        <v>182</v>
      </c>
      <c r="AQ53" s="503"/>
      <c r="AR53" s="503"/>
      <c r="AS53" s="503"/>
      <c r="AT53" s="503"/>
      <c r="AU53" s="503"/>
      <c r="AV53" s="71"/>
      <c r="AW53" s="71"/>
      <c r="AX53" s="503" t="s">
        <v>182</v>
      </c>
      <c r="AY53" s="503"/>
      <c r="AZ53" s="503"/>
      <c r="BA53" s="503"/>
      <c r="BB53" s="503"/>
      <c r="BC53" s="503"/>
      <c r="BD53" s="71"/>
      <c r="BE53" s="71"/>
      <c r="BF53" s="503" t="s">
        <v>182</v>
      </c>
      <c r="BG53" s="503"/>
      <c r="BH53" s="503"/>
      <c r="BI53" s="503"/>
      <c r="BJ53" s="503"/>
      <c r="BK53" s="503"/>
      <c r="BL53" s="71"/>
      <c r="BM53" s="71"/>
      <c r="BN53" s="503" t="s">
        <v>182</v>
      </c>
      <c r="BO53" s="503"/>
      <c r="BP53" s="503"/>
      <c r="BQ53" s="503"/>
      <c r="BR53" s="503"/>
      <c r="BS53" s="503"/>
      <c r="BT53" s="71"/>
      <c r="BU53" s="71"/>
      <c r="BV53" s="503" t="s">
        <v>182</v>
      </c>
      <c r="BW53" s="503"/>
      <c r="BX53" s="503"/>
      <c r="BY53" s="503"/>
      <c r="BZ53" s="503"/>
      <c r="CA53" s="503"/>
      <c r="CB53" s="71"/>
      <c r="CC53" s="71"/>
      <c r="CD53" s="503" t="s">
        <v>182</v>
      </c>
      <c r="CE53" s="503"/>
      <c r="CF53" s="503"/>
      <c r="CG53" s="503"/>
      <c r="CH53" s="503"/>
      <c r="CI53" s="503"/>
      <c r="CJ53" s="71"/>
      <c r="CK53" s="71"/>
      <c r="CL53" s="503" t="s">
        <v>182</v>
      </c>
      <c r="CM53" s="503"/>
      <c r="CN53" s="503"/>
      <c r="CO53" s="503"/>
      <c r="CP53" s="503"/>
      <c r="CQ53" s="503"/>
      <c r="CR53" s="71"/>
      <c r="CS53" s="71"/>
      <c r="CT53" s="503" t="s">
        <v>182</v>
      </c>
      <c r="CU53" s="503"/>
      <c r="CV53" s="503"/>
      <c r="CW53" s="503"/>
      <c r="CX53" s="503"/>
      <c r="CY53" s="503"/>
      <c r="CZ53" s="71"/>
      <c r="DA53" s="71"/>
      <c r="DB53" s="503" t="s">
        <v>182</v>
      </c>
      <c r="DC53" s="503"/>
      <c r="DD53" s="503"/>
      <c r="DE53" s="503"/>
      <c r="DF53" s="503"/>
      <c r="DG53" s="503"/>
      <c r="DH53" s="71"/>
    </row>
    <row r="54" spans="2:113" ht="15" thickBot="1">
      <c r="B54" s="83"/>
      <c r="C54" s="83"/>
      <c r="D54" s="83"/>
      <c r="E54" s="83"/>
      <c r="F54" s="83"/>
      <c r="G54" s="83"/>
      <c r="J54" s="83"/>
      <c r="K54" s="83"/>
      <c r="L54" s="83"/>
      <c r="M54" s="83"/>
      <c r="N54" s="83"/>
      <c r="O54" s="83"/>
      <c r="R54" s="83"/>
      <c r="S54" s="83"/>
      <c r="T54" s="83"/>
      <c r="U54" s="83"/>
      <c r="V54" s="83"/>
      <c r="W54" s="83"/>
      <c r="Z54" s="83"/>
      <c r="AA54" s="83"/>
      <c r="AB54" s="83"/>
      <c r="AC54" s="83"/>
      <c r="AD54" s="83"/>
      <c r="AE54" s="83"/>
      <c r="AH54" s="83"/>
      <c r="AI54" s="83"/>
      <c r="AJ54" s="83"/>
      <c r="AK54" s="83"/>
      <c r="AL54" s="83"/>
      <c r="AM54" s="83"/>
      <c r="AP54" s="83"/>
      <c r="AQ54" s="83"/>
      <c r="AR54" s="83"/>
      <c r="AS54" s="83"/>
      <c r="AT54" s="83"/>
      <c r="AU54" s="83"/>
      <c r="AX54" s="83"/>
      <c r="AY54" s="83"/>
      <c r="AZ54" s="83"/>
      <c r="BA54" s="83"/>
      <c r="BB54" s="83"/>
      <c r="BC54" s="83"/>
      <c r="BF54" s="83"/>
      <c r="BG54" s="83"/>
      <c r="BH54" s="83"/>
      <c r="BI54" s="83"/>
      <c r="BJ54" s="83"/>
      <c r="BK54" s="83"/>
      <c r="BN54" s="83"/>
      <c r="BO54" s="83"/>
      <c r="BP54" s="83"/>
      <c r="BQ54" s="83"/>
      <c r="BR54" s="83"/>
      <c r="BS54" s="83"/>
      <c r="BV54" s="83"/>
      <c r="BW54" s="83"/>
      <c r="BX54" s="83"/>
      <c r="BY54" s="83"/>
      <c r="BZ54" s="83"/>
      <c r="CA54" s="83"/>
      <c r="CD54" s="83"/>
      <c r="CE54" s="83"/>
      <c r="CF54" s="83"/>
      <c r="CG54" s="83"/>
      <c r="CH54" s="83"/>
      <c r="CI54" s="83"/>
      <c r="CL54" s="83"/>
      <c r="CM54" s="83"/>
      <c r="CN54" s="83"/>
      <c r="CO54" s="83"/>
      <c r="CP54" s="83"/>
      <c r="CQ54" s="83"/>
      <c r="CT54" s="83"/>
      <c r="CU54" s="83"/>
      <c r="CV54" s="83"/>
      <c r="CW54" s="83"/>
      <c r="CX54" s="83"/>
      <c r="CY54" s="83"/>
      <c r="DB54" s="83"/>
      <c r="DC54" s="83"/>
      <c r="DD54" s="83"/>
      <c r="DE54" s="83"/>
      <c r="DF54" s="83"/>
      <c r="DG54" s="83"/>
    </row>
    <row r="55" spans="2:113" ht="15" thickBot="1">
      <c r="B55" s="504" t="str">
        <f>B34</f>
        <v>Without PET-CT</v>
      </c>
      <c r="C55" s="505"/>
      <c r="D55" s="505"/>
      <c r="E55" s="505"/>
      <c r="F55" s="505"/>
      <c r="G55" s="506"/>
      <c r="J55" s="504" t="str">
        <f>J34</f>
        <v>Without PET-CT</v>
      </c>
      <c r="K55" s="505"/>
      <c r="L55" s="505"/>
      <c r="M55" s="505"/>
      <c r="N55" s="505"/>
      <c r="O55" s="506"/>
      <c r="R55" s="504" t="str">
        <f>R34</f>
        <v>Without PET-CT</v>
      </c>
      <c r="S55" s="505"/>
      <c r="T55" s="505"/>
      <c r="U55" s="505"/>
      <c r="V55" s="505"/>
      <c r="W55" s="506"/>
      <c r="Z55" s="504" t="str">
        <f>Z34</f>
        <v>Without PET-CT</v>
      </c>
      <c r="AA55" s="505"/>
      <c r="AB55" s="505"/>
      <c r="AC55" s="505"/>
      <c r="AD55" s="505"/>
      <c r="AE55" s="506"/>
      <c r="AH55" s="504" t="str">
        <f>AH34</f>
        <v>Without PET-CT</v>
      </c>
      <c r="AI55" s="505"/>
      <c r="AJ55" s="505"/>
      <c r="AK55" s="505"/>
      <c r="AL55" s="505"/>
      <c r="AM55" s="506"/>
      <c r="AP55" s="504" t="str">
        <f>AP34</f>
        <v>Without PET-CT</v>
      </c>
      <c r="AQ55" s="505"/>
      <c r="AR55" s="505"/>
      <c r="AS55" s="505"/>
      <c r="AT55" s="505"/>
      <c r="AU55" s="506"/>
      <c r="AX55" s="504" t="str">
        <f>AX34</f>
        <v>Without PET-CT</v>
      </c>
      <c r="AY55" s="505"/>
      <c r="AZ55" s="505"/>
      <c r="BA55" s="505"/>
      <c r="BB55" s="505"/>
      <c r="BC55" s="506"/>
      <c r="BF55" s="504" t="str">
        <f>BF34</f>
        <v>Without PET-CT</v>
      </c>
      <c r="BG55" s="505"/>
      <c r="BH55" s="505"/>
      <c r="BI55" s="505"/>
      <c r="BJ55" s="505"/>
      <c r="BK55" s="506"/>
      <c r="BN55" s="504" t="str">
        <f>BN34</f>
        <v>Without PET-CT</v>
      </c>
      <c r="BO55" s="505"/>
      <c r="BP55" s="505"/>
      <c r="BQ55" s="505"/>
      <c r="BR55" s="505"/>
      <c r="BS55" s="506"/>
      <c r="BV55" s="504" t="str">
        <f>BV34</f>
        <v>Without PET-CT</v>
      </c>
      <c r="BW55" s="505"/>
      <c r="BX55" s="505"/>
      <c r="BY55" s="505"/>
      <c r="BZ55" s="505"/>
      <c r="CA55" s="506"/>
      <c r="CD55" s="504" t="str">
        <f>CD34</f>
        <v>Without PET-CT</v>
      </c>
      <c r="CE55" s="505"/>
      <c r="CF55" s="505"/>
      <c r="CG55" s="505"/>
      <c r="CH55" s="505"/>
      <c r="CI55" s="506"/>
      <c r="CL55" s="504" t="str">
        <f>CL34</f>
        <v>Without PET-CT</v>
      </c>
      <c r="CM55" s="505"/>
      <c r="CN55" s="505"/>
      <c r="CO55" s="505"/>
      <c r="CP55" s="505"/>
      <c r="CQ55" s="506"/>
      <c r="CT55" s="504" t="str">
        <f>CT34</f>
        <v>Without PET-CT</v>
      </c>
      <c r="CU55" s="505"/>
      <c r="CV55" s="505"/>
      <c r="CW55" s="505"/>
      <c r="CX55" s="505"/>
      <c r="CY55" s="506"/>
      <c r="DB55" s="504" t="str">
        <f>DB34</f>
        <v>Without PET-CT</v>
      </c>
      <c r="DC55" s="505"/>
      <c r="DD55" s="505"/>
      <c r="DE55" s="505"/>
      <c r="DF55" s="505"/>
      <c r="DG55" s="506"/>
    </row>
    <row r="56" spans="2:113">
      <c r="B56" s="84"/>
      <c r="C56" s="101">
        <f>C35</f>
        <v>2024</v>
      </c>
      <c r="D56" s="101">
        <f>D35</f>
        <v>2025</v>
      </c>
      <c r="E56" s="101">
        <f>E35</f>
        <v>2026</v>
      </c>
      <c r="F56" s="101">
        <f>F35</f>
        <v>2027</v>
      </c>
      <c r="G56" s="102">
        <f>G35</f>
        <v>2028</v>
      </c>
      <c r="J56" s="84"/>
      <c r="K56" s="101">
        <f>K35</f>
        <v>2024</v>
      </c>
      <c r="L56" s="101">
        <f>L35</f>
        <v>2025</v>
      </c>
      <c r="M56" s="101">
        <f>M35</f>
        <v>2026</v>
      </c>
      <c r="N56" s="101">
        <f>N35</f>
        <v>2027</v>
      </c>
      <c r="O56" s="102">
        <f>O35</f>
        <v>2028</v>
      </c>
      <c r="R56" s="84"/>
      <c r="S56" s="101">
        <f>S35</f>
        <v>2024</v>
      </c>
      <c r="T56" s="101">
        <f>T35</f>
        <v>2025</v>
      </c>
      <c r="U56" s="101">
        <f>U35</f>
        <v>2026</v>
      </c>
      <c r="V56" s="101">
        <f>V35</f>
        <v>2027</v>
      </c>
      <c r="W56" s="102">
        <f>W35</f>
        <v>2028</v>
      </c>
      <c r="Z56" s="84"/>
      <c r="AA56" s="101">
        <f>AA35</f>
        <v>2024</v>
      </c>
      <c r="AB56" s="101">
        <f>AB35</f>
        <v>2025</v>
      </c>
      <c r="AC56" s="101">
        <f>AC35</f>
        <v>2026</v>
      </c>
      <c r="AD56" s="101">
        <f>AD35</f>
        <v>2027</v>
      </c>
      <c r="AE56" s="102">
        <f>AE35</f>
        <v>2028</v>
      </c>
      <c r="AH56" s="84"/>
      <c r="AI56" s="101">
        <f>AI35</f>
        <v>2024</v>
      </c>
      <c r="AJ56" s="101">
        <f>AJ35</f>
        <v>2025</v>
      </c>
      <c r="AK56" s="101">
        <f>AK35</f>
        <v>2026</v>
      </c>
      <c r="AL56" s="101">
        <f>AL35</f>
        <v>2027</v>
      </c>
      <c r="AM56" s="102">
        <f>AM35</f>
        <v>2028</v>
      </c>
      <c r="AP56" s="84"/>
      <c r="AQ56" s="101">
        <f>AQ35</f>
        <v>2024</v>
      </c>
      <c r="AR56" s="101">
        <f>AR35</f>
        <v>2025</v>
      </c>
      <c r="AS56" s="101">
        <f>AS35</f>
        <v>2026</v>
      </c>
      <c r="AT56" s="101">
        <f>AT35</f>
        <v>2027</v>
      </c>
      <c r="AU56" s="102">
        <f>AU35</f>
        <v>2028</v>
      </c>
      <c r="AX56" s="84"/>
      <c r="AY56" s="101">
        <f>AY35</f>
        <v>2024</v>
      </c>
      <c r="AZ56" s="101">
        <f>AZ35</f>
        <v>2025</v>
      </c>
      <c r="BA56" s="101">
        <f>BA35</f>
        <v>2026</v>
      </c>
      <c r="BB56" s="101">
        <f>BB35</f>
        <v>2027</v>
      </c>
      <c r="BC56" s="102">
        <f>BC35</f>
        <v>2028</v>
      </c>
      <c r="BF56" s="84"/>
      <c r="BG56" s="101">
        <f>BG35</f>
        <v>2024</v>
      </c>
      <c r="BH56" s="101">
        <f>BH35</f>
        <v>2025</v>
      </c>
      <c r="BI56" s="101">
        <f>BI35</f>
        <v>2026</v>
      </c>
      <c r="BJ56" s="101">
        <f>BJ35</f>
        <v>2027</v>
      </c>
      <c r="BK56" s="102">
        <f>BK35</f>
        <v>2028</v>
      </c>
      <c r="BN56" s="84"/>
      <c r="BO56" s="101">
        <f>BO35</f>
        <v>2024</v>
      </c>
      <c r="BP56" s="101">
        <f>BP35</f>
        <v>2025</v>
      </c>
      <c r="BQ56" s="101">
        <f>BQ35</f>
        <v>2026</v>
      </c>
      <c r="BR56" s="101">
        <f>BR35</f>
        <v>2027</v>
      </c>
      <c r="BS56" s="102">
        <f>BS35</f>
        <v>2028</v>
      </c>
      <c r="BV56" s="84"/>
      <c r="BW56" s="101">
        <f>BW35</f>
        <v>2024</v>
      </c>
      <c r="BX56" s="101">
        <f>BX35</f>
        <v>2025</v>
      </c>
      <c r="BY56" s="101">
        <f>BY35</f>
        <v>2026</v>
      </c>
      <c r="BZ56" s="101">
        <f>BZ35</f>
        <v>2027</v>
      </c>
      <c r="CA56" s="102">
        <f>CA35</f>
        <v>2028</v>
      </c>
      <c r="CD56" s="84"/>
      <c r="CE56" s="101">
        <f>CE35</f>
        <v>2024</v>
      </c>
      <c r="CF56" s="101">
        <f>CF35</f>
        <v>2025</v>
      </c>
      <c r="CG56" s="101">
        <f>CG35</f>
        <v>2026</v>
      </c>
      <c r="CH56" s="101">
        <f>CH35</f>
        <v>2027</v>
      </c>
      <c r="CI56" s="102">
        <f>CI35</f>
        <v>2028</v>
      </c>
      <c r="CL56" s="84"/>
      <c r="CM56" s="101">
        <f>CM35</f>
        <v>2024</v>
      </c>
      <c r="CN56" s="101">
        <f>CN35</f>
        <v>2025</v>
      </c>
      <c r="CO56" s="101">
        <f>CO35</f>
        <v>2026</v>
      </c>
      <c r="CP56" s="101">
        <f>CP35</f>
        <v>2027</v>
      </c>
      <c r="CQ56" s="102">
        <f>CQ35</f>
        <v>2028</v>
      </c>
      <c r="CT56" s="84"/>
      <c r="CU56" s="101">
        <f>CU35</f>
        <v>2024</v>
      </c>
      <c r="CV56" s="101">
        <f>CV35</f>
        <v>2025</v>
      </c>
      <c r="CW56" s="101">
        <f>CW35</f>
        <v>2026</v>
      </c>
      <c r="CX56" s="101">
        <f>CX35</f>
        <v>2027</v>
      </c>
      <c r="CY56" s="102">
        <f>CY35</f>
        <v>2028</v>
      </c>
      <c r="DB56" s="84"/>
      <c r="DC56" s="101">
        <f>DC35</f>
        <v>2024</v>
      </c>
      <c r="DD56" s="101">
        <f>DD35</f>
        <v>2025</v>
      </c>
      <c r="DE56" s="101">
        <f>DE35</f>
        <v>2026</v>
      </c>
      <c r="DF56" s="101">
        <f>DF35</f>
        <v>2027</v>
      </c>
      <c r="DG56" s="102">
        <f>DG35</f>
        <v>2028</v>
      </c>
    </row>
    <row r="57" spans="2:113" s="83" customFormat="1" ht="15" thickBot="1">
      <c r="B57" s="386"/>
      <c r="C57" s="388">
        <f ca="1">(C15*ci_int1)+(C15*ct_int1*'Time on treatment'!$D$12)</f>
        <v>0</v>
      </c>
      <c r="D57" s="388">
        <f ca="1">((D15-C15)*ci_int1)+(D15*ct_int1*'Time on treatment'!$D$12)</f>
        <v>0</v>
      </c>
      <c r="E57" s="388">
        <f ca="1">((E15-(D15-C15)-C15)*ci_int1)+(E15*ct_int1*'Time on treatment'!$D$12)</f>
        <v>0</v>
      </c>
      <c r="F57" s="388">
        <f ca="1">((F15-(E15-D15)-(D15-C15)-C15)*ci_int1)+(F15*ct_int1*'Time on treatment'!$D$12)</f>
        <v>0</v>
      </c>
      <c r="G57" s="389">
        <f ca="1">((G15-(F15-E15)-(E15-D15)-(D15-C15)-C15)*ci_int1)+(G15*ct_int1*'Time on treatment'!$D$12)</f>
        <v>0</v>
      </c>
      <c r="H57" s="77"/>
      <c r="I57" s="77"/>
      <c r="J57" s="386"/>
      <c r="K57" s="388">
        <f ca="1">(K15*ci_int2)+(K15*ct_int2*'Time on treatment'!$D$12)</f>
        <v>0</v>
      </c>
      <c r="L57" s="388">
        <f ca="1">((L15-K15)*ci_int2)+(L15*ct_int2*'Time on treatment'!$D$12)</f>
        <v>0</v>
      </c>
      <c r="M57" s="388">
        <f ca="1">((M15-(L15-K15)-K15)*ci_int2)+(M15*ct_int2*'Time on treatment'!$D$12)</f>
        <v>0</v>
      </c>
      <c r="N57" s="388">
        <f ca="1">((N15-(M15-L15)-(L15-K15)-K15)*ci_int2)+(N15*ct_int2*'Time on treatment'!$D$12)</f>
        <v>0</v>
      </c>
      <c r="O57" s="389">
        <f ca="1">((O15-(N15-M15)-(M15-L15)-(L15-K15)-K15)*ci_int2)+(O15*ct_int2*'Time on treatment'!$D$12)</f>
        <v>0</v>
      </c>
      <c r="P57" s="77"/>
      <c r="Q57" s="77"/>
      <c r="R57" s="386"/>
      <c r="S57" s="388">
        <f ca="1">(S15*ci_int3)+(S15*ct_int3*'Time on treatment'!$D$12)</f>
        <v>0</v>
      </c>
      <c r="T57" s="388">
        <f ca="1">((T15-S15)*ci_int3)+(T15*ct_int3*'Time on treatment'!$D$12)</f>
        <v>0</v>
      </c>
      <c r="U57" s="388">
        <f ca="1">((U15-(T15-S15)-S15)*ci_int3)+(U15*ct_int3*'Time on treatment'!$D$12)</f>
        <v>0</v>
      </c>
      <c r="V57" s="388">
        <f ca="1">((V15-(U15-T15)-(T15-S15)-S15)*ci_int3)+(V15*ct_int3*'Time on treatment'!$D$12)</f>
        <v>0</v>
      </c>
      <c r="W57" s="389">
        <f ca="1">((W15-(V15-U15)-(U15-T15)-(T15-S15)-S15)*ci_int3)+(W15*ct_int3*'Time on treatment'!$D$12)</f>
        <v>0</v>
      </c>
      <c r="X57" s="77"/>
      <c r="Y57" s="77"/>
      <c r="Z57" s="386"/>
      <c r="AA57" s="388">
        <f ca="1">(AA15*ci_int4)+(AA15*ct_int4*'Time on treatment'!$D$12)</f>
        <v>0</v>
      </c>
      <c r="AB57" s="388">
        <f ca="1">((AB15-AA15)*ci_int4)+(AB15*ct_int4*'Time on treatment'!$D$12)</f>
        <v>0</v>
      </c>
      <c r="AC57" s="388">
        <f ca="1">((AC15-(AB15-AA15)-AA15)*ci_int4)+(AC15*ct_int4*'Time on treatment'!$D$12)</f>
        <v>0</v>
      </c>
      <c r="AD57" s="388">
        <f ca="1">((AD15-(AC15-AB15)-(AB15-AA15)-AA15)*ci_int4)+(AD15*ct_int4*'Time on treatment'!$D$12)</f>
        <v>0</v>
      </c>
      <c r="AE57" s="389">
        <f ca="1">((AE15-(AD15-AC15)-(AC15-AB15)-(AB15-AA15)-AA15)*ci_int4)+(AE15*ct_int4*'Time on treatment'!$D$12)</f>
        <v>0</v>
      </c>
      <c r="AF57" s="77"/>
      <c r="AG57" s="77"/>
      <c r="AH57" s="386"/>
      <c r="AI57" s="388">
        <f ca="1">(AI15*ci_comp1)+(AI15*ct_comp1*'Time on treatment'!$D$12)</f>
        <v>5840477.6854851758</v>
      </c>
      <c r="AJ57" s="388">
        <f ca="1">((AJ15-AI15)*ci_comp1)+(AJ15*ct_comp1*'Time on treatment'!$D$12)</f>
        <v>36076.471781948472</v>
      </c>
      <c r="AK57" s="388">
        <f ca="1">((AK15-(AJ15-AI15)-AI15)*ci_comp1)+(AK15*ct_comp1*'Time on treatment'!$D$12)</f>
        <v>34541.955823967226</v>
      </c>
      <c r="AL57" s="388">
        <f ca="1">((AL15-(AK15-AJ15)-(AJ15-AI15)-AI15)*ci_comp1)+(AL15*ct_comp1*'Time on treatment'!$D$12)</f>
        <v>32966.148470746004</v>
      </c>
      <c r="AM57" s="389">
        <f ca="1">((AM15-(AL15-AK15)-(AK15-AJ15)-(AJ15-AI15)-AI15)*ci_comp1)+(AM15*ct_comp1*'Time on treatment'!$D$12)</f>
        <v>31349.13021233266</v>
      </c>
      <c r="AN57" s="77"/>
      <c r="AO57" s="77"/>
      <c r="AP57" s="386"/>
      <c r="AQ57" s="388">
        <f ca="1">(AQ15*ci_comp2)+(AQ15*ct_comp2*'Time on treatment'!$D$12)</f>
        <v>0</v>
      </c>
      <c r="AR57" s="388">
        <f ca="1">((AR15-AQ15)*ci_comp2)+(AR15*ct_comp2*'Time on treatment'!$D$12)</f>
        <v>0</v>
      </c>
      <c r="AS57" s="388">
        <f ca="1">((AS15-(AR15-AQ15)-AQ15)*ci_comp2)+(AS15*ct_comp2*'Time on treatment'!$D$12)</f>
        <v>0</v>
      </c>
      <c r="AT57" s="388">
        <f ca="1">((AT15-(AS15-AR15)-(AR15-AQ15)-AQ15)*ci_comp2)+(AT15*ct_comp2*'Time on treatment'!$D$12)</f>
        <v>0</v>
      </c>
      <c r="AU57" s="389">
        <f ca="1">((AU15-(AT15-AS15)-(AS15-AR15)-(AR15-AQ15)-AQ15)*ci_comp2)+(AU15*ct_comp2*'Time on treatment'!$D$12)</f>
        <v>0</v>
      </c>
      <c r="AV57" s="77"/>
      <c r="AW57" s="77"/>
      <c r="AX57" s="386"/>
      <c r="AY57" s="388">
        <f ca="1">(AY15*ci_comp3)+(AY15*ct_comp3*'Time on treatment'!$D$12)</f>
        <v>0</v>
      </c>
      <c r="AZ57" s="388">
        <f ca="1">((AZ15-AY15)*ci_comp3)+(AZ15*ct_comp3*'Time on treatment'!$D$12)</f>
        <v>0</v>
      </c>
      <c r="BA57" s="388">
        <f ca="1">((BA15-(AZ15-AY15)-AY15)*ci_comp3)+(BA15*ct_comp3*'Time on treatment'!$D$12)</f>
        <v>0</v>
      </c>
      <c r="BB57" s="388">
        <f ca="1">((BB15-(BA15-AZ15)-(AZ15-AY15)-AY15)*ci_comp3)+(BB15*ct_comp3*'Time on treatment'!$D$12)</f>
        <v>0</v>
      </c>
      <c r="BC57" s="389">
        <f ca="1">((BC15-(BB15-BA15)-(BA15-AZ15)-(AZ15-AY15)-AY15)*ci_comp3)+(BC15*ct_comp3*'Time on treatment'!$D$12)</f>
        <v>0</v>
      </c>
      <c r="BD57" s="77"/>
      <c r="BE57" s="77"/>
      <c r="BF57" s="386"/>
      <c r="BG57" s="388">
        <f ca="1">(BG15*ci_comp4)+(BG15*ct_comp4*'Time on treatment'!$D$12)</f>
        <v>0</v>
      </c>
      <c r="BH57" s="388">
        <f ca="1">((BH15-BG15)*ci_comp4)+(BH15*ct_comp4*'Time on treatment'!$D$12)</f>
        <v>0</v>
      </c>
      <c r="BI57" s="388">
        <f ca="1">((BI15-(BH15-BG15)-BG15)*ci_comp4)+(BI15*ct_comp4*'Time on treatment'!$D$12)</f>
        <v>0</v>
      </c>
      <c r="BJ57" s="388">
        <f ca="1">((BJ15-(BI15-BH15)-(BH15-BG15)-BG15)*ci_comp4)+(BJ15*ct_comp4*'Time on treatment'!$D$12)</f>
        <v>0</v>
      </c>
      <c r="BK57" s="389">
        <f ca="1">((BK15-(BJ15-BI15)-(BI15-BH15)-(BH15-BG15)-BG15)*ci_comp4)+(BK15*ct_comp4*'Time on treatment'!$D$12)</f>
        <v>0</v>
      </c>
      <c r="BL57" s="77"/>
      <c r="BM57" s="77"/>
      <c r="BN57" s="386"/>
      <c r="BO57" s="388">
        <f ca="1">(BO15*ci_comp5)+(BO15*ct_comp5*'Time on treatment'!$D$12)</f>
        <v>0</v>
      </c>
      <c r="BP57" s="388">
        <f ca="1">((BP15-BO15)*ci_comp5)+(BP15*ct_comp5*'Time on treatment'!$D$12)</f>
        <v>0</v>
      </c>
      <c r="BQ57" s="388">
        <f ca="1">((BQ15-(BP15-BO15)-BO15)*ci_comp5)+(BQ15*ct_comp5*'Time on treatment'!$D$12)</f>
        <v>0</v>
      </c>
      <c r="BR57" s="388">
        <f ca="1">((BR15-(BQ15-BP15)-(BP15-BO15)-BO15)*ci_comp5)+(BR15*ct_comp5*'Time on treatment'!$D$12)</f>
        <v>0</v>
      </c>
      <c r="BS57" s="389">
        <f ca="1">((BS15-(BR15-BQ15)-(BQ15-BP15)-(BP15-BO15)-BO15)*ci_comp5)+(BS15*ct_comp5*'Time on treatment'!$D$12)</f>
        <v>0</v>
      </c>
      <c r="BT57" s="77"/>
      <c r="BU57" s="77"/>
      <c r="BV57" s="386"/>
      <c r="BW57" s="388">
        <f ca="1">(BW15*ci_comp6)+(BW15*ct_comp6*'Time on treatment'!$D$12)</f>
        <v>0</v>
      </c>
      <c r="BX57" s="388">
        <f ca="1">((BX15-BW15)*ci_comp6)+(BX15*ct_comp6*'Time on treatment'!$D$12)</f>
        <v>0</v>
      </c>
      <c r="BY57" s="388">
        <f ca="1">((BY15-(BX15-BW15)-BW15)*ci_comp6)+(BY15*ct_comp6*'Time on treatment'!$D$12)</f>
        <v>0</v>
      </c>
      <c r="BZ57" s="388">
        <f ca="1">((BZ15-(BY15-BX15)-(BX15-BW15)-BW15)*ci_comp6)+(BZ15*ct_comp6*'Time on treatment'!$D$12)</f>
        <v>0</v>
      </c>
      <c r="CA57" s="389">
        <f ca="1">((CA15-(BZ15-BY15)-(BY15-BX15)-(BX15-BW15)-BW15)*ci_comp6)+(CA15*ct_comp6*'Time on treatment'!$D$12)</f>
        <v>0</v>
      </c>
      <c r="CB57" s="77"/>
      <c r="CC57" s="77"/>
      <c r="CD57" s="386"/>
      <c r="CE57" s="388">
        <f ca="1">(CE15*ci_comp7)+(CE15*ct_comp7*'Time on treatment'!$D$12)</f>
        <v>0</v>
      </c>
      <c r="CF57" s="388">
        <f ca="1">((CF15-CE15)*ci_comp7)+(CF15*ct_comp7*'Time on treatment'!$D$12)</f>
        <v>0</v>
      </c>
      <c r="CG57" s="388">
        <f ca="1">((CG15-(CF15-CE15)-CE15)*ci_comp7)+(CG15*ct_comp7*'Time on treatment'!$D$12)</f>
        <v>0</v>
      </c>
      <c r="CH57" s="388">
        <f ca="1">((CH15-(CG15-CF15)-(CF15-CE15)-CE15)*ci_comp7)+(CH15*ct_comp7*'Time on treatment'!$D$12)</f>
        <v>0</v>
      </c>
      <c r="CI57" s="389">
        <f ca="1">((CI15-(CH15-CG15)-(CG15-CF15)-(CF15-CE15)-CE15)*ci_comp7)+(CI15*ct_comp7*'Time on treatment'!$D$12)</f>
        <v>0</v>
      </c>
      <c r="CJ57" s="77"/>
      <c r="CK57" s="77"/>
      <c r="CL57" s="386"/>
      <c r="CM57" s="388">
        <f ca="1">(CM15*ci_comp8)+(CM15*ct_comp8*'Time on treatment'!$D$12)</f>
        <v>0</v>
      </c>
      <c r="CN57" s="388">
        <f ca="1">((CN15-CM15)*ci_comp8)+(CN15*ct_comp8*'Time on treatment'!$D$12)</f>
        <v>0</v>
      </c>
      <c r="CO57" s="388">
        <f ca="1">((CO15-(CN15-CM15)-CM15)*ci_comp8)+(CO15*ct_comp8*'Time on treatment'!$D$12)</f>
        <v>0</v>
      </c>
      <c r="CP57" s="388">
        <f ca="1">((CP15-(CO15-CN15)-(CN15-CM15)-CM15)*ci_comp8)+(CP15*ct_comp8*'Time on treatment'!$D$12)</f>
        <v>0</v>
      </c>
      <c r="CQ57" s="389">
        <f ca="1">((CQ15-(CP15-CO15)-(CO15-CN15)-(CN15-CM15)-CM15)*ci_comp8)+(CQ15*ct_comp8*'Time on treatment'!$D$12)</f>
        <v>0</v>
      </c>
      <c r="CR57" s="77"/>
      <c r="CS57" s="77"/>
      <c r="CT57" s="386"/>
      <c r="CU57" s="388">
        <f ca="1">(CU15*ci_comp9)+(CU15*ct_comp9*'Time on treatment'!$D$12)</f>
        <v>0</v>
      </c>
      <c r="CV57" s="388">
        <f ca="1">((CV15-CU15)*ci_comp9)+(CV15*ct_comp9*'Time on treatment'!$D$12)</f>
        <v>0</v>
      </c>
      <c r="CW57" s="388">
        <f ca="1">((CW15-(CV15-CU15)-CU15)*ci_comp9)+(CW15*ct_comp9*'Time on treatment'!$D$12)</f>
        <v>0</v>
      </c>
      <c r="CX57" s="388">
        <f ca="1">((CX15-(CW15-CV15)-(CV15-CU15)-CU15)*ci_comp9)+(CX15*ct_comp9*'Time on treatment'!$D$12)</f>
        <v>0</v>
      </c>
      <c r="CY57" s="389">
        <f ca="1">((CY15-(CX15-CW15)-(CW15-CV15)-(CV15-CU15)-CU15)*ci_comp9)+(CY15*ct_comp9*'Time on treatment'!$D$12)</f>
        <v>0</v>
      </c>
      <c r="CZ57" s="77"/>
      <c r="DA57" s="77"/>
      <c r="DB57" s="386"/>
      <c r="DC57" s="388">
        <f ca="1">(DC15*ci_comp10)+(DC15*ct_comp10*'Time on treatment'!$D$12)</f>
        <v>0</v>
      </c>
      <c r="DD57" s="388">
        <f ca="1">((DD15-DC15)*ci_comp10)+(DD15*ct_comp10*'Time on treatment'!$D$12)</f>
        <v>0</v>
      </c>
      <c r="DE57" s="388">
        <f ca="1">((DE15-(DD15-DC15)-DC15)*ci_comp10)+(DE15*ct_comp10*'Time on treatment'!$D$12)</f>
        <v>0</v>
      </c>
      <c r="DF57" s="388">
        <f ca="1">((DF15-(DE15-DD15)-(DD15-DC15)-DC15)*ci_comp10)+(DF15*ct_comp10*'Time on treatment'!$D$12)</f>
        <v>0</v>
      </c>
      <c r="DG57" s="389">
        <f ca="1">((DG15-(DF15-DE15)-(DE15-DD15)-(DD15-DC15)-DC15)*ci_comp10)+(DG15*ct_comp10*'Time on treatment'!$D$12)</f>
        <v>0</v>
      </c>
      <c r="DH57" s="77"/>
      <c r="DI57" s="77"/>
    </row>
    <row r="58" spans="2:113" ht="15" thickBot="1">
      <c r="B58" s="83"/>
      <c r="C58" s="86"/>
      <c r="D58" s="86"/>
      <c r="E58" s="86"/>
      <c r="F58" s="86"/>
      <c r="G58" s="86"/>
      <c r="J58" s="83"/>
      <c r="K58" s="86"/>
      <c r="L58" s="86"/>
      <c r="M58" s="86"/>
      <c r="N58" s="86"/>
      <c r="O58" s="86"/>
      <c r="R58" s="83"/>
      <c r="S58" s="86"/>
      <c r="T58" s="86"/>
      <c r="U58" s="86"/>
      <c r="V58" s="86"/>
      <c r="W58" s="86"/>
      <c r="Z58" s="83"/>
      <c r="AA58" s="86"/>
      <c r="AB58" s="86"/>
      <c r="AC58" s="86"/>
      <c r="AD58" s="86"/>
      <c r="AE58" s="86"/>
      <c r="AH58" s="83"/>
      <c r="AI58" s="86"/>
      <c r="AJ58" s="86"/>
      <c r="AK58" s="86"/>
      <c r="AL58" s="86"/>
      <c r="AM58" s="86"/>
      <c r="AP58" s="83"/>
      <c r="AQ58" s="86"/>
      <c r="AR58" s="86"/>
      <c r="AS58" s="86"/>
      <c r="AT58" s="86"/>
      <c r="AU58" s="86"/>
      <c r="AX58" s="83"/>
      <c r="AY58" s="86"/>
      <c r="AZ58" s="86"/>
      <c r="BA58" s="86"/>
      <c r="BB58" s="86"/>
      <c r="BC58" s="86"/>
      <c r="BF58" s="83"/>
      <c r="BG58" s="86"/>
      <c r="BH58" s="86"/>
      <c r="BI58" s="86"/>
      <c r="BJ58" s="86"/>
      <c r="BK58" s="86"/>
      <c r="BN58" s="83"/>
      <c r="BO58" s="86"/>
      <c r="BP58" s="86"/>
      <c r="BQ58" s="86"/>
      <c r="BR58" s="86"/>
      <c r="BS58" s="86"/>
      <c r="BV58" s="83"/>
      <c r="BW58" s="86"/>
      <c r="BX58" s="86"/>
      <c r="BY58" s="86"/>
      <c r="BZ58" s="86"/>
      <c r="CA58" s="86"/>
      <c r="CD58" s="83"/>
      <c r="CE58" s="86"/>
      <c r="CF58" s="86"/>
      <c r="CG58" s="86"/>
      <c r="CH58" s="86"/>
      <c r="CI58" s="86"/>
      <c r="CL58" s="83"/>
      <c r="CM58" s="86"/>
      <c r="CN58" s="86"/>
      <c r="CO58" s="86"/>
      <c r="CP58" s="86"/>
      <c r="CQ58" s="86"/>
      <c r="CT58" s="83"/>
      <c r="CU58" s="86"/>
      <c r="CV58" s="86"/>
      <c r="CW58" s="86"/>
      <c r="CX58" s="86"/>
      <c r="CY58" s="86"/>
      <c r="DB58" s="83"/>
      <c r="DC58" s="86"/>
      <c r="DD58" s="86"/>
      <c r="DE58" s="86"/>
      <c r="DF58" s="86"/>
      <c r="DG58" s="86"/>
    </row>
    <row r="59" spans="2:113" ht="15" thickBot="1">
      <c r="B59" s="507" t="str">
        <f>B38</f>
        <v>With PET-CT 20-100%</v>
      </c>
      <c r="C59" s="505"/>
      <c r="D59" s="505"/>
      <c r="E59" s="505"/>
      <c r="F59" s="505"/>
      <c r="G59" s="506"/>
      <c r="J59" s="507" t="str">
        <f>J38</f>
        <v>With PET-CT 20-100%</v>
      </c>
      <c r="K59" s="505"/>
      <c r="L59" s="505"/>
      <c r="M59" s="505"/>
      <c r="N59" s="505"/>
      <c r="O59" s="506"/>
      <c r="R59" s="507" t="str">
        <f>R38</f>
        <v>With PET-CT 20-100%</v>
      </c>
      <c r="S59" s="505"/>
      <c r="T59" s="505"/>
      <c r="U59" s="505"/>
      <c r="V59" s="505"/>
      <c r="W59" s="506"/>
      <c r="Z59" s="507" t="str">
        <f>Z38</f>
        <v>With PET-CT 20-100%</v>
      </c>
      <c r="AA59" s="505"/>
      <c r="AB59" s="505"/>
      <c r="AC59" s="505"/>
      <c r="AD59" s="505"/>
      <c r="AE59" s="506"/>
      <c r="AH59" s="507" t="str">
        <f>AH38</f>
        <v>With PET-CT 20-100%</v>
      </c>
      <c r="AI59" s="505"/>
      <c r="AJ59" s="505"/>
      <c r="AK59" s="505"/>
      <c r="AL59" s="505"/>
      <c r="AM59" s="506"/>
      <c r="AP59" s="507" t="str">
        <f>AP38</f>
        <v>With PET-CT 20-100%</v>
      </c>
      <c r="AQ59" s="505"/>
      <c r="AR59" s="505"/>
      <c r="AS59" s="505"/>
      <c r="AT59" s="505"/>
      <c r="AU59" s="506"/>
      <c r="AX59" s="507" t="str">
        <f>AX38</f>
        <v>With PET-CT 20-100%</v>
      </c>
      <c r="AY59" s="505"/>
      <c r="AZ59" s="505"/>
      <c r="BA59" s="505"/>
      <c r="BB59" s="505"/>
      <c r="BC59" s="506"/>
      <c r="BF59" s="507" t="str">
        <f>BF38</f>
        <v>With PET-CT 20-100%</v>
      </c>
      <c r="BG59" s="505"/>
      <c r="BH59" s="505"/>
      <c r="BI59" s="505"/>
      <c r="BJ59" s="505"/>
      <c r="BK59" s="506"/>
      <c r="BN59" s="507" t="str">
        <f>BN38</f>
        <v>With PET-CT 20-100%</v>
      </c>
      <c r="BO59" s="505"/>
      <c r="BP59" s="505"/>
      <c r="BQ59" s="505"/>
      <c r="BR59" s="505"/>
      <c r="BS59" s="506"/>
      <c r="BV59" s="507" t="str">
        <f>BV38</f>
        <v>With PET-CT 20-100%</v>
      </c>
      <c r="BW59" s="505"/>
      <c r="BX59" s="505"/>
      <c r="BY59" s="505"/>
      <c r="BZ59" s="505"/>
      <c r="CA59" s="506"/>
      <c r="CD59" s="507" t="str">
        <f>CD38</f>
        <v>With PET-CT 20-100%</v>
      </c>
      <c r="CE59" s="505"/>
      <c r="CF59" s="505"/>
      <c r="CG59" s="505"/>
      <c r="CH59" s="505"/>
      <c r="CI59" s="506"/>
      <c r="CL59" s="507" t="str">
        <f>CL38</f>
        <v>With PET-CT 20-100%</v>
      </c>
      <c r="CM59" s="505"/>
      <c r="CN59" s="505"/>
      <c r="CO59" s="505"/>
      <c r="CP59" s="505"/>
      <c r="CQ59" s="506"/>
      <c r="CT59" s="507" t="str">
        <f>CT38</f>
        <v>With PET-CT 20-100%</v>
      </c>
      <c r="CU59" s="505"/>
      <c r="CV59" s="505"/>
      <c r="CW59" s="505"/>
      <c r="CX59" s="505"/>
      <c r="CY59" s="506"/>
      <c r="DB59" s="507" t="str">
        <f>DB38</f>
        <v>With PET-CT 20-100%</v>
      </c>
      <c r="DC59" s="505"/>
      <c r="DD59" s="505"/>
      <c r="DE59" s="505"/>
      <c r="DF59" s="505"/>
      <c r="DG59" s="506"/>
    </row>
    <row r="60" spans="2:113">
      <c r="B60" s="84"/>
      <c r="C60" s="101">
        <f>C39</f>
        <v>2024</v>
      </c>
      <c r="D60" s="101">
        <f>D39</f>
        <v>2025</v>
      </c>
      <c r="E60" s="101">
        <f>E39</f>
        <v>2026</v>
      </c>
      <c r="F60" s="101">
        <f>F39</f>
        <v>2027</v>
      </c>
      <c r="G60" s="102">
        <f>G39</f>
        <v>2028</v>
      </c>
      <c r="J60" s="84"/>
      <c r="K60" s="101">
        <f>K39</f>
        <v>2024</v>
      </c>
      <c r="L60" s="101">
        <f>L39</f>
        <v>2025</v>
      </c>
      <c r="M60" s="101">
        <f>M39</f>
        <v>2026</v>
      </c>
      <c r="N60" s="101">
        <f>N39</f>
        <v>2027</v>
      </c>
      <c r="O60" s="102">
        <f>O39</f>
        <v>2028</v>
      </c>
      <c r="R60" s="84"/>
      <c r="S60" s="101">
        <f>S39</f>
        <v>2024</v>
      </c>
      <c r="T60" s="101">
        <f>T39</f>
        <v>2025</v>
      </c>
      <c r="U60" s="101">
        <f>U39</f>
        <v>2026</v>
      </c>
      <c r="V60" s="101">
        <f>V39</f>
        <v>2027</v>
      </c>
      <c r="W60" s="102">
        <f>W39</f>
        <v>2028</v>
      </c>
      <c r="Z60" s="84"/>
      <c r="AA60" s="101">
        <f>AA39</f>
        <v>2024</v>
      </c>
      <c r="AB60" s="101">
        <f>AB39</f>
        <v>2025</v>
      </c>
      <c r="AC60" s="101">
        <f>AC39</f>
        <v>2026</v>
      </c>
      <c r="AD60" s="101">
        <f>AD39</f>
        <v>2027</v>
      </c>
      <c r="AE60" s="102">
        <f>AE39</f>
        <v>2028</v>
      </c>
      <c r="AH60" s="84"/>
      <c r="AI60" s="101">
        <f>AI39</f>
        <v>2024</v>
      </c>
      <c r="AJ60" s="101">
        <f>AJ39</f>
        <v>2025</v>
      </c>
      <c r="AK60" s="101">
        <f>AK39</f>
        <v>2026</v>
      </c>
      <c r="AL60" s="101">
        <f>AL39</f>
        <v>2027</v>
      </c>
      <c r="AM60" s="102">
        <f>AM39</f>
        <v>2028</v>
      </c>
      <c r="AP60" s="84"/>
      <c r="AQ60" s="101">
        <f>AQ39</f>
        <v>2024</v>
      </c>
      <c r="AR60" s="101">
        <f>AR39</f>
        <v>2025</v>
      </c>
      <c r="AS60" s="101">
        <f>AS39</f>
        <v>2026</v>
      </c>
      <c r="AT60" s="101">
        <f>AT39</f>
        <v>2027</v>
      </c>
      <c r="AU60" s="102">
        <f>AU39</f>
        <v>2028</v>
      </c>
      <c r="AX60" s="84"/>
      <c r="AY60" s="101">
        <f>AY39</f>
        <v>2024</v>
      </c>
      <c r="AZ60" s="101">
        <f>AZ39</f>
        <v>2025</v>
      </c>
      <c r="BA60" s="101">
        <f>BA39</f>
        <v>2026</v>
      </c>
      <c r="BB60" s="101">
        <f>BB39</f>
        <v>2027</v>
      </c>
      <c r="BC60" s="102">
        <f>BC39</f>
        <v>2028</v>
      </c>
      <c r="BF60" s="84"/>
      <c r="BG60" s="101">
        <f>BG39</f>
        <v>2024</v>
      </c>
      <c r="BH60" s="101">
        <f>BH39</f>
        <v>2025</v>
      </c>
      <c r="BI60" s="101">
        <f>BI39</f>
        <v>2026</v>
      </c>
      <c r="BJ60" s="101">
        <f>BJ39</f>
        <v>2027</v>
      </c>
      <c r="BK60" s="102">
        <f>BK39</f>
        <v>2028</v>
      </c>
      <c r="BN60" s="84"/>
      <c r="BO60" s="101">
        <f>BO39</f>
        <v>2024</v>
      </c>
      <c r="BP60" s="101">
        <f>BP39</f>
        <v>2025</v>
      </c>
      <c r="BQ60" s="101">
        <f>BQ39</f>
        <v>2026</v>
      </c>
      <c r="BR60" s="101">
        <f>BR39</f>
        <v>2027</v>
      </c>
      <c r="BS60" s="102">
        <f>BS39</f>
        <v>2028</v>
      </c>
      <c r="BV60" s="84"/>
      <c r="BW60" s="101">
        <f>BW39</f>
        <v>2024</v>
      </c>
      <c r="BX60" s="101">
        <f>BX39</f>
        <v>2025</v>
      </c>
      <c r="BY60" s="101">
        <f>BY39</f>
        <v>2026</v>
      </c>
      <c r="BZ60" s="101">
        <f>BZ39</f>
        <v>2027</v>
      </c>
      <c r="CA60" s="102">
        <f>CA39</f>
        <v>2028</v>
      </c>
      <c r="CD60" s="84"/>
      <c r="CE60" s="101">
        <f>CE39</f>
        <v>2024</v>
      </c>
      <c r="CF60" s="101">
        <f>CF39</f>
        <v>2025</v>
      </c>
      <c r="CG60" s="101">
        <f>CG39</f>
        <v>2026</v>
      </c>
      <c r="CH60" s="101">
        <f>CH39</f>
        <v>2027</v>
      </c>
      <c r="CI60" s="102">
        <f>CI39</f>
        <v>2028</v>
      </c>
      <c r="CL60" s="84"/>
      <c r="CM60" s="101">
        <f>CM39</f>
        <v>2024</v>
      </c>
      <c r="CN60" s="101">
        <f>CN39</f>
        <v>2025</v>
      </c>
      <c r="CO60" s="101">
        <f>CO39</f>
        <v>2026</v>
      </c>
      <c r="CP60" s="101">
        <f>CP39</f>
        <v>2027</v>
      </c>
      <c r="CQ60" s="102">
        <f>CQ39</f>
        <v>2028</v>
      </c>
      <c r="CT60" s="84"/>
      <c r="CU60" s="101">
        <f>CU39</f>
        <v>2024</v>
      </c>
      <c r="CV60" s="101">
        <f>CV39</f>
        <v>2025</v>
      </c>
      <c r="CW60" s="101">
        <f>CW39</f>
        <v>2026</v>
      </c>
      <c r="CX60" s="101">
        <f>CX39</f>
        <v>2027</v>
      </c>
      <c r="CY60" s="102">
        <f>CY39</f>
        <v>2028</v>
      </c>
      <c r="DB60" s="84"/>
      <c r="DC60" s="101">
        <f>DC39</f>
        <v>2024</v>
      </c>
      <c r="DD60" s="101">
        <f>DD39</f>
        <v>2025</v>
      </c>
      <c r="DE60" s="101">
        <f>DE39</f>
        <v>2026</v>
      </c>
      <c r="DF60" s="101">
        <f>DF39</f>
        <v>2027</v>
      </c>
      <c r="DG60" s="102">
        <f>DG39</f>
        <v>2028</v>
      </c>
    </row>
    <row r="61" spans="2:113" s="83" customFormat="1" ht="15" thickBot="1">
      <c r="B61" s="386"/>
      <c r="C61" s="388">
        <f ca="1">(C19*ci_int1)+(C19*ct_int1*'Time on treatment'!$D$12)</f>
        <v>3181339.1732890946</v>
      </c>
      <c r="D61" s="388">
        <f ca="1">((D19-C19)*ci_int1)+(D19*ct_int1*'Time on treatment'!$D$12)</f>
        <v>3220641.2643489409</v>
      </c>
      <c r="E61" s="388">
        <f ca="1">((E19-(D19-C19)-C19)*ci_int1)+(E19*ct_int1*'Time on treatment'!$D$12)</f>
        <v>3257435.778464545</v>
      </c>
      <c r="F61" s="388">
        <f ca="1">((F19-(E19-D19)-(D19-C19)-C19)*ci_int1)+(F19*ct_int1*'Time on treatment'!$D$12)</f>
        <v>3291632.7490679165</v>
      </c>
      <c r="G61" s="389">
        <f ca="1">((G19-(F19-E19)-(E19-D19)-(D19-C19)-C19)*ci_int1)+(G19*ct_int1*'Time on treatment'!$D$12)</f>
        <v>3323142.4288078416</v>
      </c>
      <c r="H61" s="77"/>
      <c r="I61" s="77"/>
      <c r="J61" s="386"/>
      <c r="K61" s="388">
        <f ca="1">(K19*ci_int2)+(K19*ct_int2*'Time on treatment'!$D$12)</f>
        <v>0</v>
      </c>
      <c r="L61" s="388">
        <f ca="1">((L19-K19)*ci_int2)+(L19*ct_int2*'Time on treatment'!$D$12)</f>
        <v>0</v>
      </c>
      <c r="M61" s="388">
        <f ca="1">((M19-(L19-K19)-K19)*ci_int2)+(M19*ct_int2*'Time on treatment'!$D$12)</f>
        <v>0</v>
      </c>
      <c r="N61" s="388">
        <f ca="1">((N19-(M19-L19)-(L19-K19)-K19)*ci_int2)+(N19*ct_int2*'Time on treatment'!$D$12)</f>
        <v>0</v>
      </c>
      <c r="O61" s="389">
        <f ca="1">((O19-(N19-M19)-(M19-L19)-(L19-K19)-K19)*ci_int2)+(O19*ct_int2*'Time on treatment'!$D$12)</f>
        <v>0</v>
      </c>
      <c r="P61" s="77"/>
      <c r="Q61" s="77"/>
      <c r="R61" s="386"/>
      <c r="S61" s="388">
        <f ca="1">(S19*ci_int3)+(S19*ct_int3*'Time on treatment'!$D$12)</f>
        <v>0</v>
      </c>
      <c r="T61" s="388">
        <f ca="1">((T19-S19)*ci_int3)+(T19*ct_int3*'Time on treatment'!$D$12)</f>
        <v>0</v>
      </c>
      <c r="U61" s="388">
        <f ca="1">((U19-(T19-S19)-S19)*ci_int3)+(U19*ct_int3*'Time on treatment'!$D$12)</f>
        <v>0</v>
      </c>
      <c r="V61" s="388">
        <f ca="1">((V19-(U19-T19)-(T19-S19)-S19)*ci_int3)+(V19*ct_int3*'Time on treatment'!$D$12)</f>
        <v>0</v>
      </c>
      <c r="W61" s="389">
        <f ca="1">((W19-(V19-U19)-(U19-T19)-(T19-S19)-S19)*ci_int3)+(W19*ct_int3*'Time on treatment'!$D$12)</f>
        <v>0</v>
      </c>
      <c r="X61" s="77"/>
      <c r="Y61" s="77"/>
      <c r="Z61" s="386"/>
      <c r="AA61" s="388">
        <f ca="1">(AA19*ci_int4)+(AA19*ct_int4*'Time on treatment'!$D$12)</f>
        <v>0</v>
      </c>
      <c r="AB61" s="388">
        <f ca="1">((AB19-AA19)*ci_int4)+(AB19*ct_int4*'Time on treatment'!$D$12)</f>
        <v>0</v>
      </c>
      <c r="AC61" s="388">
        <f ca="1">((AC19-(AB19-AA19)-AA19)*ci_int4)+(AC19*ct_int4*'Time on treatment'!$D$12)</f>
        <v>0</v>
      </c>
      <c r="AD61" s="388">
        <f ca="1">((AD19-(AC19-AB19)-(AB19-AA19)-AA19)*ci_int4)+(AD19*ct_int4*'Time on treatment'!$D$12)</f>
        <v>0</v>
      </c>
      <c r="AE61" s="389">
        <f ca="1">((AE19-(AD19-AC19)-(AC19-AB19)-(AB19-AA19)-AA19)*ci_int4)+(AE19*ct_int4*'Time on treatment'!$D$12)</f>
        <v>0</v>
      </c>
      <c r="AF61" s="77"/>
      <c r="AG61" s="77"/>
      <c r="AH61" s="386"/>
      <c r="AI61" s="388">
        <f ca="1">(AI19*ci_comp1)+(AI19*ct_comp1*'Time on treatment'!$D$12)</f>
        <v>4672382.1483881408</v>
      </c>
      <c r="AJ61" s="388">
        <f ca="1">((AJ19-AI19)*ci_comp1)+(AJ19*ct_comp1*'Time on treatment'!$D$12)</f>
        <v>-1146449.6540278664</v>
      </c>
      <c r="AK61" s="388">
        <f ca="1">((AK19-(AJ19-AI19)-AI19)*ci_comp1)+(AK19*ct_comp1*'Time on treatment'!$D$12)</f>
        <v>-1161494.0491238378</v>
      </c>
      <c r="AL61" s="388">
        <f ca="1">((AL19-(AK19-AJ19)-(AJ19-AI19)-AI19)*ci_comp1)+(AL19*ct_comp1*'Time on treatment'!$D$12)</f>
        <v>-1175625.9929240695</v>
      </c>
      <c r="AM61" s="389">
        <f ca="1">((AM19-(AL19-AK19)-(AK19-AJ19)-(AJ19-AI19)-AI19)*ci_comp1)+(AM19*ct_comp1*'Time on treatment'!$D$12)</f>
        <v>-1188812.4523123673</v>
      </c>
      <c r="AN61" s="77"/>
      <c r="AO61" s="77"/>
      <c r="AP61" s="386"/>
      <c r="AQ61" s="388">
        <f ca="1">(AQ19*ci_comp2)+(AQ19*ct_comp2*'Time on treatment'!$D$12)</f>
        <v>0</v>
      </c>
      <c r="AR61" s="388">
        <f ca="1">((AR19-AQ19)*ci_comp2)+(AR19*ct_comp2*'Time on treatment'!$D$12)</f>
        <v>0</v>
      </c>
      <c r="AS61" s="388">
        <f ca="1">((AS19-(AR19-AQ19)-AQ19)*ci_comp2)+(AS19*ct_comp2*'Time on treatment'!$D$12)</f>
        <v>0</v>
      </c>
      <c r="AT61" s="388">
        <f ca="1">((AT19-(AS19-AR19)-(AR19-AQ19)-AQ19)*ci_comp2)+(AT19*ct_comp2*'Time on treatment'!$D$12)</f>
        <v>0</v>
      </c>
      <c r="AU61" s="389">
        <f ca="1">((AU19-(AT19-AS19)-(AS19-AR19)-(AR19-AQ19)-AQ19)*ci_comp2)+(AU19*ct_comp2*'Time on treatment'!$D$12)</f>
        <v>0</v>
      </c>
      <c r="AV61" s="77"/>
      <c r="AW61" s="77"/>
      <c r="AX61" s="386"/>
      <c r="AY61" s="388">
        <f ca="1">(AY19*ci_comp3)+(AY19*ct_comp3*'Time on treatment'!$D$12)</f>
        <v>0</v>
      </c>
      <c r="AZ61" s="388">
        <f ca="1">((AZ19-AY19)*ci_comp3)+(AZ19*ct_comp3*'Time on treatment'!$D$12)</f>
        <v>0</v>
      </c>
      <c r="BA61" s="388">
        <f ca="1">((BA19-(AZ19-AY19)-AY19)*ci_comp3)+(BA19*ct_comp3*'Time on treatment'!$D$12)</f>
        <v>0</v>
      </c>
      <c r="BB61" s="388">
        <f ca="1">((BB19-(BA19-AZ19)-(AZ19-AY19)-AY19)*ci_comp3)+(BB19*ct_comp3*'Time on treatment'!$D$12)</f>
        <v>0</v>
      </c>
      <c r="BC61" s="389">
        <f ca="1">((BC19-(BB19-BA19)-(BA19-AZ19)-(AZ19-AY19)-AY19)*ci_comp3)+(BC19*ct_comp3*'Time on treatment'!$D$12)</f>
        <v>0</v>
      </c>
      <c r="BD61" s="77"/>
      <c r="BE61" s="77"/>
      <c r="BF61" s="386"/>
      <c r="BG61" s="388">
        <f ca="1">(BG19*ci_comp4)+(BG19*ct_comp4*'Time on treatment'!$D$12)</f>
        <v>0</v>
      </c>
      <c r="BH61" s="388">
        <f ca="1">((BH19-BG19)*ci_comp4)+(BH19*ct_comp4*'Time on treatment'!$D$12)</f>
        <v>0</v>
      </c>
      <c r="BI61" s="388">
        <f ca="1">((BI19-(BH19-BG19)-BG19)*ci_comp4)+(BI19*ct_comp4*'Time on treatment'!$D$12)</f>
        <v>0</v>
      </c>
      <c r="BJ61" s="388">
        <f ca="1">((BJ19-(BI19-BH19)-(BH19-BG19)-BG19)*ci_comp4)+(BJ19*ct_comp4*'Time on treatment'!$D$12)</f>
        <v>0</v>
      </c>
      <c r="BK61" s="389">
        <f ca="1">((BK19-(BJ19-BI19)-(BI19-BH19)-(BH19-BG19)-BG19)*ci_comp4)+(BK19*ct_comp4*'Time on treatment'!$D$12)</f>
        <v>0</v>
      </c>
      <c r="BL61" s="77"/>
      <c r="BM61" s="77"/>
      <c r="BN61" s="386"/>
      <c r="BO61" s="388">
        <f ca="1">(BO19*ci_comp5)+(BO19*ct_comp5*'Time on treatment'!$D$12)</f>
        <v>0</v>
      </c>
      <c r="BP61" s="388">
        <f ca="1">((BP19-BO19)*ci_comp5)+(BP19*ct_comp5*'Time on treatment'!$D$12)</f>
        <v>0</v>
      </c>
      <c r="BQ61" s="388">
        <f ca="1">((BQ19-(BP19-BO19)-BO19)*ci_comp5)+(BQ19*ct_comp5*'Time on treatment'!$D$12)</f>
        <v>0</v>
      </c>
      <c r="BR61" s="388">
        <f ca="1">((BR19-(BQ19-BP19)-(BP19-BO19)-BO19)*ci_comp5)+(BR19*ct_comp5*'Time on treatment'!$D$12)</f>
        <v>0</v>
      </c>
      <c r="BS61" s="389">
        <f ca="1">((BS19-(BR19-BQ19)-(BQ19-BP19)-(BP19-BO19)-BO19)*ci_comp5)+(BS19*ct_comp5*'Time on treatment'!$D$12)</f>
        <v>0</v>
      </c>
      <c r="BT61" s="77"/>
      <c r="BU61" s="77"/>
      <c r="BV61" s="386"/>
      <c r="BW61" s="388">
        <f ca="1">(BW19*ci_comp6)+(BW19*ct_comp6*'Time on treatment'!$D$12)</f>
        <v>0</v>
      </c>
      <c r="BX61" s="388">
        <f ca="1">((BX19-BW19)*ci_comp6)+(BX19*ct_comp6*'Time on treatment'!$D$12)</f>
        <v>0</v>
      </c>
      <c r="BY61" s="388">
        <f ca="1">((BY19-(BX19-BW19)-BW19)*ci_comp6)+(BY19*ct_comp6*'Time on treatment'!$D$12)</f>
        <v>0</v>
      </c>
      <c r="BZ61" s="388">
        <f ca="1">((BZ19-(BY19-BX19)-(BX19-BW19)-BW19)*ci_comp6)+(BZ19*ct_comp6*'Time on treatment'!$D$12)</f>
        <v>0</v>
      </c>
      <c r="CA61" s="389">
        <f ca="1">((CA19-(BZ19-BY19)-(BY19-BX19)-(BX19-BW19)-BW19)*ci_comp6)+(CA19*ct_comp6*'Time on treatment'!$D$12)</f>
        <v>0</v>
      </c>
      <c r="CB61" s="77"/>
      <c r="CC61" s="77"/>
      <c r="CD61" s="386"/>
      <c r="CE61" s="388">
        <f ca="1">(CE19*ci_comp7)+(CE19*ct_comp7*'Time on treatment'!$D$12)</f>
        <v>0</v>
      </c>
      <c r="CF61" s="388">
        <f ca="1">((CF19-CE19)*ci_comp7)+(CF19*ct_comp7*'Time on treatment'!$D$12)</f>
        <v>0</v>
      </c>
      <c r="CG61" s="388">
        <f ca="1">((CG19-(CF19-CE19)-CE19)*ci_comp7)+(CG19*ct_comp7*'Time on treatment'!$D$12)</f>
        <v>0</v>
      </c>
      <c r="CH61" s="388">
        <f ca="1">((CH19-(CG19-CF19)-(CF19-CE19)-CE19)*ci_comp7)+(CH19*ct_comp7*'Time on treatment'!$D$12)</f>
        <v>0</v>
      </c>
      <c r="CI61" s="389">
        <f ca="1">((CI19-(CH19-CG19)-(CG19-CF19)-(CF19-CE19)-CE19)*ci_comp7)+(CI19*ct_comp7*'Time on treatment'!$D$12)</f>
        <v>0</v>
      </c>
      <c r="CJ61" s="77"/>
      <c r="CK61" s="77"/>
      <c r="CL61" s="386"/>
      <c r="CM61" s="388">
        <f ca="1">(CM19*ci_comp8)+(CM19*ct_comp8*'Time on treatment'!$D$12)</f>
        <v>0</v>
      </c>
      <c r="CN61" s="388">
        <f ca="1">((CN19-CM19)*ci_comp8)+(CN19*ct_comp8*'Time on treatment'!$D$12)</f>
        <v>0</v>
      </c>
      <c r="CO61" s="388">
        <f ca="1">((CO19-(CN19-CM19)-CM19)*ci_comp8)+(CO19*ct_comp8*'Time on treatment'!$D$12)</f>
        <v>0</v>
      </c>
      <c r="CP61" s="388">
        <f ca="1">((CP19-(CO19-CN19)-(CN19-CM19)-CM19)*ci_comp8)+(CP19*ct_comp8*'Time on treatment'!$D$12)</f>
        <v>0</v>
      </c>
      <c r="CQ61" s="389">
        <f ca="1">((CQ19-(CP19-CO19)-(CO19-CN19)-(CN19-CM19)-CM19)*ci_comp8)+(CQ19*ct_comp8*'Time on treatment'!$D$12)</f>
        <v>0</v>
      </c>
      <c r="CR61" s="77"/>
      <c r="CS61" s="77"/>
      <c r="CT61" s="386"/>
      <c r="CU61" s="388">
        <f ca="1">(CU19*ci_comp9)+(CU19*ct_comp9*'Time on treatment'!$D$12)</f>
        <v>0</v>
      </c>
      <c r="CV61" s="388">
        <f ca="1">((CV19-CU19)*ci_comp9)+(CV19*ct_comp9*'Time on treatment'!$D$12)</f>
        <v>0</v>
      </c>
      <c r="CW61" s="388">
        <f ca="1">((CW19-(CV19-CU19)-CU19)*ci_comp9)+(CW19*ct_comp9*'Time on treatment'!$D$12)</f>
        <v>0</v>
      </c>
      <c r="CX61" s="388">
        <f ca="1">((CX19-(CW19-CV19)-(CV19-CU19)-CU19)*ci_comp9)+(CX19*ct_comp9*'Time on treatment'!$D$12)</f>
        <v>0</v>
      </c>
      <c r="CY61" s="389">
        <f ca="1">((CY19-(CX19-CW19)-(CW19-CV19)-(CV19-CU19)-CU19)*ci_comp9)+(CY19*ct_comp9*'Time on treatment'!$D$12)</f>
        <v>0</v>
      </c>
      <c r="CZ61" s="77"/>
      <c r="DA61" s="77"/>
      <c r="DB61" s="386"/>
      <c r="DC61" s="388">
        <f ca="1">(DC19*ci_comp10)+(DC19*ct_comp10*'Time on treatment'!$D$12)</f>
        <v>0</v>
      </c>
      <c r="DD61" s="388">
        <f ca="1">((DD19-DC19)*ci_comp10)+(DD19*ct_comp10*'Time on treatment'!$D$12)</f>
        <v>0</v>
      </c>
      <c r="DE61" s="388">
        <f ca="1">((DE19-(DD19-DC19)-DC19)*ci_comp10)+(DE19*ct_comp10*'Time on treatment'!$D$12)</f>
        <v>0</v>
      </c>
      <c r="DF61" s="388">
        <f ca="1">((DF19-(DE19-DD19)-(DD19-DC19)-DC19)*ci_comp10)+(DF19*ct_comp10*'Time on treatment'!$D$12)</f>
        <v>0</v>
      </c>
      <c r="DG61" s="389">
        <f ca="1">((DG19-(DF19-DE19)-(DE19-DD19)-(DD19-DC19)-DC19)*ci_comp10)+(DG19*ct_comp10*'Time on treatment'!$D$12)</f>
        <v>0</v>
      </c>
      <c r="DH61" s="77"/>
      <c r="DI61" s="77"/>
    </row>
    <row r="62" spans="2:113" ht="15" thickBot="1">
      <c r="B62" s="83"/>
      <c r="C62" s="86"/>
      <c r="D62" s="86"/>
      <c r="E62" s="86"/>
      <c r="F62" s="86"/>
      <c r="G62" s="86"/>
      <c r="J62" s="83"/>
      <c r="K62" s="86"/>
      <c r="L62" s="86"/>
      <c r="M62" s="86"/>
      <c r="N62" s="86"/>
      <c r="O62" s="86"/>
      <c r="R62" s="83"/>
      <c r="S62" s="86"/>
      <c r="T62" s="86"/>
      <c r="U62" s="86"/>
      <c r="V62" s="86"/>
      <c r="W62" s="86"/>
      <c r="Z62" s="83"/>
      <c r="AA62" s="86"/>
      <c r="AB62" s="86"/>
      <c r="AC62" s="86"/>
      <c r="AD62" s="86"/>
      <c r="AE62" s="86"/>
      <c r="AH62" s="83"/>
      <c r="AI62" s="86"/>
      <c r="AJ62" s="86"/>
      <c r="AK62" s="86"/>
      <c r="AL62" s="86"/>
      <c r="AM62" s="86"/>
      <c r="AP62" s="83"/>
      <c r="AQ62" s="86"/>
      <c r="AR62" s="86"/>
      <c r="AS62" s="86"/>
      <c r="AT62" s="86"/>
      <c r="AU62" s="86"/>
      <c r="AX62" s="83"/>
      <c r="AY62" s="86"/>
      <c r="AZ62" s="86"/>
      <c r="BA62" s="86"/>
      <c r="BB62" s="86"/>
      <c r="BC62" s="86"/>
      <c r="BF62" s="83"/>
      <c r="BG62" s="86"/>
      <c r="BH62" s="86"/>
      <c r="BI62" s="86"/>
      <c r="BJ62" s="86"/>
      <c r="BK62" s="86"/>
      <c r="BN62" s="83"/>
      <c r="BO62" s="86"/>
      <c r="BP62" s="86"/>
      <c r="BQ62" s="86"/>
      <c r="BR62" s="86"/>
      <c r="BS62" s="86"/>
      <c r="BV62" s="83"/>
      <c r="BW62" s="86"/>
      <c r="BX62" s="86"/>
      <c r="BY62" s="86"/>
      <c r="BZ62" s="86"/>
      <c r="CA62" s="86"/>
      <c r="CD62" s="83"/>
      <c r="CE62" s="86"/>
      <c r="CF62" s="86"/>
      <c r="CG62" s="86"/>
      <c r="CH62" s="86"/>
      <c r="CI62" s="86"/>
      <c r="CL62" s="83"/>
      <c r="CM62" s="86"/>
      <c r="CN62" s="86"/>
      <c r="CO62" s="86"/>
      <c r="CP62" s="86"/>
      <c r="CQ62" s="86"/>
      <c r="CT62" s="83"/>
      <c r="CU62" s="86"/>
      <c r="CV62" s="86"/>
      <c r="CW62" s="86"/>
      <c r="CX62" s="86"/>
      <c r="CY62" s="86"/>
      <c r="DB62" s="83"/>
      <c r="DC62" s="86"/>
      <c r="DD62" s="86"/>
      <c r="DE62" s="86"/>
      <c r="DF62" s="86"/>
      <c r="DG62" s="86"/>
    </row>
    <row r="63" spans="2:113" ht="15" thickBot="1">
      <c r="B63" s="507" t="str">
        <f>B42</f>
        <v>With PET-CT 10-50%</v>
      </c>
      <c r="C63" s="505"/>
      <c r="D63" s="505"/>
      <c r="E63" s="505"/>
      <c r="F63" s="505"/>
      <c r="G63" s="506"/>
      <c r="J63" s="507" t="str">
        <f>J42</f>
        <v>With PET-CT 10-50%</v>
      </c>
      <c r="K63" s="505"/>
      <c r="L63" s="505"/>
      <c r="M63" s="505"/>
      <c r="N63" s="505"/>
      <c r="O63" s="506"/>
      <c r="R63" s="507" t="str">
        <f>R42</f>
        <v>With PET-CT 10-50%</v>
      </c>
      <c r="S63" s="505"/>
      <c r="T63" s="505"/>
      <c r="U63" s="505"/>
      <c r="V63" s="505"/>
      <c r="W63" s="506"/>
      <c r="Z63" s="507" t="str">
        <f>Z42</f>
        <v>With PET-CT 10-50%</v>
      </c>
      <c r="AA63" s="505"/>
      <c r="AB63" s="505"/>
      <c r="AC63" s="505"/>
      <c r="AD63" s="505"/>
      <c r="AE63" s="506"/>
      <c r="AH63" s="507" t="str">
        <f>AH42</f>
        <v>With PET-CT 10-50%</v>
      </c>
      <c r="AI63" s="505"/>
      <c r="AJ63" s="505"/>
      <c r="AK63" s="505"/>
      <c r="AL63" s="505"/>
      <c r="AM63" s="506"/>
      <c r="AP63" s="507" t="str">
        <f>AP42</f>
        <v>With PET-CT 10-50%</v>
      </c>
      <c r="AQ63" s="505"/>
      <c r="AR63" s="505"/>
      <c r="AS63" s="505"/>
      <c r="AT63" s="505"/>
      <c r="AU63" s="506"/>
      <c r="AX63" s="507" t="str">
        <f>AX42</f>
        <v>With PET-CT 10-50%</v>
      </c>
      <c r="AY63" s="505"/>
      <c r="AZ63" s="505"/>
      <c r="BA63" s="505"/>
      <c r="BB63" s="505"/>
      <c r="BC63" s="506"/>
      <c r="BF63" s="507" t="str">
        <f>BF42</f>
        <v>With PET-CT 10-50%</v>
      </c>
      <c r="BG63" s="505"/>
      <c r="BH63" s="505"/>
      <c r="BI63" s="505"/>
      <c r="BJ63" s="505"/>
      <c r="BK63" s="506"/>
      <c r="BN63" s="507" t="str">
        <f>BN42</f>
        <v>With PET-CT 10-50%</v>
      </c>
      <c r="BO63" s="505"/>
      <c r="BP63" s="505"/>
      <c r="BQ63" s="505"/>
      <c r="BR63" s="505"/>
      <c r="BS63" s="506"/>
      <c r="BV63" s="507" t="str">
        <f>BV42</f>
        <v>With PET-CT 10-50%</v>
      </c>
      <c r="BW63" s="505"/>
      <c r="BX63" s="505"/>
      <c r="BY63" s="505"/>
      <c r="BZ63" s="505"/>
      <c r="CA63" s="506"/>
      <c r="CD63" s="507" t="str">
        <f>CD42</f>
        <v>With PET-CT 10-50%</v>
      </c>
      <c r="CE63" s="505"/>
      <c r="CF63" s="505"/>
      <c r="CG63" s="505"/>
      <c r="CH63" s="505"/>
      <c r="CI63" s="506"/>
      <c r="CL63" s="507" t="str">
        <f>CL42</f>
        <v>With PET-CT 10-50%</v>
      </c>
      <c r="CM63" s="505"/>
      <c r="CN63" s="505"/>
      <c r="CO63" s="505"/>
      <c r="CP63" s="505"/>
      <c r="CQ63" s="506"/>
      <c r="CT63" s="507" t="str">
        <f>CT42</f>
        <v>With PET-CT 10-50%</v>
      </c>
      <c r="CU63" s="505"/>
      <c r="CV63" s="505"/>
      <c r="CW63" s="505"/>
      <c r="CX63" s="505"/>
      <c r="CY63" s="506"/>
      <c r="DB63" s="507" t="str">
        <f>DB42</f>
        <v>With PET-CT 10-50%</v>
      </c>
      <c r="DC63" s="505"/>
      <c r="DD63" s="505"/>
      <c r="DE63" s="505"/>
      <c r="DF63" s="505"/>
      <c r="DG63" s="506"/>
    </row>
    <row r="64" spans="2:113">
      <c r="B64" s="84"/>
      <c r="C64" s="101">
        <f>C43</f>
        <v>2024</v>
      </c>
      <c r="D64" s="101">
        <f>D43</f>
        <v>2025</v>
      </c>
      <c r="E64" s="101">
        <f>E43</f>
        <v>2026</v>
      </c>
      <c r="F64" s="101">
        <f>F43</f>
        <v>2027</v>
      </c>
      <c r="G64" s="102">
        <f>G43</f>
        <v>2028</v>
      </c>
      <c r="J64" s="84"/>
      <c r="K64" s="101">
        <f>K43</f>
        <v>2024</v>
      </c>
      <c r="L64" s="101">
        <f>L43</f>
        <v>2025</v>
      </c>
      <c r="M64" s="101">
        <f>M43</f>
        <v>2026</v>
      </c>
      <c r="N64" s="101">
        <f>N43</f>
        <v>2027</v>
      </c>
      <c r="O64" s="102">
        <f>O43</f>
        <v>2028</v>
      </c>
      <c r="R64" s="84"/>
      <c r="S64" s="101">
        <f>S43</f>
        <v>2024</v>
      </c>
      <c r="T64" s="101">
        <f>T43</f>
        <v>2025</v>
      </c>
      <c r="U64" s="101">
        <f>U43</f>
        <v>2026</v>
      </c>
      <c r="V64" s="101">
        <f>V43</f>
        <v>2027</v>
      </c>
      <c r="W64" s="102">
        <f>W43</f>
        <v>2028</v>
      </c>
      <c r="Z64" s="84"/>
      <c r="AA64" s="101">
        <f>AA43</f>
        <v>2024</v>
      </c>
      <c r="AB64" s="101">
        <f>AB43</f>
        <v>2025</v>
      </c>
      <c r="AC64" s="101">
        <f>AC43</f>
        <v>2026</v>
      </c>
      <c r="AD64" s="101">
        <f>AD43</f>
        <v>2027</v>
      </c>
      <c r="AE64" s="102">
        <f>AE43</f>
        <v>2028</v>
      </c>
      <c r="AH64" s="84"/>
      <c r="AI64" s="101">
        <f>AI43</f>
        <v>2024</v>
      </c>
      <c r="AJ64" s="101">
        <f>AJ43</f>
        <v>2025</v>
      </c>
      <c r="AK64" s="101">
        <f>AK43</f>
        <v>2026</v>
      </c>
      <c r="AL64" s="101">
        <f>AL43</f>
        <v>2027</v>
      </c>
      <c r="AM64" s="102">
        <f>AM43</f>
        <v>2028</v>
      </c>
      <c r="AP64" s="84"/>
      <c r="AQ64" s="101">
        <f>AQ43</f>
        <v>2024</v>
      </c>
      <c r="AR64" s="101">
        <f>AR43</f>
        <v>2025</v>
      </c>
      <c r="AS64" s="101">
        <f>AS43</f>
        <v>2026</v>
      </c>
      <c r="AT64" s="101">
        <f>AT43</f>
        <v>2027</v>
      </c>
      <c r="AU64" s="102">
        <f>AU43</f>
        <v>2028</v>
      </c>
      <c r="AX64" s="84"/>
      <c r="AY64" s="101">
        <f>AY43</f>
        <v>2024</v>
      </c>
      <c r="AZ64" s="101">
        <f>AZ43</f>
        <v>2025</v>
      </c>
      <c r="BA64" s="101">
        <f>BA43</f>
        <v>2026</v>
      </c>
      <c r="BB64" s="101">
        <f>BB43</f>
        <v>2027</v>
      </c>
      <c r="BC64" s="102">
        <f>BC43</f>
        <v>2028</v>
      </c>
      <c r="BF64" s="84"/>
      <c r="BG64" s="101">
        <f>BG43</f>
        <v>2024</v>
      </c>
      <c r="BH64" s="101">
        <f>BH43</f>
        <v>2025</v>
      </c>
      <c r="BI64" s="101">
        <f>BI43</f>
        <v>2026</v>
      </c>
      <c r="BJ64" s="101">
        <f>BJ43</f>
        <v>2027</v>
      </c>
      <c r="BK64" s="102">
        <f>BK43</f>
        <v>2028</v>
      </c>
      <c r="BN64" s="84"/>
      <c r="BO64" s="101">
        <f>BO43</f>
        <v>2024</v>
      </c>
      <c r="BP64" s="101">
        <f>BP43</f>
        <v>2025</v>
      </c>
      <c r="BQ64" s="101">
        <f>BQ43</f>
        <v>2026</v>
      </c>
      <c r="BR64" s="101">
        <f>BR43</f>
        <v>2027</v>
      </c>
      <c r="BS64" s="102">
        <f>BS43</f>
        <v>2028</v>
      </c>
      <c r="BV64" s="84"/>
      <c r="BW64" s="101">
        <f>BW43</f>
        <v>2024</v>
      </c>
      <c r="BX64" s="101">
        <f>BX43</f>
        <v>2025</v>
      </c>
      <c r="BY64" s="101">
        <f>BY43</f>
        <v>2026</v>
      </c>
      <c r="BZ64" s="101">
        <f>BZ43</f>
        <v>2027</v>
      </c>
      <c r="CA64" s="102">
        <f>CA43</f>
        <v>2028</v>
      </c>
      <c r="CD64" s="84"/>
      <c r="CE64" s="101">
        <f>CE43</f>
        <v>2024</v>
      </c>
      <c r="CF64" s="101">
        <f>CF43</f>
        <v>2025</v>
      </c>
      <c r="CG64" s="101">
        <f>CG43</f>
        <v>2026</v>
      </c>
      <c r="CH64" s="101">
        <f>CH43</f>
        <v>2027</v>
      </c>
      <c r="CI64" s="102">
        <f>CI43</f>
        <v>2028</v>
      </c>
      <c r="CL64" s="84"/>
      <c r="CM64" s="101">
        <f>CM43</f>
        <v>2024</v>
      </c>
      <c r="CN64" s="101">
        <f>CN43</f>
        <v>2025</v>
      </c>
      <c r="CO64" s="101">
        <f>CO43</f>
        <v>2026</v>
      </c>
      <c r="CP64" s="101">
        <f>CP43</f>
        <v>2027</v>
      </c>
      <c r="CQ64" s="102">
        <f>CQ43</f>
        <v>2028</v>
      </c>
      <c r="CT64" s="84"/>
      <c r="CU64" s="101">
        <f>CU43</f>
        <v>2024</v>
      </c>
      <c r="CV64" s="101">
        <f>CV43</f>
        <v>2025</v>
      </c>
      <c r="CW64" s="101">
        <f>CW43</f>
        <v>2026</v>
      </c>
      <c r="CX64" s="101">
        <f>CX43</f>
        <v>2027</v>
      </c>
      <c r="CY64" s="102">
        <f>CY43</f>
        <v>2028</v>
      </c>
      <c r="DB64" s="84"/>
      <c r="DC64" s="101">
        <f>DC43</f>
        <v>2024</v>
      </c>
      <c r="DD64" s="101">
        <f>DD43</f>
        <v>2025</v>
      </c>
      <c r="DE64" s="101">
        <f>DE43</f>
        <v>2026</v>
      </c>
      <c r="DF64" s="101">
        <f>DF43</f>
        <v>2027</v>
      </c>
      <c r="DG64" s="102">
        <f>DG43</f>
        <v>2028</v>
      </c>
    </row>
    <row r="65" spans="2:113" s="83" customFormat="1" ht="15" thickBot="1">
      <c r="B65" s="386"/>
      <c r="C65" s="388">
        <f ca="1">(C23*ci_int1)+(C23*ct_int1*'Time on treatment'!$D$12)</f>
        <v>1590669.5866445473</v>
      </c>
      <c r="D65" s="388">
        <f ca="1">((D23-C23)*ci_int1)+(D23*ct_int1*'Time on treatment'!$D$12)</f>
        <v>1610320.6321744705</v>
      </c>
      <c r="E65" s="388">
        <f ca="1">((E23-(D23-C23)-C23)*ci_int1)+(E23*ct_int1*'Time on treatment'!$D$12)</f>
        <v>1628717.8892322725</v>
      </c>
      <c r="F65" s="388">
        <f ca="1">((F23-(E23-D23)-(D23-C23)-C23)*ci_int1)+(F23*ct_int1*'Time on treatment'!$D$12)</f>
        <v>1645816.3745339583</v>
      </c>
      <c r="G65" s="389">
        <f ca="1">((G23-(F23-E23)-(E23-D23)-(D23-C23)-C23)*ci_int1)+(G23*ct_int1*'Time on treatment'!$D$12)</f>
        <v>1661571.2144039208</v>
      </c>
      <c r="H65" s="77"/>
      <c r="I65" s="77"/>
      <c r="J65" s="386"/>
      <c r="K65" s="388">
        <f ca="1">(K23*ci_int2)+(K23*ct_int2*'Time on treatment'!$D$12)</f>
        <v>0</v>
      </c>
      <c r="L65" s="388">
        <f ca="1">((L23-K23)*ci_int2)+(L23*ct_int2*'Time on treatment'!$D$12)</f>
        <v>0</v>
      </c>
      <c r="M65" s="388">
        <f ca="1">((M23-(L23-K23)-K23)*ci_int2)+(M23*ct_int2*'Time on treatment'!$D$12)</f>
        <v>0</v>
      </c>
      <c r="N65" s="388">
        <f ca="1">((N23-(M23-L23)-(L23-K23)-K23)*ci_int2)+(N23*ct_int2*'Time on treatment'!$D$12)</f>
        <v>0</v>
      </c>
      <c r="O65" s="389">
        <f ca="1">((O23-(N23-M23)-(M23-L23)-(L23-K23)-K23)*ci_int2)+(O23*ct_int2*'Time on treatment'!$D$12)</f>
        <v>0</v>
      </c>
      <c r="P65" s="77"/>
      <c r="Q65" s="77"/>
      <c r="R65" s="386"/>
      <c r="S65" s="388">
        <f ca="1">(S23*ci_int3)+(S23*ct_int3*'Time on treatment'!$D$12)</f>
        <v>0</v>
      </c>
      <c r="T65" s="388">
        <f ca="1">((T23-S23)*ci_int3)+(T23*ct_int3*'Time on treatment'!$D$12)</f>
        <v>0</v>
      </c>
      <c r="U65" s="388">
        <f ca="1">((U23-(T23-S23)-S23)*ci_int3)+(U23*ct_int3*'Time on treatment'!$D$12)</f>
        <v>0</v>
      </c>
      <c r="V65" s="388">
        <f ca="1">((V23-(U23-T23)-(T23-S23)-S23)*ci_int3)+(V23*ct_int3*'Time on treatment'!$D$12)</f>
        <v>0</v>
      </c>
      <c r="W65" s="389">
        <f ca="1">((W23-(V23-U23)-(U23-T23)-(T23-S23)-S23)*ci_int3)+(W23*ct_int3*'Time on treatment'!$D$12)</f>
        <v>0</v>
      </c>
      <c r="X65" s="77"/>
      <c r="Y65" s="77"/>
      <c r="Z65" s="386"/>
      <c r="AA65" s="388">
        <f ca="1">(AA23*ci_int4)+(AA23*ct_int4*'Time on treatment'!$D$12)</f>
        <v>0</v>
      </c>
      <c r="AB65" s="388">
        <f ca="1">((AB23-AA23)*ci_int4)+(AB23*ct_int4*'Time on treatment'!$D$12)</f>
        <v>0</v>
      </c>
      <c r="AC65" s="388">
        <f ca="1">((AC23-(AB23-AA23)-AA23)*ci_int4)+(AC23*ct_int4*'Time on treatment'!$D$12)</f>
        <v>0</v>
      </c>
      <c r="AD65" s="388">
        <f ca="1">((AD23-(AC23-AB23)-(AB23-AA23)-AA23)*ci_int4)+(AD23*ct_int4*'Time on treatment'!$D$12)</f>
        <v>0</v>
      </c>
      <c r="AE65" s="389">
        <f ca="1">((AE23-(AD23-AC23)-(AC23-AB23)-(AB23-AA23)-AA23)*ci_int4)+(AE23*ct_int4*'Time on treatment'!$D$12)</f>
        <v>0</v>
      </c>
      <c r="AF65" s="77"/>
      <c r="AG65" s="77"/>
      <c r="AH65" s="386"/>
      <c r="AI65" s="388">
        <f ca="1">(AI23*ci_comp1)+(AI23*ct_comp1*'Time on treatment'!$D$12)</f>
        <v>5256429.9169366583</v>
      </c>
      <c r="AJ65" s="388">
        <f ca="1">((AJ23-AI23)*ci_comp1)+(AJ23*ct_comp1*'Time on treatment'!$D$12)</f>
        <v>-555186.59112295904</v>
      </c>
      <c r="AK65" s="388">
        <f ca="1">((AK23-(AJ23-AI23)-AI23)*ci_comp1)+(AK23*ct_comp1*'Time on treatment'!$D$12)</f>
        <v>-563476.04664993554</v>
      </c>
      <c r="AL65" s="388">
        <f ca="1">((AL23-(AK23-AJ23)-(AJ23-AI23)-AI23)*ci_comp1)+(AL23*ct_comp1*'Time on treatment'!$D$12)</f>
        <v>-571329.92222666123</v>
      </c>
      <c r="AM65" s="389">
        <f ca="1">((AM23-(AL23-AK23)-(AK23-AJ23)-(AJ23-AI23)-AI23)*ci_comp1)+(AM23*ct_comp1*'Time on treatment'!$D$12)</f>
        <v>-578731.66105001757</v>
      </c>
      <c r="AN65" s="77"/>
      <c r="AO65" s="77"/>
      <c r="AP65" s="386"/>
      <c r="AQ65" s="388">
        <f ca="1">(AQ23*ci_comp2)+(AQ23*ct_comp2*'Time on treatment'!$D$12)</f>
        <v>0</v>
      </c>
      <c r="AR65" s="388">
        <f ca="1">((AR23-AQ23)*ci_comp2)+(AR23*ct_comp2*'Time on treatment'!$D$12)</f>
        <v>0</v>
      </c>
      <c r="AS65" s="388">
        <f ca="1">((AS23-(AR23-AQ23)-AQ23)*ci_comp2)+(AS23*ct_comp2*'Time on treatment'!$D$12)</f>
        <v>0</v>
      </c>
      <c r="AT65" s="388">
        <f ca="1">((AT23-(AS23-AR23)-(AR23-AQ23)-AQ23)*ci_comp2)+(AT23*ct_comp2*'Time on treatment'!$D$12)</f>
        <v>0</v>
      </c>
      <c r="AU65" s="389">
        <f ca="1">((AU23-(AT23-AS23)-(AS23-AR23)-(AR23-AQ23)-AQ23)*ci_comp2)+(AU23*ct_comp2*'Time on treatment'!$D$12)</f>
        <v>0</v>
      </c>
      <c r="AV65" s="77"/>
      <c r="AW65" s="77"/>
      <c r="AX65" s="386"/>
      <c r="AY65" s="388">
        <f ca="1">(AY23*ci_comp3)+(AY23*ct_comp3*'Time on treatment'!$D$12)</f>
        <v>0</v>
      </c>
      <c r="AZ65" s="388">
        <f ca="1">((AZ23-AY23)*ci_comp3)+(AZ23*ct_comp3*'Time on treatment'!$D$12)</f>
        <v>0</v>
      </c>
      <c r="BA65" s="388">
        <f ca="1">((BA23-(AZ23-AY23)-AY23)*ci_comp3)+(BA23*ct_comp3*'Time on treatment'!$D$12)</f>
        <v>0</v>
      </c>
      <c r="BB65" s="388">
        <f ca="1">((BB23-(BA23-AZ23)-(AZ23-AY23)-AY23)*ci_comp3)+(BB23*ct_comp3*'Time on treatment'!$D$12)</f>
        <v>0</v>
      </c>
      <c r="BC65" s="389">
        <f ca="1">((BC23-(BB23-BA23)-(BA23-AZ23)-(AZ23-AY23)-AY23)*ci_comp3)+(BC23*ct_comp3*'Time on treatment'!$D$12)</f>
        <v>0</v>
      </c>
      <c r="BD65" s="77"/>
      <c r="BE65" s="77"/>
      <c r="BF65" s="386"/>
      <c r="BG65" s="388">
        <f ca="1">(BG23*ci_comp4)+(BG23*ct_comp4*'Time on treatment'!$D$12)</f>
        <v>0</v>
      </c>
      <c r="BH65" s="388">
        <f ca="1">((BH23-BG23)*ci_comp4)+(BH23*ct_comp4*'Time on treatment'!$D$12)</f>
        <v>0</v>
      </c>
      <c r="BI65" s="388">
        <f ca="1">((BI23-(BH23-BG23)-BG23)*ci_comp4)+(BI23*ct_comp4*'Time on treatment'!$D$12)</f>
        <v>0</v>
      </c>
      <c r="BJ65" s="388">
        <f ca="1">((BJ23-(BI23-BH23)-(BH23-BG23)-BG23)*ci_comp4)+(BJ23*ct_comp4*'Time on treatment'!$D$12)</f>
        <v>0</v>
      </c>
      <c r="BK65" s="389">
        <f ca="1">((BK23-(BJ23-BI23)-(BI23-BH23)-(BH23-BG23)-BG23)*ci_comp4)+(BK23*ct_comp4*'Time on treatment'!$D$12)</f>
        <v>0</v>
      </c>
      <c r="BL65" s="77"/>
      <c r="BM65" s="77"/>
      <c r="BN65" s="386"/>
      <c r="BO65" s="388">
        <f ca="1">(BO23*ci_comp5)+(BO23*ct_comp5*'Time on treatment'!$D$12)</f>
        <v>0</v>
      </c>
      <c r="BP65" s="388">
        <f ca="1">((BP23-BO23)*ci_comp5)+(BP23*ct_comp5*'Time on treatment'!$D$12)</f>
        <v>0</v>
      </c>
      <c r="BQ65" s="388">
        <f ca="1">((BQ23-(BP23-BO23)-BO23)*ci_comp5)+(BQ23*ct_comp5*'Time on treatment'!$D$12)</f>
        <v>0</v>
      </c>
      <c r="BR65" s="388">
        <f ca="1">((BR23-(BQ23-BP23)-(BP23-BO23)-BO23)*ci_comp5)+(BR23*ct_comp5*'Time on treatment'!$D$12)</f>
        <v>0</v>
      </c>
      <c r="BS65" s="389">
        <f ca="1">((BS23-(BR23-BQ23)-(BQ23-BP23)-(BP23-BO23)-BO23)*ci_comp5)+(BS23*ct_comp5*'Time on treatment'!$D$12)</f>
        <v>0</v>
      </c>
      <c r="BT65" s="77"/>
      <c r="BU65" s="77"/>
      <c r="BV65" s="386"/>
      <c r="BW65" s="388">
        <f ca="1">(BW23*ci_comp6)+(BW23*ct_comp6*'Time on treatment'!$D$12)</f>
        <v>0</v>
      </c>
      <c r="BX65" s="388">
        <f ca="1">((BX23-BW23)*ci_comp6)+(BX23*ct_comp6*'Time on treatment'!$D$12)</f>
        <v>0</v>
      </c>
      <c r="BY65" s="388">
        <f ca="1">((BY23-(BX23-BW23)-BW23)*ci_comp6)+(BY23*ct_comp6*'Time on treatment'!$D$12)</f>
        <v>0</v>
      </c>
      <c r="BZ65" s="388">
        <f ca="1">((BZ23-(BY23-BX23)-(BX23-BW23)-BW23)*ci_comp6)+(BZ23*ct_comp6*'Time on treatment'!$D$12)</f>
        <v>0</v>
      </c>
      <c r="CA65" s="389">
        <f ca="1">((CA23-(BZ23-BY23)-(BY23-BX23)-(BX23-BW23)-BW23)*ci_comp6)+(CA23*ct_comp6*'Time on treatment'!$D$12)</f>
        <v>0</v>
      </c>
      <c r="CB65" s="77"/>
      <c r="CC65" s="77"/>
      <c r="CD65" s="386"/>
      <c r="CE65" s="388">
        <f ca="1">(CE23*ci_comp7)+(CE23*ct_comp7*'Time on treatment'!$D$12)</f>
        <v>0</v>
      </c>
      <c r="CF65" s="388">
        <f ca="1">((CF23-CE23)*ci_comp7)+(CF23*ct_comp7*'Time on treatment'!$D$12)</f>
        <v>0</v>
      </c>
      <c r="CG65" s="388">
        <f ca="1">((CG23-(CF23-CE23)-CE23)*ci_comp7)+(CG23*ct_comp7*'Time on treatment'!$D$12)</f>
        <v>0</v>
      </c>
      <c r="CH65" s="388">
        <f ca="1">((CH23-(CG23-CF23)-(CF23-CE23)-CE23)*ci_comp7)+(CH23*ct_comp7*'Time on treatment'!$D$12)</f>
        <v>0</v>
      </c>
      <c r="CI65" s="389">
        <f ca="1">((CI23-(CH23-CG23)-(CG23-CF23)-(CF23-CE23)-CE23)*ci_comp7)+(CI23*ct_comp7*'Time on treatment'!$D$12)</f>
        <v>0</v>
      </c>
      <c r="CJ65" s="77"/>
      <c r="CK65" s="77"/>
      <c r="CL65" s="386"/>
      <c r="CM65" s="388">
        <f ca="1">(CM23*ci_comp8)+(CM23*ct_comp8*'Time on treatment'!$D$12)</f>
        <v>0</v>
      </c>
      <c r="CN65" s="388">
        <f ca="1">((CN23-CM23)*ci_comp8)+(CN23*ct_comp8*'Time on treatment'!$D$12)</f>
        <v>0</v>
      </c>
      <c r="CO65" s="388">
        <f ca="1">((CO23-(CN23-CM23)-CM23)*ci_comp8)+(CO23*ct_comp8*'Time on treatment'!$D$12)</f>
        <v>0</v>
      </c>
      <c r="CP65" s="388">
        <f ca="1">((CP23-(CO23-CN23)-(CN23-CM23)-CM23)*ci_comp8)+(CP23*ct_comp8*'Time on treatment'!$D$12)</f>
        <v>0</v>
      </c>
      <c r="CQ65" s="389">
        <f ca="1">((CQ23-(CP23-CO23)-(CO23-CN23)-(CN23-CM23)-CM23)*ci_comp8)+(CQ23*ct_comp8*'Time on treatment'!$D$12)</f>
        <v>0</v>
      </c>
      <c r="CR65" s="77"/>
      <c r="CS65" s="77"/>
      <c r="CT65" s="386"/>
      <c r="CU65" s="388">
        <f ca="1">(CU23*ci_comp9)+(CU23*ct_comp9*'Time on treatment'!$D$12)</f>
        <v>0</v>
      </c>
      <c r="CV65" s="388">
        <f ca="1">((CV23-CU23)*ci_comp9)+(CV23*ct_comp9*'Time on treatment'!$D$12)</f>
        <v>0</v>
      </c>
      <c r="CW65" s="388">
        <f ca="1">((CW23-(CV23-CU23)-CU23)*ci_comp9)+(CW23*ct_comp9*'Time on treatment'!$D$12)</f>
        <v>0</v>
      </c>
      <c r="CX65" s="388">
        <f ca="1">((CX23-(CW23-CV23)-(CV23-CU23)-CU23)*ci_comp9)+(CX23*ct_comp9*'Time on treatment'!$D$12)</f>
        <v>0</v>
      </c>
      <c r="CY65" s="389">
        <f ca="1">((CY23-(CX23-CW23)-(CW23-CV23)-(CV23-CU23)-CU23)*ci_comp9)+(CY23*ct_comp9*'Time on treatment'!$D$12)</f>
        <v>0</v>
      </c>
      <c r="CZ65" s="77"/>
      <c r="DA65" s="77"/>
      <c r="DB65" s="386"/>
      <c r="DC65" s="388">
        <f ca="1">(DC23*ci_comp10)+(DC23*ct_comp10*'Time on treatment'!$D$12)</f>
        <v>0</v>
      </c>
      <c r="DD65" s="388">
        <f ca="1">((DD23-DC23)*ci_comp10)+(DD23*ct_comp10*'Time on treatment'!$D$12)</f>
        <v>0</v>
      </c>
      <c r="DE65" s="388">
        <f ca="1">((DE23-(DD23-DC23)-DC23)*ci_comp10)+(DE23*ct_comp10*'Time on treatment'!$D$12)</f>
        <v>0</v>
      </c>
      <c r="DF65" s="388">
        <f ca="1">((DF23-(DE23-DD23)-(DD23-DC23)-DC23)*ci_comp10)+(DF23*ct_comp10*'Time on treatment'!$D$12)</f>
        <v>0</v>
      </c>
      <c r="DG65" s="389">
        <f ca="1">((DG23-(DF23-DE23)-(DE23-DD23)-(DD23-DC23)-DC23)*ci_comp10)+(DG23*ct_comp10*'Time on treatment'!$D$12)</f>
        <v>0</v>
      </c>
      <c r="DH65" s="77"/>
      <c r="DI65" s="77"/>
    </row>
    <row r="66" spans="2:113" ht="15" thickBot="1">
      <c r="B66" s="83"/>
      <c r="C66" s="83"/>
      <c r="D66" s="83"/>
      <c r="E66" s="83"/>
      <c r="F66" s="83"/>
      <c r="G66" s="83"/>
      <c r="J66" s="83"/>
      <c r="K66" s="83"/>
      <c r="L66" s="83"/>
      <c r="M66" s="83"/>
      <c r="N66" s="83"/>
      <c r="O66" s="83"/>
      <c r="R66" s="83"/>
      <c r="S66" s="83"/>
      <c r="T66" s="83"/>
      <c r="U66" s="83"/>
      <c r="V66" s="83"/>
      <c r="W66" s="83"/>
      <c r="Z66" s="83"/>
      <c r="AA66" s="83"/>
      <c r="AB66" s="83"/>
      <c r="AC66" s="83"/>
      <c r="AD66" s="83"/>
      <c r="AE66" s="83"/>
      <c r="AH66" s="83"/>
      <c r="AI66" s="83"/>
      <c r="AJ66" s="83"/>
      <c r="AK66" s="83"/>
      <c r="AL66" s="83"/>
      <c r="AM66" s="83"/>
      <c r="AP66" s="83"/>
      <c r="AQ66" s="83"/>
      <c r="AR66" s="83"/>
      <c r="AS66" s="83"/>
      <c r="AT66" s="83"/>
      <c r="AU66" s="83"/>
      <c r="AX66" s="83"/>
      <c r="AY66" s="83"/>
      <c r="AZ66" s="83"/>
      <c r="BA66" s="83"/>
      <c r="BB66" s="83"/>
      <c r="BC66" s="83"/>
      <c r="BF66" s="83"/>
      <c r="BG66" s="83"/>
      <c r="BH66" s="83"/>
      <c r="BI66" s="83"/>
      <c r="BJ66" s="83"/>
      <c r="BK66" s="83"/>
      <c r="BN66" s="83"/>
      <c r="BO66" s="83"/>
      <c r="BP66" s="83"/>
      <c r="BQ66" s="83"/>
      <c r="BR66" s="83"/>
      <c r="BS66" s="83"/>
      <c r="BV66" s="83"/>
      <c r="BW66" s="83"/>
      <c r="BX66" s="83"/>
      <c r="BY66" s="83"/>
      <c r="BZ66" s="83"/>
      <c r="CA66" s="83"/>
      <c r="CD66" s="83"/>
      <c r="CE66" s="83"/>
      <c r="CF66" s="83"/>
      <c r="CG66" s="83"/>
      <c r="CH66" s="83"/>
      <c r="CI66" s="83"/>
      <c r="CL66" s="83"/>
      <c r="CM66" s="83"/>
      <c r="CN66" s="83"/>
      <c r="CO66" s="83"/>
      <c r="CP66" s="83"/>
      <c r="CQ66" s="83"/>
      <c r="CT66" s="83"/>
      <c r="CU66" s="83"/>
      <c r="CV66" s="83"/>
      <c r="CW66" s="83"/>
      <c r="CX66" s="83"/>
      <c r="CY66" s="83"/>
      <c r="DB66" s="83"/>
      <c r="DC66" s="83"/>
      <c r="DD66" s="83"/>
      <c r="DE66" s="83"/>
      <c r="DF66" s="83"/>
      <c r="DG66" s="83"/>
    </row>
    <row r="67" spans="2:113" ht="15" thickBot="1">
      <c r="B67" s="507">
        <f>B46</f>
        <v>0</v>
      </c>
      <c r="C67" s="505"/>
      <c r="D67" s="505"/>
      <c r="E67" s="505"/>
      <c r="F67" s="505"/>
      <c r="G67" s="506"/>
      <c r="J67" s="507">
        <f>J46</f>
        <v>0</v>
      </c>
      <c r="K67" s="505"/>
      <c r="L67" s="505"/>
      <c r="M67" s="505"/>
      <c r="N67" s="505"/>
      <c r="O67" s="506"/>
      <c r="R67" s="507">
        <f>R46</f>
        <v>0</v>
      </c>
      <c r="S67" s="505"/>
      <c r="T67" s="505"/>
      <c r="U67" s="505"/>
      <c r="V67" s="505"/>
      <c r="W67" s="506"/>
      <c r="Z67" s="507">
        <f>Z46</f>
        <v>0</v>
      </c>
      <c r="AA67" s="505"/>
      <c r="AB67" s="505"/>
      <c r="AC67" s="505"/>
      <c r="AD67" s="505"/>
      <c r="AE67" s="506"/>
      <c r="AH67" s="507">
        <f>AH46</f>
        <v>0</v>
      </c>
      <c r="AI67" s="505"/>
      <c r="AJ67" s="505"/>
      <c r="AK67" s="505"/>
      <c r="AL67" s="505"/>
      <c r="AM67" s="506"/>
      <c r="AP67" s="507">
        <f>AP46</f>
        <v>0</v>
      </c>
      <c r="AQ67" s="505"/>
      <c r="AR67" s="505"/>
      <c r="AS67" s="505"/>
      <c r="AT67" s="505"/>
      <c r="AU67" s="506"/>
      <c r="AX67" s="507">
        <f>AX46</f>
        <v>0</v>
      </c>
      <c r="AY67" s="505"/>
      <c r="AZ67" s="505"/>
      <c r="BA67" s="505"/>
      <c r="BB67" s="505"/>
      <c r="BC67" s="506"/>
      <c r="BF67" s="507">
        <f>BF46</f>
        <v>0</v>
      </c>
      <c r="BG67" s="505"/>
      <c r="BH67" s="505"/>
      <c r="BI67" s="505"/>
      <c r="BJ67" s="505"/>
      <c r="BK67" s="506"/>
      <c r="BN67" s="507">
        <f>BN46</f>
        <v>0</v>
      </c>
      <c r="BO67" s="505"/>
      <c r="BP67" s="505"/>
      <c r="BQ67" s="505"/>
      <c r="BR67" s="505"/>
      <c r="BS67" s="506"/>
      <c r="BV67" s="507">
        <f>BV46</f>
        <v>0</v>
      </c>
      <c r="BW67" s="505"/>
      <c r="BX67" s="505"/>
      <c r="BY67" s="505"/>
      <c r="BZ67" s="505"/>
      <c r="CA67" s="506"/>
      <c r="CD67" s="507">
        <f>CD46</f>
        <v>0</v>
      </c>
      <c r="CE67" s="505"/>
      <c r="CF67" s="505"/>
      <c r="CG67" s="505"/>
      <c r="CH67" s="505"/>
      <c r="CI67" s="506"/>
      <c r="CL67" s="507">
        <f>CL46</f>
        <v>0</v>
      </c>
      <c r="CM67" s="505"/>
      <c r="CN67" s="505"/>
      <c r="CO67" s="505"/>
      <c r="CP67" s="505"/>
      <c r="CQ67" s="506"/>
      <c r="CT67" s="507">
        <f>CT46</f>
        <v>0</v>
      </c>
      <c r="CU67" s="505"/>
      <c r="CV67" s="505"/>
      <c r="CW67" s="505"/>
      <c r="CX67" s="505"/>
      <c r="CY67" s="506"/>
      <c r="DB67" s="507">
        <f>DB46</f>
        <v>0</v>
      </c>
      <c r="DC67" s="505"/>
      <c r="DD67" s="505"/>
      <c r="DE67" s="505"/>
      <c r="DF67" s="505"/>
      <c r="DG67" s="506"/>
    </row>
    <row r="68" spans="2:113">
      <c r="B68" s="84"/>
      <c r="C68" s="101">
        <f>C47</f>
        <v>2024</v>
      </c>
      <c r="D68" s="101">
        <f t="shared" ref="D68:F68" si="70">D47</f>
        <v>2025</v>
      </c>
      <c r="E68" s="101">
        <f t="shared" si="70"/>
        <v>2026</v>
      </c>
      <c r="F68" s="101">
        <f t="shared" si="70"/>
        <v>2027</v>
      </c>
      <c r="G68" s="102">
        <f>G47</f>
        <v>2028</v>
      </c>
      <c r="J68" s="84"/>
      <c r="K68" s="101">
        <f>K47</f>
        <v>2024</v>
      </c>
      <c r="L68" s="101">
        <f t="shared" ref="L68:N68" si="71">L47</f>
        <v>2025</v>
      </c>
      <c r="M68" s="101">
        <f t="shared" si="71"/>
        <v>2026</v>
      </c>
      <c r="N68" s="101">
        <f t="shared" si="71"/>
        <v>2027</v>
      </c>
      <c r="O68" s="102">
        <f>O47</f>
        <v>2028</v>
      </c>
      <c r="R68" s="84"/>
      <c r="S68" s="101">
        <f>S47</f>
        <v>2024</v>
      </c>
      <c r="T68" s="101">
        <f t="shared" ref="T68:V68" si="72">T47</f>
        <v>2025</v>
      </c>
      <c r="U68" s="101">
        <f t="shared" si="72"/>
        <v>2026</v>
      </c>
      <c r="V68" s="101">
        <f t="shared" si="72"/>
        <v>2027</v>
      </c>
      <c r="W68" s="102">
        <f>W47</f>
        <v>2028</v>
      </c>
      <c r="Z68" s="84"/>
      <c r="AA68" s="101">
        <f>AA47</f>
        <v>2024</v>
      </c>
      <c r="AB68" s="101">
        <f t="shared" ref="AB68:AD68" si="73">AB47</f>
        <v>2025</v>
      </c>
      <c r="AC68" s="101">
        <f t="shared" si="73"/>
        <v>2026</v>
      </c>
      <c r="AD68" s="101">
        <f t="shared" si="73"/>
        <v>2027</v>
      </c>
      <c r="AE68" s="102">
        <f>AE47</f>
        <v>2028</v>
      </c>
      <c r="AH68" s="84"/>
      <c r="AI68" s="101">
        <f>AI47</f>
        <v>2024</v>
      </c>
      <c r="AJ68" s="101">
        <f t="shared" ref="AJ68:AL68" si="74">AJ47</f>
        <v>2025</v>
      </c>
      <c r="AK68" s="101">
        <f t="shared" si="74"/>
        <v>2026</v>
      </c>
      <c r="AL68" s="101">
        <f t="shared" si="74"/>
        <v>2027</v>
      </c>
      <c r="AM68" s="102">
        <f>AM47</f>
        <v>2028</v>
      </c>
      <c r="AP68" s="84"/>
      <c r="AQ68" s="101">
        <f>AQ47</f>
        <v>2024</v>
      </c>
      <c r="AR68" s="101">
        <f t="shared" ref="AR68:AT68" si="75">AR47</f>
        <v>2025</v>
      </c>
      <c r="AS68" s="101">
        <f t="shared" si="75"/>
        <v>2026</v>
      </c>
      <c r="AT68" s="101">
        <f t="shared" si="75"/>
        <v>2027</v>
      </c>
      <c r="AU68" s="102">
        <f>AU47</f>
        <v>2028</v>
      </c>
      <c r="AX68" s="84"/>
      <c r="AY68" s="101">
        <f>AY47</f>
        <v>2024</v>
      </c>
      <c r="AZ68" s="101">
        <f t="shared" ref="AZ68:BB68" si="76">AZ47</f>
        <v>2025</v>
      </c>
      <c r="BA68" s="101">
        <f t="shared" si="76"/>
        <v>2026</v>
      </c>
      <c r="BB68" s="101">
        <f t="shared" si="76"/>
        <v>2027</v>
      </c>
      <c r="BC68" s="102">
        <f>BC47</f>
        <v>2028</v>
      </c>
      <c r="BF68" s="84"/>
      <c r="BG68" s="101">
        <f>BG47</f>
        <v>2024</v>
      </c>
      <c r="BH68" s="101">
        <f t="shared" ref="BH68:BJ68" si="77">BH47</f>
        <v>2025</v>
      </c>
      <c r="BI68" s="101">
        <f t="shared" si="77"/>
        <v>2026</v>
      </c>
      <c r="BJ68" s="101">
        <f t="shared" si="77"/>
        <v>2027</v>
      </c>
      <c r="BK68" s="102">
        <f>BK47</f>
        <v>2028</v>
      </c>
      <c r="BN68" s="84"/>
      <c r="BO68" s="101">
        <f>BO47</f>
        <v>2024</v>
      </c>
      <c r="BP68" s="101">
        <f t="shared" ref="BP68:BR68" si="78">BP47</f>
        <v>2025</v>
      </c>
      <c r="BQ68" s="101">
        <f t="shared" si="78"/>
        <v>2026</v>
      </c>
      <c r="BR68" s="101">
        <f t="shared" si="78"/>
        <v>2027</v>
      </c>
      <c r="BS68" s="102">
        <f>BS47</f>
        <v>2028</v>
      </c>
      <c r="BV68" s="84"/>
      <c r="BW68" s="101">
        <f>BW47</f>
        <v>2024</v>
      </c>
      <c r="BX68" s="101">
        <f t="shared" ref="BX68:BZ68" si="79">BX47</f>
        <v>2025</v>
      </c>
      <c r="BY68" s="101">
        <f t="shared" si="79"/>
        <v>2026</v>
      </c>
      <c r="BZ68" s="101">
        <f t="shared" si="79"/>
        <v>2027</v>
      </c>
      <c r="CA68" s="102">
        <f>CA47</f>
        <v>2028</v>
      </c>
      <c r="CD68" s="84"/>
      <c r="CE68" s="101">
        <f>CE47</f>
        <v>2024</v>
      </c>
      <c r="CF68" s="101">
        <f t="shared" ref="CF68:CH68" si="80">CF47</f>
        <v>2025</v>
      </c>
      <c r="CG68" s="101">
        <f t="shared" si="80"/>
        <v>2026</v>
      </c>
      <c r="CH68" s="101">
        <f t="shared" si="80"/>
        <v>2027</v>
      </c>
      <c r="CI68" s="102">
        <f>CI47</f>
        <v>2028</v>
      </c>
      <c r="CL68" s="84"/>
      <c r="CM68" s="101">
        <f>CM47</f>
        <v>2024</v>
      </c>
      <c r="CN68" s="101">
        <f t="shared" ref="CN68:CP68" si="81">CN47</f>
        <v>2025</v>
      </c>
      <c r="CO68" s="101">
        <f t="shared" si="81"/>
        <v>2026</v>
      </c>
      <c r="CP68" s="101">
        <f t="shared" si="81"/>
        <v>2027</v>
      </c>
      <c r="CQ68" s="102">
        <f>CQ47</f>
        <v>2028</v>
      </c>
      <c r="CT68" s="84"/>
      <c r="CU68" s="101">
        <f>CU47</f>
        <v>2024</v>
      </c>
      <c r="CV68" s="101">
        <f t="shared" ref="CV68:CX68" si="82">CV47</f>
        <v>2025</v>
      </c>
      <c r="CW68" s="101">
        <f t="shared" si="82"/>
        <v>2026</v>
      </c>
      <c r="CX68" s="101">
        <f t="shared" si="82"/>
        <v>2027</v>
      </c>
      <c r="CY68" s="102">
        <f>CY47</f>
        <v>2028</v>
      </c>
      <c r="DB68" s="84"/>
      <c r="DC68" s="101">
        <f>DC47</f>
        <v>2024</v>
      </c>
      <c r="DD68" s="101">
        <f t="shared" ref="DD68:DF68" si="83">DD47</f>
        <v>2025</v>
      </c>
      <c r="DE68" s="101">
        <f t="shared" si="83"/>
        <v>2026</v>
      </c>
      <c r="DF68" s="101">
        <f t="shared" si="83"/>
        <v>2027</v>
      </c>
      <c r="DG68" s="102">
        <f>DG47</f>
        <v>2028</v>
      </c>
    </row>
    <row r="69" spans="2:113" s="83" customFormat="1" ht="15" thickBot="1">
      <c r="B69" s="386"/>
      <c r="C69" s="388">
        <f ca="1">(C27*ci_int1)+(C27*ct_int1*'Time on treatment'!$D$12)</f>
        <v>0</v>
      </c>
      <c r="D69" s="388">
        <f ca="1">((D27-C27)*ci_int1)+(D27*ct_int1*'Time on treatment'!$D$12)</f>
        <v>0</v>
      </c>
      <c r="E69" s="388">
        <f ca="1">((E27-(D27-C27)-C27)*ci_int1)+(E27*ct_int1*'Time on treatment'!$D$12)</f>
        <v>0</v>
      </c>
      <c r="F69" s="388">
        <f ca="1">((F27-(E27-D27)-(D27-C27)-C27)*ci_int1)+(F27*ct_int1*'Time on treatment'!$D$12)</f>
        <v>0</v>
      </c>
      <c r="G69" s="389">
        <f ca="1">((G27-(F27-E27)-(E27-D27)-(D27-C27)-C27)*ci_int1)+(G27*ct_int1*'Time on treatment'!$D$12)</f>
        <v>0</v>
      </c>
      <c r="H69" s="77"/>
      <c r="I69" s="77"/>
      <c r="J69" s="386"/>
      <c r="K69" s="388">
        <f ca="1">(K27*ci_int2)+(K27*ct_int2*'Time on treatment'!$D$12)</f>
        <v>0</v>
      </c>
      <c r="L69" s="388">
        <f ca="1">((L27-K27)*ci_int2)+(L27*ct_int2*'Time on treatment'!$D$12)</f>
        <v>0</v>
      </c>
      <c r="M69" s="388">
        <f ca="1">((M27-(L27-K27)-K27)*ci_int2)+(M27*ct_int2*'Time on treatment'!$D$12)</f>
        <v>0</v>
      </c>
      <c r="N69" s="388">
        <f ca="1">((N27-(M27-L27)-(L27-K27)-K27)*ci_int2)+(N27*ct_int2*'Time on treatment'!$D$12)</f>
        <v>0</v>
      </c>
      <c r="O69" s="389">
        <f ca="1">((O27-(N27-M27)-(M27-L27)-(L27-K27)-K27)*ci_int2)+(O27*ct_int2*'Time on treatment'!$D$12)</f>
        <v>0</v>
      </c>
      <c r="P69" s="77"/>
      <c r="Q69" s="77"/>
      <c r="R69" s="386"/>
      <c r="S69" s="388">
        <f ca="1">(S27*ci_int3)+(S27*ct_int3*'Time on treatment'!$D$12)</f>
        <v>0</v>
      </c>
      <c r="T69" s="388">
        <f ca="1">((T27-S27)*ci_int3)+(T27*ct_int3*'Time on treatment'!$D$12)</f>
        <v>0</v>
      </c>
      <c r="U69" s="388">
        <f ca="1">((U27-(T27-S27)-S27)*ci_int3)+(U27*ct_int3*'Time on treatment'!$D$12)</f>
        <v>0</v>
      </c>
      <c r="V69" s="388">
        <f ca="1">((V27-(U27-T27)-(T27-S27)-S27)*ci_int3)+(V27*ct_int3*'Time on treatment'!$D$12)</f>
        <v>0</v>
      </c>
      <c r="W69" s="389">
        <f ca="1">((W27-(V27-U27)-(U27-T27)-(T27-S27)-S27)*ci_int3)+(W27*ct_int3*'Time on treatment'!$D$12)</f>
        <v>0</v>
      </c>
      <c r="X69" s="77"/>
      <c r="Y69" s="77"/>
      <c r="Z69" s="386"/>
      <c r="AA69" s="388">
        <f ca="1">(AA27*ci_int4)+(AA27*ct_int4*'Time on treatment'!$D$12)</f>
        <v>0</v>
      </c>
      <c r="AB69" s="388">
        <f ca="1">((AB27-AA27)*ci_int4)+(AB27*ct_int4*'Time on treatment'!$D$12)</f>
        <v>0</v>
      </c>
      <c r="AC69" s="388">
        <f ca="1">((AC27-(AB27-AA27)-AA27)*ci_int4)+(AC27*ct_int4*'Time on treatment'!$D$12)</f>
        <v>0</v>
      </c>
      <c r="AD69" s="388">
        <f ca="1">((AD27-(AC27-AB27)-(AB27-AA27)-AA27)*ci_int4)+(AD27*ct_int4*'Time on treatment'!$D$12)</f>
        <v>0</v>
      </c>
      <c r="AE69" s="389">
        <f ca="1">((AE27-(AD27-AC27)-(AC27-AB27)-(AB27-AA27)-AA27)*ci_int4)+(AE27*ct_int4*'Time on treatment'!$D$12)</f>
        <v>0</v>
      </c>
      <c r="AF69" s="77"/>
      <c r="AG69" s="77"/>
      <c r="AH69" s="386"/>
      <c r="AI69" s="388">
        <f ca="1">(AI27*ci_comp1)+(AI27*ct_comp1*'Time on treatment'!$D$12)</f>
        <v>0</v>
      </c>
      <c r="AJ69" s="388">
        <f ca="1">((AJ27-AI27)*ci_comp1)+(AJ27*ct_comp1*'Time on treatment'!$D$12)</f>
        <v>0</v>
      </c>
      <c r="AK69" s="388">
        <f ca="1">((AK27-(AJ27-AI27)-AI27)*ci_comp1)+(AK27*ct_comp1*'Time on treatment'!$D$12)</f>
        <v>0</v>
      </c>
      <c r="AL69" s="388">
        <f ca="1">((AL27-(AK27-AJ27)-(AJ27-AI27)-AI27)*ci_comp1)+(AL27*ct_comp1*'Time on treatment'!$D$12)</f>
        <v>0</v>
      </c>
      <c r="AM69" s="389">
        <f ca="1">((AM27-(AL27-AK27)-(AK27-AJ27)-(AJ27-AI27)-AI27)*ci_comp1)+(AM27*ct_comp1*'Time on treatment'!$D$12)</f>
        <v>0</v>
      </c>
      <c r="AN69" s="77"/>
      <c r="AO69" s="77"/>
      <c r="AP69" s="386"/>
      <c r="AQ69" s="388">
        <f ca="1">(AQ27*ci_comp2)+(AQ27*ct_comp2*'Time on treatment'!$D$12)</f>
        <v>0</v>
      </c>
      <c r="AR69" s="388">
        <f ca="1">((AR27-AQ27)*ci_comp2)+(AR27*ct_comp2*'Time on treatment'!$D$12)</f>
        <v>0</v>
      </c>
      <c r="AS69" s="388">
        <f ca="1">((AS27-(AR27-AQ27)-AQ27)*ci_comp2)+(AS27*ct_comp2*'Time on treatment'!$D$12)</f>
        <v>0</v>
      </c>
      <c r="AT69" s="388">
        <f ca="1">((AT27-(AS27-AR27)-(AR27-AQ27)-AQ27)*ci_comp2)+(AT27*ct_comp2*'Time on treatment'!$D$12)</f>
        <v>0</v>
      </c>
      <c r="AU69" s="389">
        <f ca="1">((AU27-(AT27-AS27)-(AS27-AR27)-(AR27-AQ27)-AQ27)*ci_comp2)+(AU27*ct_comp2*'Time on treatment'!$D$12)</f>
        <v>0</v>
      </c>
      <c r="AV69" s="77"/>
      <c r="AW69" s="77"/>
      <c r="AX69" s="386"/>
      <c r="AY69" s="388">
        <f ca="1">(AY27*ci_comp3)+(AY27*ct_comp3*'Time on treatment'!$D$12)</f>
        <v>0</v>
      </c>
      <c r="AZ69" s="388">
        <f ca="1">((AZ27-AY27)*ci_comp3)+(AZ27*ct_comp3*'Time on treatment'!$D$12)</f>
        <v>0</v>
      </c>
      <c r="BA69" s="388">
        <f ca="1">((BA27-(AZ27-AY27)-AY27)*ci_comp3)+(BA27*ct_comp3*'Time on treatment'!$D$12)</f>
        <v>0</v>
      </c>
      <c r="BB69" s="388">
        <f ca="1">((BB27-(BA27-AZ27)-(AZ27-AY27)-AY27)*ci_comp3)+(BB27*ct_comp3*'Time on treatment'!$D$12)</f>
        <v>0</v>
      </c>
      <c r="BC69" s="389">
        <f ca="1">((BC27-(BB27-BA27)-(BA27-AZ27)-(AZ27-AY27)-AY27)*ci_comp3)+(BC27*ct_comp3*'Time on treatment'!$D$12)</f>
        <v>0</v>
      </c>
      <c r="BD69" s="77"/>
      <c r="BE69" s="77"/>
      <c r="BF69" s="386"/>
      <c r="BG69" s="388">
        <f ca="1">(BG27*ci_comp4)+(BG27*ct_comp4*'Time on treatment'!$D$12)</f>
        <v>0</v>
      </c>
      <c r="BH69" s="388">
        <f ca="1">((BH27-BG27)*ci_comp4)+(BH27*ct_comp4*'Time on treatment'!$D$12)</f>
        <v>0</v>
      </c>
      <c r="BI69" s="388">
        <f ca="1">((BI27-(BH27-BG27)-BG27)*ci_comp4)+(BI27*ct_comp4*'Time on treatment'!$D$12)</f>
        <v>0</v>
      </c>
      <c r="BJ69" s="388">
        <f ca="1">((BJ27-(BI27-BH27)-(BH27-BG27)-BG27)*ci_comp4)+(BJ27*ct_comp4*'Time on treatment'!$D$12)</f>
        <v>0</v>
      </c>
      <c r="BK69" s="389">
        <f ca="1">((BK27-(BJ27-BI27)-(BI27-BH27)-(BH27-BG27)-BG27)*ci_comp4)+(BK27*ct_comp4*'Time on treatment'!$D$12)</f>
        <v>0</v>
      </c>
      <c r="BL69" s="77"/>
      <c r="BM69" s="77"/>
      <c r="BN69" s="386"/>
      <c r="BO69" s="388">
        <f ca="1">(BO27*ci_comp5)+(BO27*ct_comp5*'Time on treatment'!$D$12)</f>
        <v>0</v>
      </c>
      <c r="BP69" s="388">
        <f ca="1">((BP27-BO27)*ci_comp5)+(BP27*ct_comp5*'Time on treatment'!$D$12)</f>
        <v>0</v>
      </c>
      <c r="BQ69" s="388">
        <f ca="1">((BQ27-(BP27-BO27)-BO27)*ci_comp5)+(BQ27*ct_comp5*'Time on treatment'!$D$12)</f>
        <v>0</v>
      </c>
      <c r="BR69" s="388">
        <f ca="1">((BR27-(BQ27-BP27)-(BP27-BO27)-BO27)*ci_comp5)+(BR27*ct_comp5*'Time on treatment'!$D$12)</f>
        <v>0</v>
      </c>
      <c r="BS69" s="389">
        <f ca="1">((BS27-(BR27-BQ27)-(BQ27-BP27)-(BP27-BO27)-BO27)*ci_comp5)+(BS27*ct_comp5*'Time on treatment'!$D$12)</f>
        <v>0</v>
      </c>
      <c r="BT69" s="77"/>
      <c r="BU69" s="77"/>
      <c r="BV69" s="386"/>
      <c r="BW69" s="388">
        <f ca="1">(BW27*ci_comp6)+(BW27*ct_comp6*'Time on treatment'!$D$12)</f>
        <v>0</v>
      </c>
      <c r="BX69" s="388">
        <f ca="1">((BX27-BW27)*ci_comp6)+(BX27*ct_comp6*'Time on treatment'!$D$12)</f>
        <v>0</v>
      </c>
      <c r="BY69" s="388">
        <f ca="1">((BY27-(BX27-BW27)-BW27)*ci_comp6)+(BY27*ct_comp6*'Time on treatment'!$D$12)</f>
        <v>0</v>
      </c>
      <c r="BZ69" s="388">
        <f ca="1">((BZ27-(BY27-BX27)-(BX27-BW27)-BW27)*ci_comp6)+(BZ27*ct_comp6*'Time on treatment'!$D$12)</f>
        <v>0</v>
      </c>
      <c r="CA69" s="389">
        <f ca="1">((CA27-(BZ27-BY27)-(BY27-BX27)-(BX27-BW27)-BW27)*ci_comp6)+(CA27*ct_comp6*'Time on treatment'!$D$12)</f>
        <v>0</v>
      </c>
      <c r="CB69" s="77"/>
      <c r="CC69" s="77"/>
      <c r="CD69" s="386"/>
      <c r="CE69" s="388">
        <f ca="1">(CE27*ci_comp7)+(CE27*ct_comp7*'Time on treatment'!$D$12)</f>
        <v>0</v>
      </c>
      <c r="CF69" s="388">
        <f ca="1">((CF27-CE27)*ci_comp7)+(CF27*ct_comp7*'Time on treatment'!$D$12)</f>
        <v>0</v>
      </c>
      <c r="CG69" s="388">
        <f ca="1">((CG27-(CF27-CE27)-CE27)*ci_comp7)+(CG27*ct_comp7*'Time on treatment'!$D$12)</f>
        <v>0</v>
      </c>
      <c r="CH69" s="388">
        <f ca="1">((CH27-(CG27-CF27)-(CF27-CE27)-CE27)*ci_comp7)+(CH27*ct_comp7*'Time on treatment'!$D$12)</f>
        <v>0</v>
      </c>
      <c r="CI69" s="389">
        <f ca="1">((CI27-(CH27-CG27)-(CG27-CF27)-(CF27-CE27)-CE27)*ci_comp7)+(CI27*ct_comp7*'Time on treatment'!$D$12)</f>
        <v>0</v>
      </c>
      <c r="CJ69" s="77"/>
      <c r="CK69" s="77"/>
      <c r="CL69" s="386"/>
      <c r="CM69" s="388">
        <f ca="1">(CM27*ci_comp8)+(CM27*ct_comp8*'Time on treatment'!$D$12)</f>
        <v>0</v>
      </c>
      <c r="CN69" s="388">
        <f ca="1">((CN27-CM27)*ci_comp8)+(CN27*ct_comp8*'Time on treatment'!$D$12)</f>
        <v>0</v>
      </c>
      <c r="CO69" s="388">
        <f ca="1">((CO27-(CN27-CM27)-CM27)*ci_comp8)+(CO27*ct_comp8*'Time on treatment'!$D$12)</f>
        <v>0</v>
      </c>
      <c r="CP69" s="388">
        <f ca="1">((CP27-(CO27-CN27)-(CN27-CM27)-CM27)*ci_comp8)+(CP27*ct_comp8*'Time on treatment'!$D$12)</f>
        <v>0</v>
      </c>
      <c r="CQ69" s="389">
        <f ca="1">((CQ27-(CP27-CO27)-(CO27-CN27)-(CN27-CM27)-CM27)*ci_comp8)+(CQ27*ct_comp8*'Time on treatment'!$D$12)</f>
        <v>0</v>
      </c>
      <c r="CR69" s="77"/>
      <c r="CS69" s="77"/>
      <c r="CT69" s="386"/>
      <c r="CU69" s="388">
        <f ca="1">(CU27*ci_comp9)+(CU27*ct_comp9*'Time on treatment'!$D$12)</f>
        <v>0</v>
      </c>
      <c r="CV69" s="388">
        <f ca="1">((CV27-CU27)*ci_comp9)+(CV27*ct_comp9*'Time on treatment'!$D$12)</f>
        <v>0</v>
      </c>
      <c r="CW69" s="388">
        <f ca="1">((CW27-(CV27-CU27)-CU27)*ci_comp9)+(CW27*ct_comp9*'Time on treatment'!$D$12)</f>
        <v>0</v>
      </c>
      <c r="CX69" s="388">
        <f ca="1">((CX27-(CW27-CV27)-(CV27-CU27)-CU27)*ci_comp9)+(CX27*ct_comp9*'Time on treatment'!$D$12)</f>
        <v>0</v>
      </c>
      <c r="CY69" s="389">
        <f ca="1">((CY27-(CX27-CW27)-(CW27-CV27)-(CV27-CU27)-CU27)*ci_comp9)+(CY27*ct_comp9*'Time on treatment'!$D$12)</f>
        <v>0</v>
      </c>
      <c r="CZ69" s="77"/>
      <c r="DA69" s="77"/>
      <c r="DB69" s="386"/>
      <c r="DC69" s="388">
        <f ca="1">(DC27*ci_comp10)+(DC27*ct_comp10*'Time on treatment'!$D$12)</f>
        <v>0</v>
      </c>
      <c r="DD69" s="388">
        <f ca="1">((DD27-DC27)*ci_comp10)+(DD27*ct_comp10*'Time on treatment'!$D$12)</f>
        <v>0</v>
      </c>
      <c r="DE69" s="388">
        <f ca="1">((DE27-(DD27-DC27)-DC27)*ci_comp10)+(DE27*ct_comp10*'Time on treatment'!$D$12)</f>
        <v>0</v>
      </c>
      <c r="DF69" s="388">
        <f ca="1">((DF27-(DE27-DD27)-(DD27-DC27)-DC27)*ci_comp10)+(DF27*ct_comp10*'Time on treatment'!$D$12)</f>
        <v>0</v>
      </c>
      <c r="DG69" s="389">
        <f ca="1">((DG27-(DF27-DE27)-(DE27-DD27)-(DD27-DC27)-DC27)*ci_comp10)+(DG27*ct_comp10*'Time on treatment'!$D$12)</f>
        <v>0</v>
      </c>
      <c r="DH69" s="77"/>
      <c r="DI69" s="77"/>
    </row>
    <row r="70" spans="2:113">
      <c r="B70" s="80"/>
      <c r="C70" s="109"/>
      <c r="D70" s="109"/>
      <c r="E70" s="109"/>
      <c r="F70" s="109"/>
      <c r="G70" s="109"/>
      <c r="J70" s="80"/>
      <c r="K70" s="109"/>
      <c r="L70" s="109"/>
      <c r="M70" s="109"/>
      <c r="N70" s="109"/>
      <c r="O70" s="109"/>
      <c r="R70" s="80"/>
      <c r="S70" s="109"/>
      <c r="T70" s="109"/>
      <c r="U70" s="109"/>
      <c r="V70" s="109"/>
      <c r="W70" s="109"/>
      <c r="Z70" s="80"/>
      <c r="AA70" s="109"/>
      <c r="AB70" s="109"/>
      <c r="AC70" s="109"/>
      <c r="AD70" s="109"/>
      <c r="AE70" s="109"/>
      <c r="AH70" s="80"/>
      <c r="AI70" s="109"/>
      <c r="AJ70" s="109"/>
      <c r="AK70" s="109"/>
      <c r="AL70" s="109"/>
      <c r="AM70" s="109"/>
      <c r="AP70" s="80"/>
      <c r="AQ70" s="109"/>
      <c r="AR70" s="109"/>
      <c r="AS70" s="109"/>
      <c r="AT70" s="109"/>
      <c r="AU70" s="109"/>
      <c r="AX70" s="80"/>
      <c r="AY70" s="109"/>
      <c r="AZ70" s="109"/>
      <c r="BA70" s="109"/>
      <c r="BB70" s="109"/>
      <c r="BC70" s="109"/>
      <c r="BF70" s="80"/>
      <c r="BG70" s="109"/>
      <c r="BH70" s="109"/>
      <c r="BI70" s="109"/>
      <c r="BJ70" s="109"/>
      <c r="BK70" s="109"/>
      <c r="BN70" s="80"/>
      <c r="BO70" s="109"/>
      <c r="BP70" s="109"/>
      <c r="BQ70" s="109"/>
      <c r="BR70" s="109"/>
      <c r="BS70" s="109"/>
      <c r="BV70" s="80"/>
      <c r="BW70" s="109"/>
      <c r="BX70" s="109"/>
      <c r="BY70" s="109"/>
      <c r="BZ70" s="109"/>
      <c r="CA70" s="109"/>
      <c r="CD70" s="80"/>
      <c r="CE70" s="109"/>
      <c r="CF70" s="109"/>
      <c r="CG70" s="109"/>
      <c r="CH70" s="109"/>
      <c r="CI70" s="109"/>
      <c r="CL70" s="80"/>
      <c r="CM70" s="109"/>
      <c r="CN70" s="109"/>
      <c r="CO70" s="109"/>
      <c r="CP70" s="109"/>
      <c r="CQ70" s="109"/>
      <c r="CT70" s="80"/>
      <c r="CU70" s="109"/>
      <c r="CV70" s="109"/>
      <c r="CW70" s="109"/>
      <c r="CX70" s="109"/>
      <c r="CY70" s="109"/>
      <c r="DB70" s="80"/>
      <c r="DC70" s="109"/>
      <c r="DD70" s="109"/>
      <c r="DE70" s="109"/>
      <c r="DF70" s="109"/>
      <c r="DG70" s="109"/>
    </row>
    <row r="73" spans="2:113"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113" s="3" customFormat="1">
      <c r="B74" s="65"/>
      <c r="C74" s="65"/>
      <c r="D74" s="65"/>
      <c r="E74" s="65"/>
      <c r="F74" s="65"/>
      <c r="G74" s="65"/>
      <c r="H74" s="65"/>
      <c r="I74" s="65"/>
      <c r="J74" s="65"/>
      <c r="K74" s="65"/>
      <c r="L74" s="65"/>
      <c r="M74" s="65"/>
    </row>
    <row r="75" spans="2:113" s="3" customFormat="1">
      <c r="B75" s="406" t="s">
        <v>77</v>
      </c>
      <c r="C75" s="406"/>
      <c r="D75" s="406"/>
      <c r="E75" s="406"/>
      <c r="F75" s="406"/>
      <c r="G75" s="406"/>
      <c r="H75" s="406"/>
      <c r="I75" s="406"/>
      <c r="J75" s="406"/>
      <c r="K75" s="406"/>
      <c r="L75" s="406"/>
      <c r="M75" s="406"/>
    </row>
    <row r="76" spans="2:113" s="3" customFormat="1">
      <c r="B76" s="406"/>
      <c r="C76" s="406"/>
      <c r="D76" s="406"/>
      <c r="E76" s="406"/>
      <c r="F76" s="406"/>
      <c r="G76" s="406"/>
      <c r="H76" s="406"/>
      <c r="I76" s="406"/>
      <c r="J76" s="406"/>
      <c r="K76" s="406"/>
      <c r="L76" s="406"/>
      <c r="M76" s="406"/>
    </row>
    <row r="77" spans="2:113" s="1" customFormat="1" ht="85.95" customHeight="1">
      <c r="B77" s="405" t="e" vm="1">
        <v>#VALUE!</v>
      </c>
      <c r="C77" s="405"/>
      <c r="D77" s="405"/>
      <c r="E77" s="405"/>
      <c r="F77" s="405"/>
      <c r="G77" s="405"/>
      <c r="H77" s="405"/>
      <c r="I77" s="405"/>
      <c r="J77" s="405"/>
      <c r="K77" s="405"/>
      <c r="L77" s="405"/>
      <c r="M77" s="405"/>
    </row>
  </sheetData>
  <sheetProtection algorithmName="SHA-512" hashValue="FAJ8i+C5mtm/Bg47PxEt5u1ACTy8QSBcSoxenaGMJ7Gq07ieIpa2yH8BXR3XRksh1XW0wSt+HpkvKqcKlmNTAA==" saltValue="WuZu5NL5zWl7e5dCKIpCYA==" spinCount="100000" sheet="1" objects="1" scenarios="1" formatColumns="0"/>
  <mergeCells count="276">
    <mergeCell ref="B75:M76"/>
    <mergeCell ref="B77:M77"/>
    <mergeCell ref="BN67:BS67"/>
    <mergeCell ref="BV67:CA67"/>
    <mergeCell ref="CD67:CI67"/>
    <mergeCell ref="CL67:CQ67"/>
    <mergeCell ref="CT67:CY67"/>
    <mergeCell ref="DB67:DG67"/>
    <mergeCell ref="CT63:CY63"/>
    <mergeCell ref="DB63:DG63"/>
    <mergeCell ref="B67:G67"/>
    <mergeCell ref="J67:O67"/>
    <mergeCell ref="R67:W67"/>
    <mergeCell ref="Z67:AE67"/>
    <mergeCell ref="AH67:AM67"/>
    <mergeCell ref="AP67:AU67"/>
    <mergeCell ref="AX67:BC67"/>
    <mergeCell ref="BF67:BK67"/>
    <mergeCell ref="AX63:BC63"/>
    <mergeCell ref="BF63:BK63"/>
    <mergeCell ref="BN63:BS63"/>
    <mergeCell ref="BV63:CA63"/>
    <mergeCell ref="CD63:CI63"/>
    <mergeCell ref="CL63:CQ63"/>
    <mergeCell ref="B63:G63"/>
    <mergeCell ref="J63:O63"/>
    <mergeCell ref="R63:W63"/>
    <mergeCell ref="Z63:AE63"/>
    <mergeCell ref="AH63:AM63"/>
    <mergeCell ref="AP63:AU63"/>
    <mergeCell ref="BN59:BS59"/>
    <mergeCell ref="BV59:CA59"/>
    <mergeCell ref="CD59:CI59"/>
    <mergeCell ref="CL59:CQ59"/>
    <mergeCell ref="CT59:CY59"/>
    <mergeCell ref="DB59:DG59"/>
    <mergeCell ref="CT55:CY55"/>
    <mergeCell ref="DB55:DG55"/>
    <mergeCell ref="B59:G59"/>
    <mergeCell ref="J59:O59"/>
    <mergeCell ref="R59:W59"/>
    <mergeCell ref="Z59:AE59"/>
    <mergeCell ref="AH59:AM59"/>
    <mergeCell ref="AP59:AU59"/>
    <mergeCell ref="AX59:BC59"/>
    <mergeCell ref="BF59:BK59"/>
    <mergeCell ref="AX55:BC55"/>
    <mergeCell ref="BF55:BK55"/>
    <mergeCell ref="BN55:BS55"/>
    <mergeCell ref="BV55:CA55"/>
    <mergeCell ref="CD55:CI55"/>
    <mergeCell ref="CL55:CQ55"/>
    <mergeCell ref="B55:G55"/>
    <mergeCell ref="J55:O55"/>
    <mergeCell ref="R55:W55"/>
    <mergeCell ref="Z55:AE55"/>
    <mergeCell ref="AH55:AM55"/>
    <mergeCell ref="AP55:AU55"/>
    <mergeCell ref="BN53:BS53"/>
    <mergeCell ref="BV53:CA53"/>
    <mergeCell ref="CD53:CI53"/>
    <mergeCell ref="CL53:CQ53"/>
    <mergeCell ref="CT53:CY53"/>
    <mergeCell ref="DB53:DG53"/>
    <mergeCell ref="CT52:CZ52"/>
    <mergeCell ref="DB52:DH52"/>
    <mergeCell ref="BN52:BT52"/>
    <mergeCell ref="BV52:CB52"/>
    <mergeCell ref="CD52:CJ52"/>
    <mergeCell ref="CL52:CR52"/>
    <mergeCell ref="B53:G53"/>
    <mergeCell ref="J53:O53"/>
    <mergeCell ref="R53:W53"/>
    <mergeCell ref="Z53:AE53"/>
    <mergeCell ref="AH53:AM53"/>
    <mergeCell ref="AP53:AU53"/>
    <mergeCell ref="AX53:BC53"/>
    <mergeCell ref="BF53:BK53"/>
    <mergeCell ref="AX52:BD52"/>
    <mergeCell ref="BF52:BL52"/>
    <mergeCell ref="B52:H52"/>
    <mergeCell ref="J52:P52"/>
    <mergeCell ref="R52:X52"/>
    <mergeCell ref="Z52:AF52"/>
    <mergeCell ref="AH52:AN52"/>
    <mergeCell ref="AP52:AV52"/>
    <mergeCell ref="BN46:BS46"/>
    <mergeCell ref="BV46:CA46"/>
    <mergeCell ref="CD46:CI46"/>
    <mergeCell ref="CL46:CQ46"/>
    <mergeCell ref="CT46:CY46"/>
    <mergeCell ref="DB46:DG46"/>
    <mergeCell ref="CT42:CY42"/>
    <mergeCell ref="DB42:DG42"/>
    <mergeCell ref="B46:G46"/>
    <mergeCell ref="J46:O46"/>
    <mergeCell ref="R46:W46"/>
    <mergeCell ref="Z46:AE46"/>
    <mergeCell ref="AH46:AM46"/>
    <mergeCell ref="AP46:AU46"/>
    <mergeCell ref="AX46:BC46"/>
    <mergeCell ref="BF46:BK46"/>
    <mergeCell ref="AX42:BC42"/>
    <mergeCell ref="BF42:BK42"/>
    <mergeCell ref="BN42:BS42"/>
    <mergeCell ref="BV42:CA42"/>
    <mergeCell ref="CD42:CI42"/>
    <mergeCell ref="CL42:CQ42"/>
    <mergeCell ref="B42:G42"/>
    <mergeCell ref="J42:O42"/>
    <mergeCell ref="R42:W42"/>
    <mergeCell ref="Z42:AE42"/>
    <mergeCell ref="AH42:AM42"/>
    <mergeCell ref="AP42:AU42"/>
    <mergeCell ref="BN38:BS38"/>
    <mergeCell ref="BV38:CA38"/>
    <mergeCell ref="CD38:CI38"/>
    <mergeCell ref="CL38:CQ38"/>
    <mergeCell ref="CT38:CY38"/>
    <mergeCell ref="DB38:DG38"/>
    <mergeCell ref="CT34:CY34"/>
    <mergeCell ref="DB34:DG34"/>
    <mergeCell ref="B38:G38"/>
    <mergeCell ref="J38:O38"/>
    <mergeCell ref="R38:W38"/>
    <mergeCell ref="Z38:AE38"/>
    <mergeCell ref="AH38:AM38"/>
    <mergeCell ref="AP38:AU38"/>
    <mergeCell ref="AX38:BC38"/>
    <mergeCell ref="BF38:BK38"/>
    <mergeCell ref="AX34:BC34"/>
    <mergeCell ref="BF34:BK34"/>
    <mergeCell ref="BN34:BS34"/>
    <mergeCell ref="BV34:CA34"/>
    <mergeCell ref="CD34:CI34"/>
    <mergeCell ref="CL34:CQ34"/>
    <mergeCell ref="B34:G34"/>
    <mergeCell ref="J34:O34"/>
    <mergeCell ref="R34:W34"/>
    <mergeCell ref="Z34:AE34"/>
    <mergeCell ref="AH34:AM34"/>
    <mergeCell ref="AP34:AU34"/>
    <mergeCell ref="BN32:BS32"/>
    <mergeCell ref="BV32:CA32"/>
    <mergeCell ref="CD32:CI32"/>
    <mergeCell ref="CL32:CQ32"/>
    <mergeCell ref="CT32:CY32"/>
    <mergeCell ref="DB32:DG32"/>
    <mergeCell ref="CT31:CZ31"/>
    <mergeCell ref="DB31:DH31"/>
    <mergeCell ref="B32:G32"/>
    <mergeCell ref="J32:O32"/>
    <mergeCell ref="R32:W32"/>
    <mergeCell ref="Z32:AE32"/>
    <mergeCell ref="AH32:AM32"/>
    <mergeCell ref="AP32:AU32"/>
    <mergeCell ref="AX32:BC32"/>
    <mergeCell ref="BF32:BK32"/>
    <mergeCell ref="AX31:BD31"/>
    <mergeCell ref="BF31:BL31"/>
    <mergeCell ref="BN31:BT31"/>
    <mergeCell ref="BV31:CB31"/>
    <mergeCell ref="CD31:CJ31"/>
    <mergeCell ref="CL31:CR31"/>
    <mergeCell ref="B31:H31"/>
    <mergeCell ref="J31:P31"/>
    <mergeCell ref="R31:X31"/>
    <mergeCell ref="Z31:AF31"/>
    <mergeCell ref="AH31:AN31"/>
    <mergeCell ref="AP31:AV31"/>
    <mergeCell ref="BN25:BS25"/>
    <mergeCell ref="BV25:CA25"/>
    <mergeCell ref="CD25:CI25"/>
    <mergeCell ref="CL25:CQ25"/>
    <mergeCell ref="CT25:CY25"/>
    <mergeCell ref="DB25:DG25"/>
    <mergeCell ref="CT21:CY21"/>
    <mergeCell ref="DB21:DG21"/>
    <mergeCell ref="B25:G25"/>
    <mergeCell ref="J25:O25"/>
    <mergeCell ref="R25:W25"/>
    <mergeCell ref="Z25:AE25"/>
    <mergeCell ref="AH25:AM25"/>
    <mergeCell ref="AP25:AU25"/>
    <mergeCell ref="AX25:BC25"/>
    <mergeCell ref="BF25:BK25"/>
    <mergeCell ref="AX21:BC21"/>
    <mergeCell ref="BF21:BK21"/>
    <mergeCell ref="BN21:BS21"/>
    <mergeCell ref="BV21:CA21"/>
    <mergeCell ref="CD21:CI21"/>
    <mergeCell ref="CL21:CQ21"/>
    <mergeCell ref="B21:G21"/>
    <mergeCell ref="J21:O21"/>
    <mergeCell ref="R21:W21"/>
    <mergeCell ref="Z21:AE21"/>
    <mergeCell ref="AH21:AM21"/>
    <mergeCell ref="AP21:AU21"/>
    <mergeCell ref="BN17:BS17"/>
    <mergeCell ref="BV17:CA17"/>
    <mergeCell ref="CD17:CI17"/>
    <mergeCell ref="CL17:CQ17"/>
    <mergeCell ref="CT17:CY17"/>
    <mergeCell ref="DB17:DG17"/>
    <mergeCell ref="CT13:CY13"/>
    <mergeCell ref="DB13:DG13"/>
    <mergeCell ref="B17:G17"/>
    <mergeCell ref="J17:O17"/>
    <mergeCell ref="R17:W17"/>
    <mergeCell ref="Z17:AE17"/>
    <mergeCell ref="AH17:AM17"/>
    <mergeCell ref="AP17:AU17"/>
    <mergeCell ref="AX17:BC17"/>
    <mergeCell ref="BF17:BK17"/>
    <mergeCell ref="AX13:BC13"/>
    <mergeCell ref="BF13:BK13"/>
    <mergeCell ref="BN13:BS13"/>
    <mergeCell ref="BV13:CA13"/>
    <mergeCell ref="CD13:CI13"/>
    <mergeCell ref="CL13:CQ13"/>
    <mergeCell ref="B13:G13"/>
    <mergeCell ref="J13:O13"/>
    <mergeCell ref="R13:W13"/>
    <mergeCell ref="Z13:AE13"/>
    <mergeCell ref="AH13:AM13"/>
    <mergeCell ref="AP13:AU13"/>
    <mergeCell ref="BN11:BS11"/>
    <mergeCell ref="BV11:CA11"/>
    <mergeCell ref="CD11:CI11"/>
    <mergeCell ref="CL11:CQ11"/>
    <mergeCell ref="CT11:CY11"/>
    <mergeCell ref="DB11:DG11"/>
    <mergeCell ref="CT10:CZ10"/>
    <mergeCell ref="DB10:DH10"/>
    <mergeCell ref="B11:G11"/>
    <mergeCell ref="J11:O11"/>
    <mergeCell ref="R11:W11"/>
    <mergeCell ref="Z11:AE11"/>
    <mergeCell ref="AH11:AM11"/>
    <mergeCell ref="AP11:AU11"/>
    <mergeCell ref="AX11:BC11"/>
    <mergeCell ref="BF11:BK11"/>
    <mergeCell ref="AX10:BD10"/>
    <mergeCell ref="BF10:BL10"/>
    <mergeCell ref="BN10:BT10"/>
    <mergeCell ref="BV10:CB10"/>
    <mergeCell ref="CD10:CJ10"/>
    <mergeCell ref="CL10:CR10"/>
    <mergeCell ref="B10:H10"/>
    <mergeCell ref="J10:P10"/>
    <mergeCell ref="R10:X10"/>
    <mergeCell ref="Z10:AF10"/>
    <mergeCell ref="AH10:AN10"/>
    <mergeCell ref="AP10:AV10"/>
    <mergeCell ref="BN5:BT5"/>
    <mergeCell ref="BV5:CB5"/>
    <mergeCell ref="CD5:CJ5"/>
    <mergeCell ref="CL5:CR5"/>
    <mergeCell ref="CT5:CZ5"/>
    <mergeCell ref="DB5:DH5"/>
    <mergeCell ref="CT4:CZ4"/>
    <mergeCell ref="DB4:DH4"/>
    <mergeCell ref="B5:H5"/>
    <mergeCell ref="J5:P5"/>
    <mergeCell ref="R5:X5"/>
    <mergeCell ref="Z5:AF5"/>
    <mergeCell ref="AH5:AN5"/>
    <mergeCell ref="AP5:AV5"/>
    <mergeCell ref="AX5:BD5"/>
    <mergeCell ref="BF5:BL5"/>
    <mergeCell ref="AX4:BD4"/>
    <mergeCell ref="BF4:BL4"/>
    <mergeCell ref="BN4:BT4"/>
    <mergeCell ref="BV4:CB4"/>
    <mergeCell ref="CD4:CJ4"/>
    <mergeCell ref="CL4:CR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0EB1BA"/>
  </sheetPr>
  <dimension ref="B1:Z89"/>
  <sheetViews>
    <sheetView showGridLines="0" showRowColHeaders="0" zoomScaleNormal="100" workbookViewId="0">
      <selection activeCell="N22" sqref="N22"/>
    </sheetView>
  </sheetViews>
  <sheetFormatPr defaultColWidth="8.77734375" defaultRowHeight="14.4"/>
  <cols>
    <col min="1" max="1" width="6.33203125" style="3" customWidth="1"/>
    <col min="2" max="2" width="29.77734375" style="3" customWidth="1"/>
    <col min="3" max="3" width="17.77734375" style="3" customWidth="1"/>
    <col min="4" max="4" width="20.44140625" style="3" customWidth="1"/>
    <col min="5" max="5" width="22.6640625" style="3" customWidth="1"/>
    <col min="6" max="6" width="22" style="3" customWidth="1"/>
    <col min="7" max="7" width="19.77734375" style="3" customWidth="1"/>
    <col min="8" max="8" width="10.44140625" style="3" customWidth="1"/>
    <col min="9" max="9" width="4.109375" style="3" customWidth="1"/>
    <col min="10" max="10" width="26.109375" style="3" customWidth="1"/>
    <col min="11" max="11" width="22.33203125" style="3" customWidth="1"/>
    <col min="12" max="12" width="25.44140625" style="3" customWidth="1"/>
    <col min="13" max="13" width="24.6640625" style="3" customWidth="1"/>
    <col min="14" max="14" width="26.44140625" style="3" customWidth="1"/>
    <col min="15" max="15" width="24.33203125" style="3" customWidth="1"/>
    <col min="16" max="16384" width="8.77734375" style="3"/>
  </cols>
  <sheetData>
    <row r="1" spans="2:26" s="33" customFormat="1" ht="33.6">
      <c r="B1" s="34" t="str">
        <f>Introduction!$B$1</f>
        <v>Budget impact analysis of PET-CT for treatment of small-cell lung cancer</v>
      </c>
      <c r="C1" s="34"/>
      <c r="D1" s="35"/>
      <c r="E1" s="36"/>
      <c r="F1" s="36"/>
      <c r="G1" s="36"/>
      <c r="H1" s="36"/>
      <c r="I1" s="36"/>
      <c r="J1" s="36"/>
      <c r="K1" s="36"/>
      <c r="L1" s="36"/>
      <c r="M1" s="36"/>
      <c r="N1" s="36"/>
      <c r="O1" s="36"/>
      <c r="P1" s="36"/>
      <c r="Q1" s="36"/>
      <c r="R1" s="36"/>
      <c r="S1" s="36"/>
      <c r="T1" s="36"/>
      <c r="U1" s="36"/>
      <c r="V1" s="36"/>
      <c r="W1" s="36"/>
      <c r="X1" s="36"/>
      <c r="Y1" s="36"/>
      <c r="Z1" s="55"/>
    </row>
    <row r="2" spans="2:26" s="33" customFormat="1" ht="18">
      <c r="B2" s="37"/>
      <c r="C2" s="37"/>
      <c r="D2" s="38"/>
      <c r="E2" s="39"/>
      <c r="F2" s="39"/>
      <c r="G2" s="39"/>
      <c r="H2" s="39"/>
      <c r="I2" s="39"/>
      <c r="J2" s="39"/>
      <c r="K2" s="39"/>
      <c r="L2" s="39"/>
      <c r="M2" s="36"/>
      <c r="N2" s="36"/>
      <c r="O2" s="36"/>
      <c r="P2" s="36"/>
      <c r="Q2" s="36"/>
      <c r="R2" s="36"/>
      <c r="S2" s="36"/>
      <c r="T2" s="36"/>
      <c r="U2" s="36"/>
      <c r="V2" s="36"/>
      <c r="W2" s="36"/>
      <c r="X2" s="36"/>
      <c r="Y2" s="36"/>
      <c r="Z2" s="55"/>
    </row>
    <row r="3" spans="2:26" s="45" customFormat="1" ht="2.25" customHeight="1">
      <c r="D3" s="46"/>
      <c r="Z3" s="56"/>
    </row>
    <row r="4" spans="2:26" ht="18">
      <c r="B4" s="9"/>
      <c r="C4" s="47"/>
      <c r="D4" s="47"/>
      <c r="E4" s="47"/>
      <c r="F4" s="47"/>
      <c r="G4" s="47"/>
      <c r="H4" s="47"/>
      <c r="I4" s="9"/>
      <c r="J4" s="9"/>
      <c r="K4" s="9"/>
      <c r="L4" s="9"/>
      <c r="M4" s="9"/>
      <c r="N4" s="9"/>
      <c r="O4" s="9"/>
      <c r="P4" s="9"/>
      <c r="Q4" s="9"/>
      <c r="R4" s="9"/>
      <c r="S4" s="9"/>
      <c r="T4" s="9"/>
      <c r="U4" s="9"/>
      <c r="V4" s="9"/>
      <c r="W4" s="9"/>
      <c r="X4" s="9"/>
      <c r="Y4" s="9"/>
      <c r="Z4" s="9"/>
    </row>
    <row r="6" spans="2:26" ht="18">
      <c r="B6" s="47" t="str">
        <f>Results!B21</f>
        <v>Full-cost results</v>
      </c>
      <c r="C6" s="9"/>
      <c r="D6" s="9"/>
      <c r="E6" s="9"/>
      <c r="F6" s="9"/>
      <c r="G6" s="9"/>
      <c r="H6" s="9"/>
      <c r="I6" s="9"/>
      <c r="J6" s="47" t="str">
        <f>Results!B30</f>
        <v>Technology cost–only results</v>
      </c>
      <c r="K6" s="47"/>
      <c r="L6" s="47"/>
      <c r="M6" s="47"/>
      <c r="N6" s="47"/>
      <c r="O6" s="47"/>
      <c r="P6" s="47"/>
      <c r="Q6" s="9"/>
      <c r="R6" s="9"/>
      <c r="S6" s="9"/>
      <c r="T6" s="9"/>
      <c r="U6" s="9"/>
      <c r="V6" s="9"/>
      <c r="W6" s="9"/>
      <c r="X6" s="9"/>
      <c r="Y6" s="9"/>
      <c r="Z6" s="9"/>
    </row>
    <row r="8" spans="2:26">
      <c r="B8" s="513" t="str">
        <f>cen_atual</f>
        <v>Without PET-CT</v>
      </c>
      <c r="C8" s="513"/>
      <c r="D8" s="513"/>
      <c r="E8" s="513"/>
      <c r="F8" s="513"/>
      <c r="G8" s="513"/>
      <c r="H8" s="513"/>
      <c r="I8" s="9"/>
      <c r="J8" s="513" t="str">
        <f>cen_atual</f>
        <v>Without PET-CT</v>
      </c>
      <c r="K8" s="513"/>
      <c r="L8" s="513"/>
      <c r="M8" s="513"/>
      <c r="N8" s="513"/>
      <c r="O8" s="513"/>
      <c r="P8" s="513"/>
      <c r="Q8" s="9"/>
      <c r="R8" s="9"/>
      <c r="S8" s="9"/>
      <c r="T8" s="9"/>
      <c r="U8" s="9"/>
      <c r="V8" s="9"/>
      <c r="W8" s="9"/>
      <c r="X8" s="9"/>
      <c r="Y8" s="9"/>
      <c r="Z8" s="9"/>
    </row>
    <row r="10" spans="2:26">
      <c r="B10" s="93" t="s">
        <v>81</v>
      </c>
      <c r="C10" s="93">
        <f>ano_1</f>
        <v>2024</v>
      </c>
      <c r="D10" s="93">
        <f>C10+1</f>
        <v>2025</v>
      </c>
      <c r="E10" s="93">
        <f t="shared" ref="E10:G10" si="0">D10+1</f>
        <v>2026</v>
      </c>
      <c r="F10" s="93">
        <f t="shared" si="0"/>
        <v>2027</v>
      </c>
      <c r="G10" s="93">
        <f t="shared" si="0"/>
        <v>2028</v>
      </c>
      <c r="H10" s="5"/>
      <c r="I10" s="9"/>
      <c r="J10" s="93" t="s">
        <v>81</v>
      </c>
      <c r="K10" s="93">
        <f>ano_1</f>
        <v>2024</v>
      </c>
      <c r="L10" s="93">
        <f>K10+1</f>
        <v>2025</v>
      </c>
      <c r="M10" s="93">
        <f t="shared" ref="M10:O10" si="1">L10+1</f>
        <v>2026</v>
      </c>
      <c r="N10" s="93">
        <f t="shared" si="1"/>
        <v>2027</v>
      </c>
      <c r="O10" s="93">
        <f t="shared" si="1"/>
        <v>2028</v>
      </c>
      <c r="P10" s="5"/>
      <c r="Q10" s="9"/>
      <c r="R10" s="9"/>
      <c r="S10" s="9"/>
      <c r="T10" s="9"/>
      <c r="U10" s="9"/>
      <c r="V10" s="9"/>
      <c r="W10" s="9"/>
      <c r="X10" s="9"/>
      <c r="Y10" s="9"/>
      <c r="Z10" s="9"/>
    </row>
    <row r="11" spans="2:26">
      <c r="B11" s="11" t="str">
        <f>intervencao1</f>
        <v>PET-CT</v>
      </c>
      <c r="C11" s="213">
        <f ca="1">IF(dynamic="Yes",Calculations!C103,Calculations2!C36)</f>
        <v>0</v>
      </c>
      <c r="D11" s="213">
        <f ca="1">Calculations!D103</f>
        <v>0</v>
      </c>
      <c r="E11" s="213">
        <f ca="1">Calculations!E103</f>
        <v>0</v>
      </c>
      <c r="F11" s="213">
        <f ca="1">Calculations!F103</f>
        <v>0</v>
      </c>
      <c r="G11" s="213">
        <f ca="1">Calculations!G103</f>
        <v>0</v>
      </c>
      <c r="H11" s="206"/>
      <c r="I11" s="206"/>
      <c r="J11" s="11" t="str">
        <f>intervencao1</f>
        <v>PET-CT</v>
      </c>
      <c r="K11" s="213">
        <f ca="1">IF(dynamic="Yes",Calculations!C164,Calculations2!C57)</f>
        <v>0</v>
      </c>
      <c r="L11" s="213">
        <f ca="1">IF(dynamic="Yes",Calculations!D164,Calculations2!D57)</f>
        <v>0</v>
      </c>
      <c r="M11" s="213">
        <f ca="1">IF(dynamic="Yes",Calculations!E164,Calculations2!E57)</f>
        <v>0</v>
      </c>
      <c r="N11" s="213">
        <f ca="1">IF(dynamic="Yes",Calculations!F164,Calculations2!F57)</f>
        <v>0</v>
      </c>
      <c r="O11" s="213">
        <f ca="1">IF(dynamic="Yes",Calculations!G164,Calculations2!G57)</f>
        <v>0</v>
      </c>
      <c r="P11" s="9"/>
      <c r="Q11" s="9"/>
      <c r="R11" s="9"/>
      <c r="S11" s="9"/>
      <c r="T11" s="9"/>
      <c r="U11" s="9"/>
      <c r="V11" s="9"/>
      <c r="W11" s="9"/>
      <c r="X11" s="9"/>
      <c r="Y11" s="9"/>
      <c r="Z11" s="9"/>
    </row>
    <row r="12" spans="2:26">
      <c r="B12" s="11">
        <f>intervencao2</f>
        <v>0</v>
      </c>
      <c r="C12" s="213">
        <f ca="1">IF(dynamic="Yes",Calculations!K103,Calculations2!K36)</f>
        <v>0</v>
      </c>
      <c r="D12" s="213">
        <f ca="1">IF(dynamic="Yes",Calculations!L103,Calculations2!L36)</f>
        <v>0</v>
      </c>
      <c r="E12" s="213">
        <f ca="1">IF(dynamic="Yes",Calculations!M103,Calculations2!M36)</f>
        <v>0</v>
      </c>
      <c r="F12" s="213">
        <f ca="1">IF(dynamic="Yes",Calculations!N103,Calculations2!N36)</f>
        <v>0</v>
      </c>
      <c r="G12" s="213">
        <f ca="1">IF(dynamic="Yes",Calculations!O103,Calculations2!O36)</f>
        <v>0</v>
      </c>
      <c r="H12" s="215"/>
      <c r="I12" s="206"/>
      <c r="J12" s="11">
        <f>intervencao2</f>
        <v>0</v>
      </c>
      <c r="K12" s="213">
        <f ca="1">IF(dynamic="Yes",Calculations!K164,Calculations2!K57)</f>
        <v>0</v>
      </c>
      <c r="L12" s="213">
        <f ca="1">IF(dynamic="Yes",Calculations!L164,Calculations2!L57)</f>
        <v>0</v>
      </c>
      <c r="M12" s="213">
        <f ca="1">IF(dynamic="Yes",Calculations!M164,Calculations2!M57)</f>
        <v>0</v>
      </c>
      <c r="N12" s="213">
        <f ca="1">IF(dynamic="Yes",Calculations!N164,Calculations2!N57)</f>
        <v>0</v>
      </c>
      <c r="O12" s="213">
        <f ca="1">IF(dynamic="Yes",Calculations!O164,Calculations2!O57)</f>
        <v>0</v>
      </c>
      <c r="P12" s="4"/>
      <c r="Q12" s="9"/>
      <c r="R12" s="9"/>
      <c r="S12" s="9"/>
      <c r="T12" s="9"/>
      <c r="U12" s="9"/>
      <c r="V12" s="9"/>
      <c r="W12" s="9"/>
      <c r="X12" s="9"/>
      <c r="Y12" s="9"/>
      <c r="Z12" s="9"/>
    </row>
    <row r="13" spans="2:26">
      <c r="B13" s="11">
        <f>intervencao3</f>
        <v>0</v>
      </c>
      <c r="C13" s="213">
        <f ca="1">IF(dynamic="Yes",Calculations!S103,Calculations2!S36)</f>
        <v>0</v>
      </c>
      <c r="D13" s="213">
        <f ca="1">IF(dynamic="Yes",Calculations!T103,Calculations2!T36)</f>
        <v>0</v>
      </c>
      <c r="E13" s="213">
        <f ca="1">IF(dynamic="Yes",Calculations!U103,Calculations2!U36)</f>
        <v>0</v>
      </c>
      <c r="F13" s="213">
        <f ca="1">IF(dynamic="Yes",Calculations!V103,Calculations2!V36)</f>
        <v>0</v>
      </c>
      <c r="G13" s="213">
        <f ca="1">IF(dynamic="Yes",Calculations!W103,Calculations2!W36)</f>
        <v>0</v>
      </c>
      <c r="H13" s="206"/>
      <c r="I13" s="206"/>
      <c r="J13" s="11">
        <f>intervencao3</f>
        <v>0</v>
      </c>
      <c r="K13" s="213">
        <f ca="1">IF(dynamic="Yes",Calculations!S164,Calculations2!S57)</f>
        <v>0</v>
      </c>
      <c r="L13" s="213">
        <f ca="1">IF(dynamic="Yes",Calculations!T164,Calculations2!T57)</f>
        <v>0</v>
      </c>
      <c r="M13" s="213">
        <f ca="1">IF(dynamic="Yes",Calculations!U164,Calculations2!U57)</f>
        <v>0</v>
      </c>
      <c r="N13" s="213">
        <f ca="1">IF(dynamic="Yes",Calculations!V164,Calculations2!V57)</f>
        <v>0</v>
      </c>
      <c r="O13" s="213">
        <f ca="1">IF(dynamic="Yes",Calculations!W164,Calculations2!W57)</f>
        <v>0</v>
      </c>
      <c r="P13" s="9"/>
      <c r="Q13" s="9"/>
      <c r="R13" s="9"/>
      <c r="S13" s="9"/>
      <c r="T13" s="9"/>
      <c r="U13" s="9"/>
      <c r="V13" s="9"/>
      <c r="W13" s="9"/>
      <c r="X13" s="9"/>
      <c r="Y13" s="9"/>
      <c r="Z13" s="9"/>
    </row>
    <row r="14" spans="2:26">
      <c r="B14" s="11">
        <f>intervencao4</f>
        <v>0</v>
      </c>
      <c r="C14" s="213">
        <f ca="1">IF(dynamic="Yes",Calculations!AA103,Calculations2!AA36)</f>
        <v>0</v>
      </c>
      <c r="D14" s="213">
        <f ca="1">IF(dynamic="Yes",Calculations!AB103,Calculations2!AB36)</f>
        <v>0</v>
      </c>
      <c r="E14" s="213">
        <f ca="1">IF(dynamic="Yes",Calculations!AC103,Calculations2!AC36)</f>
        <v>0</v>
      </c>
      <c r="F14" s="213">
        <f ca="1">IF(dynamic="Yes",Calculations!AD103,Calculations2!AD36)</f>
        <v>0</v>
      </c>
      <c r="G14" s="213">
        <f ca="1">IF(dynamic="Yes",Calculations!AE103,Calculations2!AE36)</f>
        <v>0</v>
      </c>
      <c r="H14" s="206"/>
      <c r="I14" s="206"/>
      <c r="J14" s="11">
        <f>intervencao4</f>
        <v>0</v>
      </c>
      <c r="K14" s="213">
        <f ca="1">IF(dynamic="Yes",Calculations!AA164,Calculations2!AA57)</f>
        <v>0</v>
      </c>
      <c r="L14" s="213">
        <f ca="1">IF(dynamic="Yes",Calculations!AB164,Calculations2!AB57)</f>
        <v>0</v>
      </c>
      <c r="M14" s="213">
        <f ca="1">IF(dynamic="Yes",Calculations!AC164,Calculations2!AC57)</f>
        <v>0</v>
      </c>
      <c r="N14" s="213">
        <f ca="1">IF(dynamic="Yes",Calculations!AD164,Calculations2!AD57)</f>
        <v>0</v>
      </c>
      <c r="O14" s="213">
        <f ca="1">IF(dynamic="Yes",Calculations!AE164,Calculations2!AE57)</f>
        <v>0</v>
      </c>
      <c r="P14" s="9"/>
      <c r="Q14" s="9"/>
      <c r="R14" s="9"/>
      <c r="S14" s="9"/>
      <c r="T14" s="9"/>
      <c r="U14" s="9"/>
      <c r="V14" s="9"/>
      <c r="W14" s="9"/>
      <c r="X14" s="9"/>
      <c r="Y14" s="9"/>
      <c r="Z14" s="9"/>
    </row>
    <row r="15" spans="2:26">
      <c r="B15" s="11" t="str">
        <f>comparador1</f>
        <v>CT scan + scintigraphy</v>
      </c>
      <c r="C15" s="213">
        <f ca="1">IF(dynamic="Yes",Calculations!AI103,Calculations2!AI36)</f>
        <v>5840477.6854851758</v>
      </c>
      <c r="D15" s="213">
        <f ca="1">IF(dynamic="Yes",Calculations!AJ103,Calculations2!AJ36)</f>
        <v>5876554.1572671244</v>
      </c>
      <c r="E15" s="213">
        <f ca="1">IF(dynamic="Yes",Calculations!AK103,Calculations2!AK36)</f>
        <v>5911096.1130910916</v>
      </c>
      <c r="F15" s="213">
        <f ca="1">IF(dynamic="Yes",Calculations!AL103,Calculations2!AL36)</f>
        <v>5944062.261561838</v>
      </c>
      <c r="G15" s="213">
        <f ca="1">IF(dynamic="Yes",Calculations!AM103,Calculations2!AM36)</f>
        <v>5975411.3917741701</v>
      </c>
      <c r="H15" s="206"/>
      <c r="I15" s="206"/>
      <c r="J15" s="11" t="str">
        <f>comparador1</f>
        <v>CT scan + scintigraphy</v>
      </c>
      <c r="K15" s="213">
        <f ca="1">IF(dynamic="Yes",Calculations!AI164,Calculations2!AI57)</f>
        <v>5840477.6854851758</v>
      </c>
      <c r="L15" s="213">
        <f ca="1">IF(dynamic="Yes",Calculations!AJ164,Calculations2!AJ57)</f>
        <v>5876554.1572671244</v>
      </c>
      <c r="M15" s="213">
        <f ca="1">IF(dynamic="Yes",Calculations!AK164,Calculations2!AK57)</f>
        <v>5911096.1130910916</v>
      </c>
      <c r="N15" s="213">
        <f ca="1">IF(dynamic="Yes",Calculations!AL164,Calculations2!AL57)</f>
        <v>5944062.261561838</v>
      </c>
      <c r="O15" s="213">
        <f ca="1">IF(dynamic="Yes",Calculations!AM164,Calculations2!AM57)</f>
        <v>5975411.3917741701</v>
      </c>
      <c r="P15" s="9"/>
      <c r="Q15" s="9"/>
      <c r="R15" s="9"/>
      <c r="S15" s="9"/>
      <c r="T15" s="9"/>
      <c r="U15" s="9"/>
      <c r="V15" s="9"/>
      <c r="W15" s="9"/>
      <c r="X15" s="9"/>
      <c r="Y15" s="9"/>
      <c r="Z15" s="9"/>
    </row>
    <row r="16" spans="2:26">
      <c r="B16" s="11">
        <f>comparador2</f>
        <v>0</v>
      </c>
      <c r="C16" s="213">
        <f ca="1">IF(dynamic="Yes",Calculations!AQ103,Calculations2!AQ36)</f>
        <v>0</v>
      </c>
      <c r="D16" s="213">
        <f ca="1">IF(dynamic="Yes",Calculations!AR103,Calculations2!AR36)</f>
        <v>0</v>
      </c>
      <c r="E16" s="213">
        <f ca="1">IF(dynamic="Yes",Calculations!AS103,Calculations2!AS36)</f>
        <v>0</v>
      </c>
      <c r="F16" s="213">
        <f ca="1">IF(dynamic="Yes",Calculations!AT103,Calculations2!AT36)</f>
        <v>0</v>
      </c>
      <c r="G16" s="213">
        <f ca="1">IF(dynamic="Yes",Calculations!AU103,Calculations2!AU36)</f>
        <v>0</v>
      </c>
      <c r="H16" s="206"/>
      <c r="I16" s="206"/>
      <c r="J16" s="11">
        <f>comparador2</f>
        <v>0</v>
      </c>
      <c r="K16" s="213">
        <f ca="1">IF(dynamic="Yes",Calculations!AQ164,Calculations2!AQ57)</f>
        <v>0</v>
      </c>
      <c r="L16" s="213">
        <f ca="1">IF(dynamic="Yes",Calculations!AR164,Calculations2!AR57)</f>
        <v>0</v>
      </c>
      <c r="M16" s="213">
        <f ca="1">IF(dynamic="Yes",Calculations!AS164,Calculations2!AS57)</f>
        <v>0</v>
      </c>
      <c r="N16" s="213">
        <f ca="1">IF(dynamic="Yes",Calculations!AT164,Calculations2!AT57)</f>
        <v>0</v>
      </c>
      <c r="O16" s="213">
        <f ca="1">IF(dynamic="Yes",Calculations!AU164,Calculations2!AU57)</f>
        <v>0</v>
      </c>
      <c r="P16" s="9"/>
      <c r="Q16" s="9"/>
      <c r="R16" s="9"/>
      <c r="S16" s="9"/>
      <c r="T16" s="9"/>
      <c r="U16" s="9"/>
      <c r="V16" s="9"/>
      <c r="W16" s="9"/>
      <c r="X16" s="9"/>
      <c r="Y16" s="9"/>
      <c r="Z16" s="9"/>
    </row>
    <row r="17" spans="2:16">
      <c r="B17" s="11">
        <f>comparador3</f>
        <v>0</v>
      </c>
      <c r="C17" s="213">
        <f ca="1">IF(dynamic="Yes",Calculations!AY103,Calculations2!AY36)</f>
        <v>0</v>
      </c>
      <c r="D17" s="213">
        <f ca="1">IF(dynamic="Yes",Calculations!AZ103,Calculations2!AZ36)</f>
        <v>0</v>
      </c>
      <c r="E17" s="213">
        <f ca="1">IF(dynamic="Yes",Calculations!BA103,Calculations2!BA36)</f>
        <v>0</v>
      </c>
      <c r="F17" s="213">
        <f ca="1">IF(dynamic="Yes",Calculations!BB103,Calculations2!BB36)</f>
        <v>0</v>
      </c>
      <c r="G17" s="213">
        <f ca="1">IF(dynamic="Yes",Calculations!BC103,Calculations2!BC36)</f>
        <v>0</v>
      </c>
      <c r="H17" s="206"/>
      <c r="I17" s="206"/>
      <c r="J17" s="11">
        <f>comparador3</f>
        <v>0</v>
      </c>
      <c r="K17" s="213">
        <f ca="1">IF(dynamic="Yes",Calculations!AY164,Calculations2!AY57)</f>
        <v>0</v>
      </c>
      <c r="L17" s="213">
        <f ca="1">IF(dynamic="Yes",Calculations!AZ164,Calculations2!AZ57)</f>
        <v>0</v>
      </c>
      <c r="M17" s="213">
        <f ca="1">IF(dynamic="Yes",Calculations!BA164,Calculations2!BA57)</f>
        <v>0</v>
      </c>
      <c r="N17" s="213">
        <f ca="1">IF(dynamic="Yes",Calculations!BB164,Calculations2!BB57)</f>
        <v>0</v>
      </c>
      <c r="O17" s="213">
        <f ca="1">IF(dynamic="Yes",Calculations!BC164,Calculations2!BC57)</f>
        <v>0</v>
      </c>
      <c r="P17" s="9"/>
    </row>
    <row r="18" spans="2:16">
      <c r="B18" s="11">
        <f>comparador4</f>
        <v>0</v>
      </c>
      <c r="C18" s="213">
        <f ca="1">IF(dynamic="Yes",Calculations!BG103,Calculations2!BG36)</f>
        <v>0</v>
      </c>
      <c r="D18" s="213">
        <f ca="1">IF(dynamic="Yes",Calculations!BH103,Calculations2!BH36)</f>
        <v>0</v>
      </c>
      <c r="E18" s="213">
        <f ca="1">IF(dynamic="Yes",Calculations!BI103,Calculations2!BI36)</f>
        <v>0</v>
      </c>
      <c r="F18" s="213">
        <f ca="1">IF(dynamic="Yes",Calculations!BJ103,Calculations2!BJ36)</f>
        <v>0</v>
      </c>
      <c r="G18" s="213">
        <f ca="1">IF(dynamic="Yes",Calculations!BK103,Calculations2!BK36)</f>
        <v>0</v>
      </c>
      <c r="H18" s="206"/>
      <c r="I18" s="206"/>
      <c r="J18" s="11">
        <f>comparador4</f>
        <v>0</v>
      </c>
      <c r="K18" s="213">
        <f ca="1">IF(dynamic="Yes",Calculations!BG164,Calculations2!BG57)</f>
        <v>0</v>
      </c>
      <c r="L18" s="213">
        <f ca="1">IF(dynamic="Yes",Calculations!BH164,Calculations2!BH57)</f>
        <v>0</v>
      </c>
      <c r="M18" s="213">
        <f ca="1">IF(dynamic="Yes",Calculations!BI164,Calculations2!BI57)</f>
        <v>0</v>
      </c>
      <c r="N18" s="213">
        <f ca="1">IF(dynamic="Yes",Calculations!BJ164,Calculations2!BJ57)</f>
        <v>0</v>
      </c>
      <c r="O18" s="213">
        <f ca="1">IF(dynamic="Yes",Calculations!BK164,Calculations2!BK57)</f>
        <v>0</v>
      </c>
      <c r="P18" s="9"/>
    </row>
    <row r="19" spans="2:16">
      <c r="B19" s="11">
        <f>comparador5</f>
        <v>0</v>
      </c>
      <c r="C19" s="213">
        <f ca="1">IF(dynamic="Yes",Calculations!BO103,Calculations2!BO36)</f>
        <v>0</v>
      </c>
      <c r="D19" s="213">
        <f ca="1">IF(dynamic="Yes",Calculations!BP103,Calculations2!BP36)</f>
        <v>0</v>
      </c>
      <c r="E19" s="213">
        <f ca="1">IF(dynamic="Yes",Calculations!BQ103,Calculations2!BQ36)</f>
        <v>0</v>
      </c>
      <c r="F19" s="213">
        <f ca="1">IF(dynamic="Yes",Calculations!BR103,Calculations2!BR36)</f>
        <v>0</v>
      </c>
      <c r="G19" s="213">
        <f ca="1">IF(dynamic="Yes",Calculations!BS103,Calculations2!BS36)</f>
        <v>0</v>
      </c>
      <c r="H19" s="206"/>
      <c r="I19" s="206"/>
      <c r="J19" s="11">
        <f>comparador5</f>
        <v>0</v>
      </c>
      <c r="K19" s="213">
        <f ca="1">IF(dynamic="Yes",Calculations!BO164,Calculations2!BO57)</f>
        <v>0</v>
      </c>
      <c r="L19" s="213">
        <f ca="1">IF(dynamic="Yes",Calculations!BP164,Calculations2!BP57)</f>
        <v>0</v>
      </c>
      <c r="M19" s="213">
        <f ca="1">IF(dynamic="Yes",Calculations!BQ164,Calculations2!BQ57)</f>
        <v>0</v>
      </c>
      <c r="N19" s="213">
        <f ca="1">IF(dynamic="Yes",Calculations!BR164,Calculations2!BR57)</f>
        <v>0</v>
      </c>
      <c r="O19" s="213">
        <f ca="1">IF(dynamic="Yes",Calculations!BS164,Calculations2!BS57)</f>
        <v>0</v>
      </c>
      <c r="P19" s="9"/>
    </row>
    <row r="20" spans="2:16">
      <c r="B20" s="11">
        <f>comparador6</f>
        <v>0</v>
      </c>
      <c r="C20" s="213">
        <f ca="1">IF(dynamic="Yes",Calculations!BW103,Calculations2!BW36)</f>
        <v>0</v>
      </c>
      <c r="D20" s="213">
        <f ca="1">IF(dynamic="Yes",Calculations!BX103,Calculations2!BX36)</f>
        <v>0</v>
      </c>
      <c r="E20" s="213">
        <f ca="1">IF(dynamic="Yes",Calculations!BY103,Calculations2!BY36)</f>
        <v>0</v>
      </c>
      <c r="F20" s="213">
        <f ca="1">IF(dynamic="Yes",Calculations!BZ103,Calculations2!BZ36)</f>
        <v>0</v>
      </c>
      <c r="G20" s="213">
        <f ca="1">IF(dynamic="Yes",Calculations!CA103,Calculations2!CA36)</f>
        <v>0</v>
      </c>
      <c r="H20" s="206"/>
      <c r="I20" s="206"/>
      <c r="J20" s="11">
        <f>comparador6</f>
        <v>0</v>
      </c>
      <c r="K20" s="213">
        <f ca="1">IF(dynamic="Yes",Calculations!BW164,Calculations2!BW57)</f>
        <v>0</v>
      </c>
      <c r="L20" s="213">
        <f ca="1">IF(dynamic="Yes",Calculations!BX164,Calculations2!BX57)</f>
        <v>0</v>
      </c>
      <c r="M20" s="213">
        <f ca="1">IF(dynamic="Yes",Calculations!BY164,Calculations2!BY57)</f>
        <v>0</v>
      </c>
      <c r="N20" s="213">
        <f ca="1">IF(dynamic="Yes",Calculations!BZ164,Calculations2!BZ57)</f>
        <v>0</v>
      </c>
      <c r="O20" s="213">
        <f ca="1">IF(dynamic="Yes",Calculations!CA164,Calculations2!CA57)</f>
        <v>0</v>
      </c>
      <c r="P20" s="9"/>
    </row>
    <row r="21" spans="2:16">
      <c r="B21" s="11">
        <f>comparador7</f>
        <v>0</v>
      </c>
      <c r="C21" s="213">
        <f ca="1">IF(dynamic="Yes",Calculations!CE103,Calculations2!CE36)</f>
        <v>0</v>
      </c>
      <c r="D21" s="213">
        <f ca="1">IF(dynamic="Yes",Calculations!CF103,Calculations2!CF36)</f>
        <v>0</v>
      </c>
      <c r="E21" s="213">
        <f ca="1">IF(dynamic="Yes",Calculations!CG103,Calculations2!CG36)</f>
        <v>0</v>
      </c>
      <c r="F21" s="213">
        <f ca="1">IF(dynamic="Yes",Calculations!CH103,Calculations2!CH36)</f>
        <v>0</v>
      </c>
      <c r="G21" s="213">
        <f ca="1">IF(dynamic="Yes",Calculations!CI103,Calculations2!CI36)</f>
        <v>0</v>
      </c>
      <c r="H21" s="206"/>
      <c r="I21" s="206"/>
      <c r="J21" s="11">
        <f>comparador7</f>
        <v>0</v>
      </c>
      <c r="K21" s="213">
        <f ca="1">IF(dynamic="Yes",Calculations!CE164,Calculations2!CE57)</f>
        <v>0</v>
      </c>
      <c r="L21" s="213">
        <f ca="1">IF(dynamic="Yes",Calculations!CF164,Calculations2!CF57)</f>
        <v>0</v>
      </c>
      <c r="M21" s="213">
        <f ca="1">IF(dynamic="Yes",Calculations!CG164,Calculations2!CG57)</f>
        <v>0</v>
      </c>
      <c r="N21" s="213">
        <f ca="1">IF(dynamic="Yes",Calculations!CH164,Calculations2!CH57)</f>
        <v>0</v>
      </c>
      <c r="O21" s="213">
        <f ca="1">IF(dynamic="Yes",Calculations!CI164,Calculations2!CI57)</f>
        <v>0</v>
      </c>
      <c r="P21" s="9"/>
    </row>
    <row r="22" spans="2:16">
      <c r="B22" s="11">
        <f>comparador8</f>
        <v>0</v>
      </c>
      <c r="C22" s="213">
        <f ca="1">IF(dynamic="Yes",Calculations!CM103,Calculations2!CM36)</f>
        <v>0</v>
      </c>
      <c r="D22" s="213">
        <f ca="1">IF(dynamic="Yes",Calculations!CN103,Calculations2!CN36)</f>
        <v>0</v>
      </c>
      <c r="E22" s="213">
        <f ca="1">IF(dynamic="Yes",Calculations!CO103,Calculations2!CO36)</f>
        <v>0</v>
      </c>
      <c r="F22" s="213">
        <f ca="1">IF(dynamic="Yes",Calculations!CP103,Calculations2!CP36)</f>
        <v>0</v>
      </c>
      <c r="G22" s="213">
        <f ca="1">IF(dynamic="Yes",Calculations!CQ103,Calculations2!CQ36)</f>
        <v>0</v>
      </c>
      <c r="H22" s="206"/>
      <c r="I22" s="206"/>
      <c r="J22" s="11">
        <f>comparador8</f>
        <v>0</v>
      </c>
      <c r="K22" s="213">
        <f ca="1">IF(dynamic="Yes",Calculations!CM164,Calculations2!CM57)</f>
        <v>0</v>
      </c>
      <c r="L22" s="213">
        <f ca="1">IF(dynamic="Yes",Calculations!CN164,Calculations2!CN57)</f>
        <v>0</v>
      </c>
      <c r="M22" s="213">
        <f ca="1">IF(dynamic="Yes",Calculations!CO164,Calculations2!CO57)</f>
        <v>0</v>
      </c>
      <c r="N22" s="213">
        <f ca="1">IF(dynamic="Yes",Calculations!CP164,Calculations2!CP57)</f>
        <v>0</v>
      </c>
      <c r="O22" s="213">
        <f ca="1">IF(dynamic="Yes",Calculations!CQ164,Calculations2!CQ57)</f>
        <v>0</v>
      </c>
      <c r="P22" s="9"/>
    </row>
    <row r="23" spans="2:16">
      <c r="B23" s="11">
        <f>comparador9</f>
        <v>0</v>
      </c>
      <c r="C23" s="213">
        <f ca="1">IF(dynamic="Yes",Calculations!CU103,Calculations2!CU36)</f>
        <v>0</v>
      </c>
      <c r="D23" s="213">
        <f ca="1">IF(dynamic="Yes",Calculations!CV103,Calculations2!CV36)</f>
        <v>0</v>
      </c>
      <c r="E23" s="213">
        <f ca="1">IF(dynamic="Yes",Calculations!CW103,Calculations2!CW36)</f>
        <v>0</v>
      </c>
      <c r="F23" s="213">
        <f ca="1">IF(dynamic="Yes",Calculations!CX103,Calculations2!CX36)</f>
        <v>0</v>
      </c>
      <c r="G23" s="213">
        <f ca="1">IF(dynamic="Yes",Calculations!CY103,Calculations2!CY36)</f>
        <v>0</v>
      </c>
      <c r="H23" s="206"/>
      <c r="I23" s="206"/>
      <c r="J23" s="11">
        <f>comparador9</f>
        <v>0</v>
      </c>
      <c r="K23" s="213">
        <f ca="1">IF(dynamic="Yes",Calculations!CU164,Calculations2!CU57)</f>
        <v>0</v>
      </c>
      <c r="L23" s="213">
        <f ca="1">IF(dynamic="Yes",Calculations!CV164,Calculations2!CV57)</f>
        <v>0</v>
      </c>
      <c r="M23" s="213">
        <f ca="1">IF(dynamic="Yes",Calculations!CW164,Calculations2!CW57)</f>
        <v>0</v>
      </c>
      <c r="N23" s="213">
        <f ca="1">IF(dynamic="Yes",Calculations!CX164,Calculations2!CX57)</f>
        <v>0</v>
      </c>
      <c r="O23" s="213">
        <f ca="1">IF(dynamic="Yes",Calculations!CY164,Calculations2!CY57)</f>
        <v>0</v>
      </c>
      <c r="P23" s="9"/>
    </row>
    <row r="24" spans="2:16">
      <c r="B24" s="11">
        <f>comparador10</f>
        <v>0</v>
      </c>
      <c r="C24" s="213">
        <f ca="1">IF(dynamic="Yes",Calculations!DC103,Calculations2!DC57)</f>
        <v>0</v>
      </c>
      <c r="D24" s="213">
        <f ca="1">IF(dynamic="Yes",Calculations!DD103,Calculations2!DD57)</f>
        <v>0</v>
      </c>
      <c r="E24" s="213">
        <f ca="1">IF(dynamic="Yes",Calculations!DE103,Calculations2!DE57)</f>
        <v>0</v>
      </c>
      <c r="F24" s="213">
        <f ca="1">IF(dynamic="Yes",Calculations!DF103,Calculations2!DF57)</f>
        <v>0</v>
      </c>
      <c r="G24" s="213">
        <f ca="1">IF(dynamic="Yes",Calculations!DG103,Calculations2!DG57)</f>
        <v>0</v>
      </c>
      <c r="H24" s="206"/>
      <c r="I24" s="206"/>
      <c r="J24" s="11">
        <f>comparador10</f>
        <v>0</v>
      </c>
      <c r="K24" s="213">
        <f ca="1">IF(dynamic="Yes",Calculations!DC164,Calculations2!DC57)</f>
        <v>0</v>
      </c>
      <c r="L24" s="213">
        <f ca="1">IF(dynamic="Yes",Calculations!DD164,Calculations2!DD57)</f>
        <v>0</v>
      </c>
      <c r="M24" s="213">
        <f ca="1">IF(dynamic="Yes",Calculations!DE164,Calculations2!DE57)</f>
        <v>0</v>
      </c>
      <c r="N24" s="213">
        <f ca="1">IF(dynamic="Yes",Calculations!DF164,Calculations2!DF57)</f>
        <v>0</v>
      </c>
      <c r="O24" s="213">
        <f ca="1">IF(dynamic="Yes",Calculations!DG164,Calculations2!DG57)</f>
        <v>0</v>
      </c>
      <c r="P24" s="9"/>
    </row>
    <row r="25" spans="2:16">
      <c r="B25" s="115" t="s">
        <v>5</v>
      </c>
      <c r="C25" s="213">
        <f ca="1">SUM(C11:C24)</f>
        <v>5840477.6854851758</v>
      </c>
      <c r="D25" s="213">
        <f t="shared" ref="D25:G25" ca="1" si="2">SUM(D11:D24)</f>
        <v>5876554.1572671244</v>
      </c>
      <c r="E25" s="213">
        <f t="shared" ca="1" si="2"/>
        <v>5911096.1130910916</v>
      </c>
      <c r="F25" s="213">
        <f t="shared" ca="1" si="2"/>
        <v>5944062.261561838</v>
      </c>
      <c r="G25" s="213">
        <f t="shared" ca="1" si="2"/>
        <v>5975411.3917741701</v>
      </c>
      <c r="H25" s="206"/>
      <c r="I25" s="206"/>
      <c r="J25" s="216" t="s">
        <v>5</v>
      </c>
      <c r="K25" s="213">
        <f ca="1">SUM(K11:K24)</f>
        <v>5840477.6854851758</v>
      </c>
      <c r="L25" s="213">
        <f t="shared" ref="L25:O25" ca="1" si="3">SUM(L11:L24)</f>
        <v>5876554.1572671244</v>
      </c>
      <c r="M25" s="213">
        <f t="shared" ca="1" si="3"/>
        <v>5911096.1130910916</v>
      </c>
      <c r="N25" s="213">
        <f t="shared" ca="1" si="3"/>
        <v>5944062.261561838</v>
      </c>
      <c r="O25" s="213">
        <f t="shared" ca="1" si="3"/>
        <v>5975411.3917741701</v>
      </c>
      <c r="P25" s="9"/>
    </row>
    <row r="27" spans="2:16">
      <c r="B27" s="513" t="str">
        <f>cen_prop1</f>
        <v>With PET-CT 20-100%</v>
      </c>
      <c r="C27" s="513"/>
      <c r="D27" s="513"/>
      <c r="E27" s="513"/>
      <c r="F27" s="513"/>
      <c r="G27" s="513"/>
      <c r="H27" s="513"/>
      <c r="I27" s="9"/>
      <c r="J27" s="513" t="str">
        <f>cen_prop1</f>
        <v>With PET-CT 20-100%</v>
      </c>
      <c r="K27" s="513"/>
      <c r="L27" s="513"/>
      <c r="M27" s="513"/>
      <c r="N27" s="513"/>
      <c r="O27" s="513"/>
      <c r="P27" s="513"/>
    </row>
    <row r="29" spans="2:16">
      <c r="B29" s="93" t="s">
        <v>81</v>
      </c>
      <c r="C29" s="93">
        <f>ano_1</f>
        <v>2024</v>
      </c>
      <c r="D29" s="93">
        <f>C29+1</f>
        <v>2025</v>
      </c>
      <c r="E29" s="93">
        <f t="shared" ref="E29:G29" si="4">D29+1</f>
        <v>2026</v>
      </c>
      <c r="F29" s="93">
        <f t="shared" si="4"/>
        <v>2027</v>
      </c>
      <c r="G29" s="93">
        <f t="shared" si="4"/>
        <v>2028</v>
      </c>
      <c r="H29" s="5"/>
      <c r="I29" s="9"/>
      <c r="J29" s="93" t="s">
        <v>81</v>
      </c>
      <c r="K29" s="93">
        <f>ano_1</f>
        <v>2024</v>
      </c>
      <c r="L29" s="93">
        <f>K29+1</f>
        <v>2025</v>
      </c>
      <c r="M29" s="93">
        <f t="shared" ref="M29:O29" si="5">L29+1</f>
        <v>2026</v>
      </c>
      <c r="N29" s="93">
        <f t="shared" si="5"/>
        <v>2027</v>
      </c>
      <c r="O29" s="93">
        <f t="shared" si="5"/>
        <v>2028</v>
      </c>
      <c r="P29" s="5"/>
    </row>
    <row r="30" spans="2:16">
      <c r="B30" s="11" t="str">
        <f>intervencao1</f>
        <v>PET-CT</v>
      </c>
      <c r="C30" s="213">
        <f ca="1">IF(dynamic="Yes",Calculations!C117,Calculations2!C40)</f>
        <v>3181339.1732890946</v>
      </c>
      <c r="D30" s="213">
        <f ca="1">IF(dynamic="Yes",Calculations!D117,Calculations2!D40)</f>
        <v>6401980.437638036</v>
      </c>
      <c r="E30" s="213">
        <f ca="1">IF(dynamic="Yes",Calculations!E117,Calculations2!E40)</f>
        <v>9659416.2161025796</v>
      </c>
      <c r="F30" s="213">
        <f ca="1">IF(dynamic="Yes",Calculations!F117,Calculations2!F40)</f>
        <v>12951048.965170497</v>
      </c>
      <c r="G30" s="213">
        <f ca="1">IF(dynamic="Yes",Calculations!G117,Calculations2!G40)</f>
        <v>16274191.393978339</v>
      </c>
      <c r="H30" s="206"/>
      <c r="I30" s="206"/>
      <c r="J30" s="214" t="str">
        <f>intervencao1</f>
        <v>PET-CT</v>
      </c>
      <c r="K30" s="213">
        <f ca="1">IF(dynamic="Yes",Calculations!C178,Calculations2!C61)</f>
        <v>3181339.1732890946</v>
      </c>
      <c r="L30" s="213">
        <f ca="1">IF(dynamic="Yes",Calculations!D178,Calculations2!D61)</f>
        <v>6401980.437638036</v>
      </c>
      <c r="M30" s="213">
        <f ca="1">IF(dynamic="Yes",Calculations!E178,Calculations2!E61)</f>
        <v>9659416.2161025796</v>
      </c>
      <c r="N30" s="213">
        <f ca="1">IF(dynamic="Yes",Calculations!F178,Calculations2!F61)</f>
        <v>12951048.965170497</v>
      </c>
      <c r="O30" s="213">
        <f ca="1">IF(dynamic="Yes",Calculations!G178,Calculations2!G61)</f>
        <v>16274191.393978339</v>
      </c>
      <c r="P30" s="9"/>
    </row>
    <row r="31" spans="2:16">
      <c r="B31" s="11">
        <f>intervencao2</f>
        <v>0</v>
      </c>
      <c r="C31" s="213">
        <f ca="1">IF(dynamic="Yes",Calculations!K117,Calculations2!K40)</f>
        <v>0</v>
      </c>
      <c r="D31" s="213">
        <f ca="1">IF(dynamic="Yes",Calculations!L117,Calculations2!L40)</f>
        <v>0</v>
      </c>
      <c r="E31" s="213">
        <f ca="1">IF(dynamic="Yes",Calculations!M117,Calculations2!M40)</f>
        <v>0</v>
      </c>
      <c r="F31" s="213">
        <f ca="1">IF(dynamic="Yes",Calculations!N117,Calculations2!N40)</f>
        <v>0</v>
      </c>
      <c r="G31" s="213">
        <f ca="1">IF(dynamic="Yes",Calculations!O117,Calculations2!O40)</f>
        <v>0</v>
      </c>
      <c r="H31" s="215"/>
      <c r="I31" s="206"/>
      <c r="J31" s="11">
        <f>intervencao2</f>
        <v>0</v>
      </c>
      <c r="K31" s="213">
        <f ca="1">IF(dynamic="Yes",Calculations!K178,Calculations2!K61)</f>
        <v>0</v>
      </c>
      <c r="L31" s="213">
        <f ca="1">IF(dynamic="Yes",Calculations!L178,Calculations2!L61)</f>
        <v>0</v>
      </c>
      <c r="M31" s="213">
        <f ca="1">IF(dynamic="Yes",Calculations!M178,Calculations2!M61)</f>
        <v>0</v>
      </c>
      <c r="N31" s="213">
        <f ca="1">IF(dynamic="Yes",Calculations!N178,Calculations2!N61)</f>
        <v>0</v>
      </c>
      <c r="O31" s="213">
        <f ca="1">IF(dynamic="Yes",Calculations!O178,Calculations2!O61)</f>
        <v>0</v>
      </c>
      <c r="P31" s="4"/>
    </row>
    <row r="32" spans="2:16">
      <c r="B32" s="11">
        <f>intervencao3</f>
        <v>0</v>
      </c>
      <c r="C32" s="213">
        <f ca="1">IF(dynamic="Yes",Calculations!S117,Calculations2!S40)</f>
        <v>0</v>
      </c>
      <c r="D32" s="213">
        <f ca="1">IF(dynamic="Yes",Calculations!T117,Calculations2!T40)</f>
        <v>0</v>
      </c>
      <c r="E32" s="213">
        <f ca="1">IF(dynamic="Yes",Calculations!U117,Calculations2!U40)</f>
        <v>0</v>
      </c>
      <c r="F32" s="213">
        <f ca="1">IF(dynamic="Yes",Calculations!V117,Calculations2!V40)</f>
        <v>0</v>
      </c>
      <c r="G32" s="213">
        <f ca="1">IF(dynamic="Yes",Calculations!W117,Calculations2!W40)</f>
        <v>0</v>
      </c>
      <c r="H32" s="206"/>
      <c r="I32" s="206"/>
      <c r="J32" s="11">
        <f>intervencao3</f>
        <v>0</v>
      </c>
      <c r="K32" s="213">
        <f ca="1">IF(dynamic="Yes",Calculations!S178,Calculations2!S61)</f>
        <v>0</v>
      </c>
      <c r="L32" s="213">
        <f ca="1">IF(dynamic="Yes",Calculations!T178,Calculations2!T61)</f>
        <v>0</v>
      </c>
      <c r="M32" s="213">
        <f ca="1">IF(dynamic="Yes",Calculations!U178,Calculations2!U61)</f>
        <v>0</v>
      </c>
      <c r="N32" s="213">
        <f ca="1">IF(dynamic="Yes",Calculations!V178,Calculations2!V61)</f>
        <v>0</v>
      </c>
      <c r="O32" s="213">
        <f ca="1">IF(dynamic="Yes",Calculations!W178,Calculations2!W61)</f>
        <v>0</v>
      </c>
      <c r="P32" s="9"/>
    </row>
    <row r="33" spans="2:16">
      <c r="B33" s="11">
        <f>intervencao4</f>
        <v>0</v>
      </c>
      <c r="C33" s="213">
        <f ca="1">IF(dynamic="Yes",Calculations!AA117,Calculations2!AA40)</f>
        <v>0</v>
      </c>
      <c r="D33" s="213">
        <f ca="1">IF(dynamic="Yes",Calculations!AB117,Calculations2!AB40)</f>
        <v>0</v>
      </c>
      <c r="E33" s="213">
        <f ca="1">IF(dynamic="Yes",Calculations!AC117,Calculations2!AC40)</f>
        <v>0</v>
      </c>
      <c r="F33" s="213">
        <f ca="1">IF(dynamic="Yes",Calculations!AD117,Calculations2!AD40)</f>
        <v>0</v>
      </c>
      <c r="G33" s="213">
        <f ca="1">IF(dynamic="Yes",Calculations!AE117,Calculations2!AE40)</f>
        <v>0</v>
      </c>
      <c r="H33" s="206"/>
      <c r="I33" s="206"/>
      <c r="J33" s="11">
        <f>intervencao4</f>
        <v>0</v>
      </c>
      <c r="K33" s="213">
        <f ca="1">IF(dynamic="Yes",Calculations!AA178,Calculations2!AA61)</f>
        <v>0</v>
      </c>
      <c r="L33" s="213">
        <f ca="1">IF(dynamic="Yes",Calculations!AB178,Calculations2!AB61)</f>
        <v>0</v>
      </c>
      <c r="M33" s="213">
        <f ca="1">IF(dynamic="Yes",Calculations!AC178,Calculations2!AC61)</f>
        <v>0</v>
      </c>
      <c r="N33" s="213">
        <f ca="1">IF(dynamic="Yes",Calculations!AD178,Calculations2!AD61)</f>
        <v>0</v>
      </c>
      <c r="O33" s="213">
        <f ca="1">IF(dynamic="Yes",Calculations!AE178,Calculations2!AE61)</f>
        <v>0</v>
      </c>
      <c r="P33" s="9"/>
    </row>
    <row r="34" spans="2:16">
      <c r="B34" s="11" t="str">
        <f>comparador1</f>
        <v>CT scan + scintigraphy</v>
      </c>
      <c r="C34" s="213">
        <f ca="1">IF(dynamic="Yes",Calculations!AI117,Calculations2!AI40)</f>
        <v>4672382.1483881408</v>
      </c>
      <c r="D34" s="213">
        <f ca="1">IF(dynamic="Yes",Calculations!AJ117,Calculations2!AJ40)</f>
        <v>3525932.4943602746</v>
      </c>
      <c r="E34" s="213">
        <f ca="1">IF(dynamic="Yes",Calculations!AK117,Calculations2!AK40)</f>
        <v>2364438.4452364366</v>
      </c>
      <c r="F34" s="213">
        <f ca="1">IF(dynamic="Yes",Calculations!AL117,Calculations2!AL40)</f>
        <v>1188812.4523123673</v>
      </c>
      <c r="G34" s="213">
        <f ca="1">IF(dynamic="Yes",Calculations!AM117,Calculations2!AM40)</f>
        <v>0</v>
      </c>
      <c r="H34" s="206"/>
      <c r="I34" s="206"/>
      <c r="J34" s="11" t="str">
        <f>comparador1</f>
        <v>CT scan + scintigraphy</v>
      </c>
      <c r="K34" s="213">
        <f ca="1">IF(dynamic="Yes",Calculations!AI178,Calculations2!AI61)</f>
        <v>4672382.1483881408</v>
      </c>
      <c r="L34" s="213">
        <f ca="1">IF(dynamic="Yes",Calculations!AJ178,Calculations2!AJ61)</f>
        <v>3525932.4943602746</v>
      </c>
      <c r="M34" s="213">
        <f ca="1">IF(dynamic="Yes",Calculations!AK178,Calculations2!AK61)</f>
        <v>2364438.4452364366</v>
      </c>
      <c r="N34" s="213">
        <f ca="1">IF(dynamic="Yes",Calculations!AL178,Calculations2!AL61)</f>
        <v>1188812.4523123673</v>
      </c>
      <c r="O34" s="213">
        <f ca="1">IF(dynamic="Yes",Calculations!AM178,Calculations2!AM61)</f>
        <v>0</v>
      </c>
      <c r="P34" s="9"/>
    </row>
    <row r="35" spans="2:16">
      <c r="B35" s="11">
        <f>comparador2</f>
        <v>0</v>
      </c>
      <c r="C35" s="213">
        <f ca="1">IF(dynamic="Yes",Calculations!AQ117,Calculations2!AQ40)</f>
        <v>0</v>
      </c>
      <c r="D35" s="213">
        <f ca="1">IF(dynamic="Yes",Calculations!AR117,Calculations2!AR40)</f>
        <v>0</v>
      </c>
      <c r="E35" s="213">
        <f ca="1">IF(dynamic="Yes",Calculations!AS117,Calculations2!AS40)</f>
        <v>0</v>
      </c>
      <c r="F35" s="213">
        <f ca="1">IF(dynamic="Yes",Calculations!AT117,Calculations2!AT40)</f>
        <v>0</v>
      </c>
      <c r="G35" s="213">
        <f ca="1">IF(dynamic="Yes",Calculations!AU117,Calculations2!AU40)</f>
        <v>0</v>
      </c>
      <c r="H35" s="206"/>
      <c r="I35" s="206"/>
      <c r="J35" s="11">
        <f>comparador2</f>
        <v>0</v>
      </c>
      <c r="K35" s="213">
        <f ca="1">IF(dynamic="Yes",Calculations!AQ178,Calculations2!AQ61)</f>
        <v>0</v>
      </c>
      <c r="L35" s="213">
        <f ca="1">IF(dynamic="Yes",Calculations!AR178,Calculations2!AR61)</f>
        <v>0</v>
      </c>
      <c r="M35" s="213">
        <f ca="1">IF(dynamic="Yes",Calculations!AS178,Calculations2!AS61)</f>
        <v>0</v>
      </c>
      <c r="N35" s="213">
        <f ca="1">IF(dynamic="Yes",Calculations!AT178,Calculations2!AT61)</f>
        <v>0</v>
      </c>
      <c r="O35" s="213">
        <f ca="1">IF(dynamic="Yes",Calculations!AU178,Calculations2!AU61)</f>
        <v>0</v>
      </c>
      <c r="P35" s="9"/>
    </row>
    <row r="36" spans="2:16">
      <c r="B36" s="11">
        <f>comparador3</f>
        <v>0</v>
      </c>
      <c r="C36" s="213">
        <f ca="1">IF(dynamic="Yes",Calculations!AY117,Calculations2!AY40)</f>
        <v>0</v>
      </c>
      <c r="D36" s="213">
        <f ca="1">IF(dynamic="Yes",Calculations!AZ117,Calculations2!AZ40)</f>
        <v>0</v>
      </c>
      <c r="E36" s="213">
        <f ca="1">IF(dynamic="Yes",Calculations!BA117,Calculations2!BA40)</f>
        <v>0</v>
      </c>
      <c r="F36" s="213">
        <f ca="1">IF(dynamic="Yes",Calculations!BB117,Calculations2!BB40)</f>
        <v>0</v>
      </c>
      <c r="G36" s="213">
        <f ca="1">IF(dynamic="Yes",Calculations!BC117,Calculations2!BC40)</f>
        <v>0</v>
      </c>
      <c r="H36" s="206"/>
      <c r="I36" s="206"/>
      <c r="J36" s="11">
        <f>comparador3</f>
        <v>0</v>
      </c>
      <c r="K36" s="213">
        <f ca="1">IF(dynamic="Yes",Calculations!AY178,Calculations2!AY61)</f>
        <v>0</v>
      </c>
      <c r="L36" s="213">
        <f ca="1">IF(dynamic="Yes",Calculations!AZ178,Calculations2!AZ61)</f>
        <v>0</v>
      </c>
      <c r="M36" s="213">
        <f ca="1">IF(dynamic="Yes",Calculations!BA178,Calculations2!BA61)</f>
        <v>0</v>
      </c>
      <c r="N36" s="213">
        <f ca="1">IF(dynamic="Yes",Calculations!BB178,Calculations2!BB61)</f>
        <v>0</v>
      </c>
      <c r="O36" s="213">
        <f ca="1">IF(dynamic="Yes",Calculations!BC178,Calculations2!BC61)</f>
        <v>0</v>
      </c>
      <c r="P36" s="9"/>
    </row>
    <row r="37" spans="2:16">
      <c r="B37" s="11">
        <f>comparador4</f>
        <v>0</v>
      </c>
      <c r="C37" s="213">
        <f ca="1">IF(dynamic="Yes",Calculations!BG117,Calculations2!BG40)</f>
        <v>0</v>
      </c>
      <c r="D37" s="213">
        <f ca="1">IF(dynamic="Yes",Calculations!BH117,Calculations2!BH40)</f>
        <v>0</v>
      </c>
      <c r="E37" s="213">
        <f ca="1">IF(dynamic="Yes",Calculations!BI117,Calculations2!BI40)</f>
        <v>0</v>
      </c>
      <c r="F37" s="213">
        <f ca="1">IF(dynamic="Yes",Calculations!BJ117,Calculations2!BJ40)</f>
        <v>0</v>
      </c>
      <c r="G37" s="213">
        <f ca="1">IF(dynamic="Yes",Calculations!BK117,Calculations2!BK40)</f>
        <v>0</v>
      </c>
      <c r="H37" s="206"/>
      <c r="I37" s="206"/>
      <c r="J37" s="11">
        <f>comparador4</f>
        <v>0</v>
      </c>
      <c r="K37" s="213">
        <f ca="1">IF(dynamic="Yes",Calculations!BG178,Calculations2!BG61)</f>
        <v>0</v>
      </c>
      <c r="L37" s="213">
        <f ca="1">IF(dynamic="Yes",Calculations!BH178,Calculations2!BH61)</f>
        <v>0</v>
      </c>
      <c r="M37" s="213">
        <f ca="1">IF(dynamic="Yes",Calculations!BI178,Calculations2!BI61)</f>
        <v>0</v>
      </c>
      <c r="N37" s="213">
        <f ca="1">IF(dynamic="Yes",Calculations!BJ178,Calculations2!BJ61)</f>
        <v>0</v>
      </c>
      <c r="O37" s="213">
        <f ca="1">IF(dynamic="Yes",Calculations!BK178,Calculations2!BK61)</f>
        <v>0</v>
      </c>
      <c r="P37" s="9"/>
    </row>
    <row r="38" spans="2:16">
      <c r="B38" s="11">
        <f>comparador5</f>
        <v>0</v>
      </c>
      <c r="C38" s="213">
        <f ca="1">IF(dynamic="Yes",Calculations!BO117,Calculations2!BO40)</f>
        <v>0</v>
      </c>
      <c r="D38" s="213">
        <f ca="1">IF(dynamic="Yes",Calculations!BP117,Calculations2!BP40)</f>
        <v>0</v>
      </c>
      <c r="E38" s="213">
        <f ca="1">IF(dynamic="Yes",Calculations!BQ117,Calculations2!BQ40)</f>
        <v>0</v>
      </c>
      <c r="F38" s="213">
        <f ca="1">IF(dynamic="Yes",Calculations!BR117,Calculations2!BR40)</f>
        <v>0</v>
      </c>
      <c r="G38" s="213">
        <f ca="1">IF(dynamic="Yes",Calculations!BS117,Calculations2!BS40)</f>
        <v>0</v>
      </c>
      <c r="H38" s="206"/>
      <c r="I38" s="206"/>
      <c r="J38" s="11">
        <f>comparador5</f>
        <v>0</v>
      </c>
      <c r="K38" s="213">
        <f ca="1">IF(dynamic="Yes",Calculations!BO178,Calculations2!BO61)</f>
        <v>0</v>
      </c>
      <c r="L38" s="213">
        <f ca="1">IF(dynamic="Yes",Calculations!BP178,Calculations2!BP61)</f>
        <v>0</v>
      </c>
      <c r="M38" s="213">
        <f ca="1">IF(dynamic="Yes",Calculations!BQ178,Calculations2!BQ61)</f>
        <v>0</v>
      </c>
      <c r="N38" s="213">
        <f ca="1">IF(dynamic="Yes",Calculations!BR178,Calculations2!BR61)</f>
        <v>0</v>
      </c>
      <c r="O38" s="213">
        <f ca="1">IF(dynamic="Yes",Calculations!BS178,Calculations2!BS61)</f>
        <v>0</v>
      </c>
      <c r="P38" s="9"/>
    </row>
    <row r="39" spans="2:16">
      <c r="B39" s="11">
        <f>comparador6</f>
        <v>0</v>
      </c>
      <c r="C39" s="213">
        <f ca="1">IF(dynamic="Yes",Calculations!BW117,Calculations2!BW40)</f>
        <v>0</v>
      </c>
      <c r="D39" s="213">
        <f ca="1">IF(dynamic="Yes",Calculations!BX117,Calculations2!BX40)</f>
        <v>0</v>
      </c>
      <c r="E39" s="213">
        <f ca="1">IF(dynamic="Yes",Calculations!BY117,Calculations2!BY40)</f>
        <v>0</v>
      </c>
      <c r="F39" s="213">
        <f ca="1">IF(dynamic="Yes",Calculations!BZ117,Calculations2!BZ40)</f>
        <v>0</v>
      </c>
      <c r="G39" s="213">
        <f ca="1">IF(dynamic="Yes",Calculations!CA117,Calculations2!CA40)</f>
        <v>0</v>
      </c>
      <c r="H39" s="206"/>
      <c r="I39" s="206"/>
      <c r="J39" s="11">
        <f>comparador6</f>
        <v>0</v>
      </c>
      <c r="K39" s="213">
        <f ca="1">IF(dynamic="Yes",Calculations!BW178,Calculations2!BW61)</f>
        <v>0</v>
      </c>
      <c r="L39" s="213">
        <f ca="1">IF(dynamic="Yes",Calculations!BX178,Calculations2!BX61)</f>
        <v>0</v>
      </c>
      <c r="M39" s="213">
        <f ca="1">IF(dynamic="Yes",Calculations!BY178,Calculations2!BY61)</f>
        <v>0</v>
      </c>
      <c r="N39" s="213">
        <f ca="1">IF(dynamic="Yes",Calculations!BZ178,Calculations2!BZ61)</f>
        <v>0</v>
      </c>
      <c r="O39" s="213">
        <f ca="1">IF(dynamic="Yes",Calculations!CA178,Calculations2!CA61)</f>
        <v>0</v>
      </c>
      <c r="P39" s="9"/>
    </row>
    <row r="40" spans="2:16">
      <c r="B40" s="11">
        <f>comparador7</f>
        <v>0</v>
      </c>
      <c r="C40" s="213">
        <f ca="1">IF(dynamic="Yes",Calculations!CE117,Calculations2!CE40)</f>
        <v>0</v>
      </c>
      <c r="D40" s="213">
        <f ca="1">IF(dynamic="Yes",Calculations!CF117,Calculations2!CF40)</f>
        <v>0</v>
      </c>
      <c r="E40" s="213">
        <f ca="1">IF(dynamic="Yes",Calculations!CG117,Calculations2!CG40)</f>
        <v>0</v>
      </c>
      <c r="F40" s="213">
        <f ca="1">IF(dynamic="Yes",Calculations!CH117,Calculations2!CH40)</f>
        <v>0</v>
      </c>
      <c r="G40" s="213">
        <f ca="1">IF(dynamic="Yes",Calculations!CI117,Calculations2!CI40)</f>
        <v>0</v>
      </c>
      <c r="H40" s="206"/>
      <c r="I40" s="206"/>
      <c r="J40" s="11">
        <f>comparador7</f>
        <v>0</v>
      </c>
      <c r="K40" s="213">
        <f ca="1">IF(dynamic="Yes",Calculations!CE178,Calculations2!CE61)</f>
        <v>0</v>
      </c>
      <c r="L40" s="213">
        <f ca="1">IF(dynamic="Yes",Calculations!CF178,Calculations2!CF61)</f>
        <v>0</v>
      </c>
      <c r="M40" s="213">
        <f ca="1">IF(dynamic="Yes",Calculations!CG178,Calculations2!CG61)</f>
        <v>0</v>
      </c>
      <c r="N40" s="213">
        <f ca="1">IF(dynamic="Yes",Calculations!CH178,Calculations2!CH61)</f>
        <v>0</v>
      </c>
      <c r="O40" s="213">
        <f ca="1">IF(dynamic="Yes",Calculations!CI178,Calculations2!CI61)</f>
        <v>0</v>
      </c>
      <c r="P40" s="9"/>
    </row>
    <row r="41" spans="2:16">
      <c r="B41" s="11">
        <f>comparador8</f>
        <v>0</v>
      </c>
      <c r="C41" s="213">
        <f ca="1">IF(dynamic="Yes",Calculations!CM117,Calculations2!CM40)</f>
        <v>0</v>
      </c>
      <c r="D41" s="213">
        <f ca="1">IF(dynamic="Yes",Calculations!CN117,Calculations2!CN40)</f>
        <v>0</v>
      </c>
      <c r="E41" s="213">
        <f ca="1">IF(dynamic="Yes",Calculations!CO117,Calculations2!CO40)</f>
        <v>0</v>
      </c>
      <c r="F41" s="213">
        <f ca="1">IF(dynamic="Yes",Calculations!CP117,Calculations2!CP40)</f>
        <v>0</v>
      </c>
      <c r="G41" s="213">
        <f ca="1">IF(dynamic="Yes",Calculations!CQ117,Calculations2!CQ40)</f>
        <v>0</v>
      </c>
      <c r="H41" s="206"/>
      <c r="I41" s="206"/>
      <c r="J41" s="11">
        <f>comparador8</f>
        <v>0</v>
      </c>
      <c r="K41" s="213">
        <f ca="1">IF(dynamic="Yes",Calculations!CM178,Calculations2!CM61)</f>
        <v>0</v>
      </c>
      <c r="L41" s="213">
        <f ca="1">IF(dynamic="Yes",Calculations!CN178,Calculations2!CN61)</f>
        <v>0</v>
      </c>
      <c r="M41" s="213">
        <f ca="1">IF(dynamic="Yes",Calculations!CO178,Calculations2!CO61)</f>
        <v>0</v>
      </c>
      <c r="N41" s="213">
        <f ca="1">IF(dynamic="Yes",Calculations!CP178,Calculations2!CP61)</f>
        <v>0</v>
      </c>
      <c r="O41" s="213">
        <f ca="1">IF(dynamic="Yes",Calculations!CQ178,Calculations2!CQ61)</f>
        <v>0</v>
      </c>
      <c r="P41" s="9"/>
    </row>
    <row r="42" spans="2:16">
      <c r="B42" s="11">
        <f>comparador9</f>
        <v>0</v>
      </c>
      <c r="C42" s="213">
        <f ca="1">IF(dynamic="Yes",Calculations!CU117,Calculations2!CU40)</f>
        <v>0</v>
      </c>
      <c r="D42" s="213">
        <f ca="1">IF(dynamic="Yes",Calculations!CV117,Calculations2!CV40)</f>
        <v>0</v>
      </c>
      <c r="E42" s="213">
        <f ca="1">IF(dynamic="Yes",Calculations!CW117,Calculations2!CW40)</f>
        <v>0</v>
      </c>
      <c r="F42" s="213">
        <f ca="1">IF(dynamic="Yes",Calculations!CX117,Calculations2!CX40)</f>
        <v>0</v>
      </c>
      <c r="G42" s="213">
        <f ca="1">IF(dynamic="Yes",Calculations!CY117,Calculations2!CY40)</f>
        <v>0</v>
      </c>
      <c r="H42" s="206"/>
      <c r="I42" s="206"/>
      <c r="J42" s="11">
        <f>comparador9</f>
        <v>0</v>
      </c>
      <c r="K42" s="213">
        <f ca="1">IF(dynamic="Yes",Calculations!CU178,Calculations2!CU61)</f>
        <v>0</v>
      </c>
      <c r="L42" s="213">
        <f ca="1">IF(dynamic="Yes",Calculations!CV178,Calculations2!CV61)</f>
        <v>0</v>
      </c>
      <c r="M42" s="213">
        <f ca="1">IF(dynamic="Yes",Calculations!CW178,Calculations2!CW61)</f>
        <v>0</v>
      </c>
      <c r="N42" s="213">
        <f ca="1">IF(dynamic="Yes",Calculations!CX178,Calculations2!CX61)</f>
        <v>0</v>
      </c>
      <c r="O42" s="213">
        <f ca="1">IF(dynamic="Yes",Calculations!CY178,Calculations2!CY61)</f>
        <v>0</v>
      </c>
      <c r="P42" s="9"/>
    </row>
    <row r="43" spans="2:16">
      <c r="B43" s="11">
        <f>comparador10</f>
        <v>0</v>
      </c>
      <c r="C43" s="213">
        <f ca="1">IF(dynamic="Yes",Calculations!DC117,Calculations2!DC40)</f>
        <v>0</v>
      </c>
      <c r="D43" s="213">
        <f ca="1">IF(dynamic="Yes",Calculations!DD117,Calculations2!DD40)</f>
        <v>0</v>
      </c>
      <c r="E43" s="213">
        <f ca="1">IF(dynamic="Yes",Calculations!DE117,Calculations2!DE40)</f>
        <v>0</v>
      </c>
      <c r="F43" s="213">
        <f ca="1">IF(dynamic="Yes",Calculations!DF117,Calculations2!DF40)</f>
        <v>0</v>
      </c>
      <c r="G43" s="213">
        <f ca="1">IF(dynamic="Yes",Calculations!DG117,Calculations2!DG40)</f>
        <v>0</v>
      </c>
      <c r="H43" s="206"/>
      <c r="I43" s="206"/>
      <c r="J43" s="11">
        <f>comparador10</f>
        <v>0</v>
      </c>
      <c r="K43" s="213">
        <f ca="1">IF(dynamic="Yes",Calculations!DC178,Calculations2!DC61)</f>
        <v>0</v>
      </c>
      <c r="L43" s="213">
        <f ca="1">IF(dynamic="Yes",Calculations!DD178,Calculations2!DD61)</f>
        <v>0</v>
      </c>
      <c r="M43" s="213">
        <f ca="1">IF(dynamic="Yes",Calculations!DE178,Calculations2!DE61)</f>
        <v>0</v>
      </c>
      <c r="N43" s="213">
        <f ca="1">IF(dynamic="Yes",Calculations!DF178,Calculations2!DF61)</f>
        <v>0</v>
      </c>
      <c r="O43" s="213">
        <f ca="1">IF(dynamic="Yes",Calculations!DG178,Calculations2!DG61)</f>
        <v>0</v>
      </c>
      <c r="P43" s="9"/>
    </row>
    <row r="44" spans="2:16">
      <c r="B44" s="115" t="s">
        <v>5</v>
      </c>
      <c r="C44" s="213">
        <f ca="1">SUM(C30:C43)</f>
        <v>7853721.3216772359</v>
      </c>
      <c r="D44" s="213">
        <f t="shared" ref="D44" ca="1" si="6">SUM(D30:D43)</f>
        <v>9927912.9319983106</v>
      </c>
      <c r="E44" s="213">
        <f t="shared" ref="E44" ca="1" si="7">SUM(E30:E43)</f>
        <v>12023854.661339017</v>
      </c>
      <c r="F44" s="213">
        <f t="shared" ref="F44" ca="1" si="8">SUM(F30:F43)</f>
        <v>14139861.417482864</v>
      </c>
      <c r="G44" s="213">
        <f ca="1">SUM(G30:G43)</f>
        <v>16274191.393978339</v>
      </c>
      <c r="H44" s="206"/>
      <c r="I44" s="206"/>
      <c r="J44" s="216" t="s">
        <v>5</v>
      </c>
      <c r="K44" s="213">
        <f ca="1">SUM(K30:K43)</f>
        <v>7853721.3216772359</v>
      </c>
      <c r="L44" s="213">
        <f t="shared" ref="L44" ca="1" si="9">SUM(L30:L43)</f>
        <v>9927912.9319983106</v>
      </c>
      <c r="M44" s="213">
        <f t="shared" ref="M44" ca="1" si="10">SUM(M30:M43)</f>
        <v>12023854.661339017</v>
      </c>
      <c r="N44" s="213">
        <f t="shared" ref="N44" ca="1" si="11">SUM(N30:N43)</f>
        <v>14139861.417482864</v>
      </c>
      <c r="O44" s="213">
        <f t="shared" ref="O44" ca="1" si="12">SUM(O30:O43)</f>
        <v>16274191.393978339</v>
      </c>
      <c r="P44" s="9"/>
    </row>
    <row r="46" spans="2:16">
      <c r="B46" s="513" t="str">
        <f>cen_prop2</f>
        <v>With PET-CT 10-50%</v>
      </c>
      <c r="C46" s="513"/>
      <c r="D46" s="513"/>
      <c r="E46" s="513"/>
      <c r="F46" s="513"/>
      <c r="G46" s="513"/>
      <c r="H46" s="513"/>
      <c r="I46" s="9"/>
      <c r="J46" s="513" t="str">
        <f>cen_prop2</f>
        <v>With PET-CT 10-50%</v>
      </c>
      <c r="K46" s="513"/>
      <c r="L46" s="513"/>
      <c r="M46" s="513"/>
      <c r="N46" s="513"/>
      <c r="O46" s="513"/>
      <c r="P46" s="513"/>
    </row>
    <row r="48" spans="2:16">
      <c r="B48" s="93" t="s">
        <v>81</v>
      </c>
      <c r="C48" s="93">
        <f>ano_1</f>
        <v>2024</v>
      </c>
      <c r="D48" s="93">
        <f>C48+1</f>
        <v>2025</v>
      </c>
      <c r="E48" s="93">
        <f t="shared" ref="E48:G48" si="13">D48+1</f>
        <v>2026</v>
      </c>
      <c r="F48" s="93">
        <f t="shared" si="13"/>
        <v>2027</v>
      </c>
      <c r="G48" s="93">
        <f t="shared" si="13"/>
        <v>2028</v>
      </c>
      <c r="H48" s="5"/>
      <c r="I48" s="9"/>
      <c r="J48" s="93" t="s">
        <v>81</v>
      </c>
      <c r="K48" s="93">
        <f>ano_1</f>
        <v>2024</v>
      </c>
      <c r="L48" s="93">
        <f>K48+1</f>
        <v>2025</v>
      </c>
      <c r="M48" s="93">
        <f t="shared" ref="M48:O48" si="14">L48+1</f>
        <v>2026</v>
      </c>
      <c r="N48" s="93">
        <f t="shared" si="14"/>
        <v>2027</v>
      </c>
      <c r="O48" s="93">
        <f t="shared" si="14"/>
        <v>2028</v>
      </c>
      <c r="P48" s="5"/>
    </row>
    <row r="49" spans="2:16">
      <c r="B49" s="11" t="str">
        <f>intervencao1</f>
        <v>PET-CT</v>
      </c>
      <c r="C49" s="213">
        <f ca="1">IF(dynamic="Yes",Calculations!C131,Calculations2!C44)</f>
        <v>1590669.5866445473</v>
      </c>
      <c r="D49" s="213">
        <f ca="1">IF(dynamic="Yes",Calculations!D131,Calculations2!D44)</f>
        <v>3200990.218819018</v>
      </c>
      <c r="E49" s="213">
        <f ca="1">IF(dynamic="Yes",Calculations!E131,Calculations2!E44)</f>
        <v>4829708.1080512898</v>
      </c>
      <c r="F49" s="213">
        <f ca="1">IF(dynamic="Yes",Calculations!F131,Calculations2!F44)</f>
        <v>6475524.4825852485</v>
      </c>
      <c r="G49" s="213">
        <f ca="1">IF(dynamic="Yes",Calculations!G131,Calculations2!G44)</f>
        <v>8137095.6969891693</v>
      </c>
      <c r="H49" s="206"/>
      <c r="I49" s="206"/>
      <c r="J49" s="11" t="str">
        <f>intervencao1</f>
        <v>PET-CT</v>
      </c>
      <c r="K49" s="213">
        <f ca="1">IF(dynamic="Yes",Calculations!C192,Calculations2!C65)</f>
        <v>1590669.5866445473</v>
      </c>
      <c r="L49" s="213">
        <f ca="1">IF(dynamic="Yes",Calculations!D192,Calculations2!D65)</f>
        <v>3200990.218819018</v>
      </c>
      <c r="M49" s="213">
        <f ca="1">IF(dynamic="Yes",Calculations!E192,Calculations2!E65)</f>
        <v>4829708.1080512898</v>
      </c>
      <c r="N49" s="213">
        <f ca="1">IF(dynamic="Yes",Calculations!F192,Calculations2!F65)</f>
        <v>6475524.4825852485</v>
      </c>
      <c r="O49" s="213">
        <f ca="1">IF(dynamic="Yes",Calculations!G192,Calculations2!G65)</f>
        <v>8137095.6969891693</v>
      </c>
      <c r="P49" s="9"/>
    </row>
    <row r="50" spans="2:16">
      <c r="B50" s="11">
        <f>intervencao2</f>
        <v>0</v>
      </c>
      <c r="C50" s="213">
        <f ca="1">IF(dynamic="Yes",Calculations!K131,Calculations2!K44)</f>
        <v>0</v>
      </c>
      <c r="D50" s="213">
        <f ca="1">IF(dynamic="Yes",Calculations!L131,Calculations2!L44)</f>
        <v>0</v>
      </c>
      <c r="E50" s="213">
        <f ca="1">IF(dynamic="Yes",Calculations!M131,Calculations2!M44)</f>
        <v>0</v>
      </c>
      <c r="F50" s="213">
        <f ca="1">IF(dynamic="Yes",Calculations!N131,Calculations2!N44)</f>
        <v>0</v>
      </c>
      <c r="G50" s="213">
        <f ca="1">IF(dynamic="Yes",Calculations!O131,Calculations2!O44)</f>
        <v>0</v>
      </c>
      <c r="H50" s="215"/>
      <c r="I50" s="206"/>
      <c r="J50" s="11">
        <f>intervencao2</f>
        <v>0</v>
      </c>
      <c r="K50" s="213">
        <f ca="1">IF(dynamic="Yes",Calculations!K192,Calculations2!K65)</f>
        <v>0</v>
      </c>
      <c r="L50" s="213">
        <f ca="1">IF(dynamic="Yes",Calculations!L192,Calculations2!L65)</f>
        <v>0</v>
      </c>
      <c r="M50" s="213">
        <f ca="1">IF(dynamic="Yes",Calculations!M192,Calculations2!M65)</f>
        <v>0</v>
      </c>
      <c r="N50" s="213">
        <f ca="1">IF(dynamic="Yes",Calculations!N192,Calculations2!N65)</f>
        <v>0</v>
      </c>
      <c r="O50" s="213">
        <f ca="1">IF(dynamic="Yes",Calculations!O192,Calculations2!O65)</f>
        <v>0</v>
      </c>
      <c r="P50" s="4"/>
    </row>
    <row r="51" spans="2:16">
      <c r="B51" s="11">
        <f>intervencao3</f>
        <v>0</v>
      </c>
      <c r="C51" s="213">
        <f ca="1">IF(dynamic="Yes",Calculations!S131,Calculations2!S44)</f>
        <v>0</v>
      </c>
      <c r="D51" s="213">
        <f ca="1">IF(dynamic="Yes",Calculations!T131,Calculations2!T44)</f>
        <v>0</v>
      </c>
      <c r="E51" s="213">
        <f ca="1">IF(dynamic="Yes",Calculations!U131,Calculations2!U44)</f>
        <v>0</v>
      </c>
      <c r="F51" s="213">
        <f ca="1">IF(dynamic="Yes",Calculations!V131,Calculations2!V44)</f>
        <v>0</v>
      </c>
      <c r="G51" s="213">
        <f ca="1">IF(dynamic="Yes",Calculations!W131,Calculations2!W44)</f>
        <v>0</v>
      </c>
      <c r="H51" s="206"/>
      <c r="I51" s="206"/>
      <c r="J51" s="11">
        <f>intervencao3</f>
        <v>0</v>
      </c>
      <c r="K51" s="213">
        <f ca="1">IF(dynamic="Yes",Calculations!S192,Calculations2!S65)</f>
        <v>0</v>
      </c>
      <c r="L51" s="213">
        <f ca="1">IF(dynamic="Yes",Calculations!T192,Calculations2!T65)</f>
        <v>0</v>
      </c>
      <c r="M51" s="213">
        <f ca="1">IF(dynamic="Yes",Calculations!U192,Calculations2!U65)</f>
        <v>0</v>
      </c>
      <c r="N51" s="213">
        <f ca="1">IF(dynamic="Yes",Calculations!V192,Calculations2!V65)</f>
        <v>0</v>
      </c>
      <c r="O51" s="213">
        <f ca="1">IF(dynamic="Yes",Calculations!W192,Calculations2!W65)</f>
        <v>0</v>
      </c>
      <c r="P51" s="9"/>
    </row>
    <row r="52" spans="2:16">
      <c r="B52" s="11">
        <f>intervencao4</f>
        <v>0</v>
      </c>
      <c r="C52" s="213">
        <f ca="1">IF(dynamic="Yes",Calculations!AA131,Calculations2!AA44)</f>
        <v>0</v>
      </c>
      <c r="D52" s="213">
        <f ca="1">IF(dynamic="Yes",Calculations!AB131,Calculations2!AB44)</f>
        <v>0</v>
      </c>
      <c r="E52" s="213">
        <f ca="1">IF(dynamic="Yes",Calculations!AC131,Calculations2!AC44)</f>
        <v>0</v>
      </c>
      <c r="F52" s="213">
        <f ca="1">IF(dynamic="Yes",Calculations!AD131,Calculations2!AD44)</f>
        <v>0</v>
      </c>
      <c r="G52" s="213">
        <f ca="1">IF(dynamic="Yes",Calculations!AE131,Calculations2!AE44)</f>
        <v>0</v>
      </c>
      <c r="H52" s="206"/>
      <c r="I52" s="206"/>
      <c r="J52" s="11">
        <f>intervencao4</f>
        <v>0</v>
      </c>
      <c r="K52" s="213">
        <f ca="1">IF(dynamic="Yes",Calculations!AA192,Calculations2!AA65)</f>
        <v>0</v>
      </c>
      <c r="L52" s="213">
        <f ca="1">IF(dynamic="Yes",Calculations!AB192,Calculations2!AB65)</f>
        <v>0</v>
      </c>
      <c r="M52" s="213">
        <f ca="1">IF(dynamic="Yes",Calculations!AC192,Calculations2!AC65)</f>
        <v>0</v>
      </c>
      <c r="N52" s="213">
        <f ca="1">IF(dynamic="Yes",Calculations!AD192,Calculations2!AD65)</f>
        <v>0</v>
      </c>
      <c r="O52" s="213">
        <f ca="1">IF(dynamic="Yes",Calculations!AE192,Calculations2!AE65)</f>
        <v>0</v>
      </c>
      <c r="P52" s="9"/>
    </row>
    <row r="53" spans="2:16">
      <c r="B53" s="11" t="str">
        <f>comparador1</f>
        <v>CT scan + scintigraphy</v>
      </c>
      <c r="C53" s="213">
        <f ca="1">IF(dynamic="Yes",Calculations!AI131,Calculations2!AI44)</f>
        <v>5256429.9169366583</v>
      </c>
      <c r="D53" s="213">
        <f ca="1">IF(dynamic="Yes",Calculations!AJ131,Calculations2!AJ44)</f>
        <v>4701243.3258136995</v>
      </c>
      <c r="E53" s="213">
        <f ca="1">IF(dynamic="Yes",Calculations!AK131,Calculations2!AK44)</f>
        <v>4137767.2791637639</v>
      </c>
      <c r="F53" s="213">
        <f ca="1">IF(dynamic="Yes",Calculations!AL131,Calculations2!AL44)</f>
        <v>3566437.3569371025</v>
      </c>
      <c r="G53" s="213">
        <f ca="1">IF(dynamic="Yes",Calculations!AM131,Calculations2!AM44)</f>
        <v>2987705.6958870851</v>
      </c>
      <c r="H53" s="206"/>
      <c r="I53" s="206"/>
      <c r="J53" s="11" t="str">
        <f>comparador1</f>
        <v>CT scan + scintigraphy</v>
      </c>
      <c r="K53" s="213">
        <f ca="1">IF(dynamic="Yes",Calculations!AI192,Calculations2!AI65)</f>
        <v>5256429.9169366583</v>
      </c>
      <c r="L53" s="213">
        <f ca="1">IF(dynamic="Yes",Calculations!AJ192,Calculations2!AJ65)</f>
        <v>4701243.3258136995</v>
      </c>
      <c r="M53" s="213">
        <f ca="1">IF(dynamic="Yes",Calculations!AK192,Calculations2!AK65)</f>
        <v>4137767.2791637639</v>
      </c>
      <c r="N53" s="213">
        <f ca="1">IF(dynamic="Yes",Calculations!AL192,Calculations2!AL65)</f>
        <v>3566437.3569371025</v>
      </c>
      <c r="O53" s="213">
        <f ca="1">IF(dynamic="Yes",Calculations!AM192,Calculations2!AM65)</f>
        <v>2987705.6958870851</v>
      </c>
      <c r="P53" s="9"/>
    </row>
    <row r="54" spans="2:16">
      <c r="B54" s="11">
        <f>comparador2</f>
        <v>0</v>
      </c>
      <c r="C54" s="213">
        <f ca="1">IF(dynamic="Yes",Calculations!AQ131,Calculations2!AQ44)</f>
        <v>0</v>
      </c>
      <c r="D54" s="213">
        <f ca="1">IF(dynamic="Yes",Calculations!AR131,Calculations2!AR44)</f>
        <v>0</v>
      </c>
      <c r="E54" s="213">
        <f ca="1">IF(dynamic="Yes",Calculations!AS131,Calculations2!AS44)</f>
        <v>0</v>
      </c>
      <c r="F54" s="213">
        <f ca="1">IF(dynamic="Yes",Calculations!AT131,Calculations2!AT44)</f>
        <v>0</v>
      </c>
      <c r="G54" s="213">
        <f ca="1">IF(dynamic="Yes",Calculations!AU131,Calculations2!AU44)</f>
        <v>0</v>
      </c>
      <c r="H54" s="206"/>
      <c r="I54" s="206"/>
      <c r="J54" s="11">
        <f>comparador2</f>
        <v>0</v>
      </c>
      <c r="K54" s="213">
        <f ca="1">IF(dynamic="Yes",Calculations!AQ192,Calculations2!AQ65)</f>
        <v>0</v>
      </c>
      <c r="L54" s="213">
        <f ca="1">IF(dynamic="Yes",Calculations!AR192,Calculations2!AR65)</f>
        <v>0</v>
      </c>
      <c r="M54" s="213">
        <f ca="1">IF(dynamic="Yes",Calculations!AS192,Calculations2!AS65)</f>
        <v>0</v>
      </c>
      <c r="N54" s="213">
        <f ca="1">IF(dynamic="Yes",Calculations!AT192,Calculations2!AT65)</f>
        <v>0</v>
      </c>
      <c r="O54" s="213">
        <f ca="1">IF(dynamic="Yes",Calculations!AU192,Calculations2!AU65)</f>
        <v>0</v>
      </c>
      <c r="P54" s="9"/>
    </row>
    <row r="55" spans="2:16">
      <c r="B55" s="11">
        <f>comparador3</f>
        <v>0</v>
      </c>
      <c r="C55" s="213">
        <f ca="1">IF(dynamic="Yes",Calculations!AY131,Calculations2!AY44)</f>
        <v>0</v>
      </c>
      <c r="D55" s="213">
        <f ca="1">IF(dynamic="Yes",Calculations!AZ131,Calculations2!AZ44)</f>
        <v>0</v>
      </c>
      <c r="E55" s="213">
        <f ca="1">IF(dynamic="Yes",Calculations!BA131,Calculations2!BA44)</f>
        <v>0</v>
      </c>
      <c r="F55" s="213">
        <f ca="1">IF(dynamic="Yes",Calculations!BB131,Calculations2!BB44)</f>
        <v>0</v>
      </c>
      <c r="G55" s="213">
        <f ca="1">IF(dynamic="Yes",Calculations!BC131,Calculations2!BC44)</f>
        <v>0</v>
      </c>
      <c r="H55" s="206"/>
      <c r="I55" s="206"/>
      <c r="J55" s="11">
        <f>comparador3</f>
        <v>0</v>
      </c>
      <c r="K55" s="213">
        <f ca="1">IF(dynamic="Yes",Calculations!AY192,Calculations2!AY65)</f>
        <v>0</v>
      </c>
      <c r="L55" s="213">
        <f ca="1">IF(dynamic="Yes",Calculations!AZ192,Calculations2!AZ65)</f>
        <v>0</v>
      </c>
      <c r="M55" s="213">
        <f ca="1">IF(dynamic="Yes",Calculations!BA192,Calculations2!BA65)</f>
        <v>0</v>
      </c>
      <c r="N55" s="213">
        <f ca="1">IF(dynamic="Yes",Calculations!BB192,Calculations2!BB65)</f>
        <v>0</v>
      </c>
      <c r="O55" s="213">
        <f ca="1">IF(dynamic="Yes",Calculations!BC192,Calculations2!BC65)</f>
        <v>0</v>
      </c>
      <c r="P55" s="9"/>
    </row>
    <row r="56" spans="2:16">
      <c r="B56" s="11">
        <f>comparador4</f>
        <v>0</v>
      </c>
      <c r="C56" s="213">
        <f ca="1">IF(dynamic="Yes",Calculations!BG131,Calculations2!BG44)</f>
        <v>0</v>
      </c>
      <c r="D56" s="213">
        <f ca="1">IF(dynamic="Yes",Calculations!BH131,Calculations2!BH44)</f>
        <v>0</v>
      </c>
      <c r="E56" s="213">
        <f ca="1">IF(dynamic="Yes",Calculations!BI131,Calculations2!BI44)</f>
        <v>0</v>
      </c>
      <c r="F56" s="213">
        <f ca="1">IF(dynamic="Yes",Calculations!BJ131,Calculations2!BJ44)</f>
        <v>0</v>
      </c>
      <c r="G56" s="213">
        <f ca="1">IF(dynamic="Yes",Calculations!BK131,Calculations2!BK44)</f>
        <v>0</v>
      </c>
      <c r="H56" s="206"/>
      <c r="I56" s="206"/>
      <c r="J56" s="11">
        <f>comparador4</f>
        <v>0</v>
      </c>
      <c r="K56" s="213">
        <f ca="1">IF(dynamic="Yes",Calculations!BG192,Calculations2!BG65)</f>
        <v>0</v>
      </c>
      <c r="L56" s="213">
        <f ca="1">IF(dynamic="Yes",Calculations!BH192,Calculations2!BH65)</f>
        <v>0</v>
      </c>
      <c r="M56" s="213">
        <f ca="1">IF(dynamic="Yes",Calculations!BI192,Calculations2!BI65)</f>
        <v>0</v>
      </c>
      <c r="N56" s="213">
        <f ca="1">IF(dynamic="Yes",Calculations!BJ192,Calculations2!BJ65)</f>
        <v>0</v>
      </c>
      <c r="O56" s="213">
        <f ca="1">IF(dynamic="Yes",Calculations!BK192,Calculations2!BK65)</f>
        <v>0</v>
      </c>
      <c r="P56" s="9"/>
    </row>
    <row r="57" spans="2:16">
      <c r="B57" s="11">
        <f>comparador5</f>
        <v>0</v>
      </c>
      <c r="C57" s="213">
        <f ca="1">IF(dynamic="Yes",Calculations!BO131,Calculations2!BO44)</f>
        <v>0</v>
      </c>
      <c r="D57" s="213">
        <f ca="1">IF(dynamic="Yes",Calculations!BP131,Calculations2!BP44)</f>
        <v>0</v>
      </c>
      <c r="E57" s="213">
        <f ca="1">IF(dynamic="Yes",Calculations!BQ131,Calculations2!BQ44)</f>
        <v>0</v>
      </c>
      <c r="F57" s="213">
        <f ca="1">IF(dynamic="Yes",Calculations!BR131,Calculations2!BR44)</f>
        <v>0</v>
      </c>
      <c r="G57" s="213">
        <f ca="1">IF(dynamic="Yes",Calculations!BS131,Calculations2!BS44)</f>
        <v>0</v>
      </c>
      <c r="H57" s="206"/>
      <c r="I57" s="206"/>
      <c r="J57" s="11">
        <f>comparador5</f>
        <v>0</v>
      </c>
      <c r="K57" s="213">
        <f ca="1">IF(dynamic="Yes",Calculations!BO192,Calculations2!BO65)</f>
        <v>0</v>
      </c>
      <c r="L57" s="213">
        <f ca="1">IF(dynamic="Yes",Calculations!BP192,Calculations2!BP65)</f>
        <v>0</v>
      </c>
      <c r="M57" s="213">
        <f ca="1">IF(dynamic="Yes",Calculations!BQ192,Calculations2!BQ65)</f>
        <v>0</v>
      </c>
      <c r="N57" s="213">
        <f ca="1">IF(dynamic="Yes",Calculations!BR192,Calculations2!BR65)</f>
        <v>0</v>
      </c>
      <c r="O57" s="213">
        <f ca="1">IF(dynamic="Yes",Calculations!BS192,Calculations2!BS65)</f>
        <v>0</v>
      </c>
      <c r="P57" s="9"/>
    </row>
    <row r="58" spans="2:16">
      <c r="B58" s="11">
        <f>comparador6</f>
        <v>0</v>
      </c>
      <c r="C58" s="213">
        <f ca="1">IF(dynamic="Yes",Calculations!BW131,Calculations2!BW44)</f>
        <v>0</v>
      </c>
      <c r="D58" s="213">
        <f ca="1">IF(dynamic="Yes",Calculations!BX131,Calculations2!BX44)</f>
        <v>0</v>
      </c>
      <c r="E58" s="213">
        <f ca="1">IF(dynamic="Yes",Calculations!BY131,Calculations2!BY44)</f>
        <v>0</v>
      </c>
      <c r="F58" s="213">
        <f ca="1">IF(dynamic="Yes",Calculations!BZ131,Calculations2!BZ44)</f>
        <v>0</v>
      </c>
      <c r="G58" s="213">
        <f ca="1">IF(dynamic="Yes",Calculations!CA131,Calculations2!CA44)</f>
        <v>0</v>
      </c>
      <c r="H58" s="206"/>
      <c r="I58" s="206"/>
      <c r="J58" s="11">
        <f>comparador6</f>
        <v>0</v>
      </c>
      <c r="K58" s="213">
        <f ca="1">IF(dynamic="Yes",Calculations!BW192,Calculations2!BW65)</f>
        <v>0</v>
      </c>
      <c r="L58" s="213">
        <f ca="1">IF(dynamic="Yes",Calculations!BX192,Calculations2!BX65)</f>
        <v>0</v>
      </c>
      <c r="M58" s="213">
        <f ca="1">IF(dynamic="Yes",Calculations!BY192,Calculations2!BY65)</f>
        <v>0</v>
      </c>
      <c r="N58" s="213">
        <f ca="1">IF(dynamic="Yes",Calculations!BZ192,Calculations2!BZ65)</f>
        <v>0</v>
      </c>
      <c r="O58" s="213">
        <f ca="1">IF(dynamic="Yes",Calculations!CA192,Calculations2!CA65)</f>
        <v>0</v>
      </c>
      <c r="P58" s="9"/>
    </row>
    <row r="59" spans="2:16">
      <c r="B59" s="11">
        <f>comparador7</f>
        <v>0</v>
      </c>
      <c r="C59" s="213">
        <f ca="1">IF(dynamic="Yes",Calculations!CE131,Calculations2!CE44)</f>
        <v>0</v>
      </c>
      <c r="D59" s="213">
        <f ca="1">IF(dynamic="Yes",Calculations!CF131,Calculations2!CF44)</f>
        <v>0</v>
      </c>
      <c r="E59" s="213">
        <f ca="1">IF(dynamic="Yes",Calculations!CG131,Calculations2!CG44)</f>
        <v>0</v>
      </c>
      <c r="F59" s="213">
        <f ca="1">IF(dynamic="Yes",Calculations!CH131,Calculations2!CH44)</f>
        <v>0</v>
      </c>
      <c r="G59" s="213">
        <f ca="1">IF(dynamic="Yes",Calculations!CI131,Calculations2!CI44)</f>
        <v>0</v>
      </c>
      <c r="H59" s="206"/>
      <c r="I59" s="206"/>
      <c r="J59" s="11">
        <f>comparador7</f>
        <v>0</v>
      </c>
      <c r="K59" s="213">
        <f ca="1">IF(dynamic="Yes",Calculations!CE192,Calculations2!CE65)</f>
        <v>0</v>
      </c>
      <c r="L59" s="213">
        <f ca="1">IF(dynamic="Yes",Calculations!CF192,Calculations2!CF65)</f>
        <v>0</v>
      </c>
      <c r="M59" s="213">
        <f ca="1">IF(dynamic="Yes",Calculations!CG192,Calculations2!CG65)</f>
        <v>0</v>
      </c>
      <c r="N59" s="213">
        <f ca="1">IF(dynamic="Yes",Calculations!CH192,Calculations2!CH65)</f>
        <v>0</v>
      </c>
      <c r="O59" s="213">
        <f ca="1">IF(dynamic="Yes",Calculations!CI192,Calculations2!CI65)</f>
        <v>0</v>
      </c>
      <c r="P59" s="9"/>
    </row>
    <row r="60" spans="2:16">
      <c r="B60" s="11">
        <f>comparador8</f>
        <v>0</v>
      </c>
      <c r="C60" s="213">
        <f ca="1">IF(dynamic="Yes",Calculations!CM131,Calculations2!CM44)</f>
        <v>0</v>
      </c>
      <c r="D60" s="213">
        <f ca="1">IF(dynamic="Yes",Calculations!CN131,Calculations2!CN44)</f>
        <v>0</v>
      </c>
      <c r="E60" s="213">
        <f ca="1">IF(dynamic="Yes",Calculations!CO131,Calculations2!CO44)</f>
        <v>0</v>
      </c>
      <c r="F60" s="213">
        <f ca="1">IF(dynamic="Yes",Calculations!CP131,Calculations2!CP44)</f>
        <v>0</v>
      </c>
      <c r="G60" s="213">
        <f ca="1">IF(dynamic="Yes",Calculations!CQ131,Calculations2!CQ44)</f>
        <v>0</v>
      </c>
      <c r="H60" s="206"/>
      <c r="I60" s="206"/>
      <c r="J60" s="11">
        <f>comparador8</f>
        <v>0</v>
      </c>
      <c r="K60" s="213">
        <f ca="1">IF(dynamic="Yes",Calculations!CM192,Calculations2!CM65)</f>
        <v>0</v>
      </c>
      <c r="L60" s="213">
        <f ca="1">IF(dynamic="Yes",Calculations!CN192,Calculations2!CN65)</f>
        <v>0</v>
      </c>
      <c r="M60" s="213">
        <f ca="1">IF(dynamic="Yes",Calculations!CO192,Calculations2!CO65)</f>
        <v>0</v>
      </c>
      <c r="N60" s="213">
        <f ca="1">IF(dynamic="Yes",Calculations!CP192,Calculations2!CP65)</f>
        <v>0</v>
      </c>
      <c r="O60" s="213">
        <f ca="1">IF(dynamic="Yes",Calculations!CQ192,Calculations2!CQ65)</f>
        <v>0</v>
      </c>
      <c r="P60" s="9"/>
    </row>
    <row r="61" spans="2:16">
      <c r="B61" s="11">
        <f>comparador9</f>
        <v>0</v>
      </c>
      <c r="C61" s="213">
        <f ca="1">IF(dynamic="Yes",Calculations!CU131,Calculations2!CU44)</f>
        <v>0</v>
      </c>
      <c r="D61" s="213">
        <f ca="1">IF(dynamic="Yes",Calculations!CV131,Calculations2!CV44)</f>
        <v>0</v>
      </c>
      <c r="E61" s="213">
        <f ca="1">IF(dynamic="Yes",Calculations!CW131,Calculations2!CW44)</f>
        <v>0</v>
      </c>
      <c r="F61" s="213">
        <f ca="1">IF(dynamic="Yes",Calculations!CX131,Calculations2!CX44)</f>
        <v>0</v>
      </c>
      <c r="G61" s="213">
        <f ca="1">IF(dynamic="Yes",Calculations!CY131,Calculations2!CY44)</f>
        <v>0</v>
      </c>
      <c r="H61" s="206"/>
      <c r="I61" s="206"/>
      <c r="J61" s="11">
        <f>comparador9</f>
        <v>0</v>
      </c>
      <c r="K61" s="213">
        <f ca="1">IF(dynamic="Yes",Calculations!CU192,Calculations2!CU65)</f>
        <v>0</v>
      </c>
      <c r="L61" s="213">
        <f ca="1">IF(dynamic="Yes",Calculations!CV192,Calculations2!CV65)</f>
        <v>0</v>
      </c>
      <c r="M61" s="213">
        <f ca="1">IF(dynamic="Yes",Calculations!CW192,Calculations2!CW65)</f>
        <v>0</v>
      </c>
      <c r="N61" s="213">
        <f ca="1">IF(dynamic="Yes",Calculations!CX192,Calculations2!CX65)</f>
        <v>0</v>
      </c>
      <c r="O61" s="213">
        <f ca="1">IF(dynamic="Yes",Calculations!CY192,Calculations2!CY65)</f>
        <v>0</v>
      </c>
      <c r="P61" s="9"/>
    </row>
    <row r="62" spans="2:16">
      <c r="B62" s="11">
        <f>comparador10</f>
        <v>0</v>
      </c>
      <c r="C62" s="213">
        <f ca="1">IF(dynamic="Yes",Calculations!DC131,Calculations2!DC44)</f>
        <v>0</v>
      </c>
      <c r="D62" s="213">
        <f ca="1">IF(dynamic="Yes",Calculations!DD131,Calculations2!DD44)</f>
        <v>0</v>
      </c>
      <c r="E62" s="213">
        <f ca="1">IF(dynamic="Yes",Calculations!DE131,Calculations2!DE44)</f>
        <v>0</v>
      </c>
      <c r="F62" s="213">
        <f ca="1">IF(dynamic="Yes",Calculations!DF131,Calculations2!DF44)</f>
        <v>0</v>
      </c>
      <c r="G62" s="213">
        <f ca="1">IF(dynamic="Yes",Calculations!DG131,Calculations2!DG44)</f>
        <v>0</v>
      </c>
      <c r="H62" s="206"/>
      <c r="I62" s="206"/>
      <c r="J62" s="11">
        <f>comparador10</f>
        <v>0</v>
      </c>
      <c r="K62" s="213">
        <f ca="1">IF(dynamic="Yes",Calculations!DC192,Calculations2!DC65)</f>
        <v>0</v>
      </c>
      <c r="L62" s="213">
        <f ca="1">IF(dynamic="Yes",Calculations!DD192,Calculations2!DD65)</f>
        <v>0</v>
      </c>
      <c r="M62" s="213">
        <f ca="1">IF(dynamic="Yes",Calculations!DE192,Calculations2!DE65)</f>
        <v>0</v>
      </c>
      <c r="N62" s="213">
        <f ca="1">IF(dynamic="Yes",Calculations!DF192,Calculations2!DF65)</f>
        <v>0</v>
      </c>
      <c r="O62" s="213">
        <f ca="1">IF(dynamic="Yes",Calculations!DG192,Calculations2!DG65)</f>
        <v>0</v>
      </c>
      <c r="P62" s="9"/>
    </row>
    <row r="63" spans="2:16">
      <c r="B63" s="115" t="s">
        <v>5</v>
      </c>
      <c r="C63" s="213">
        <f ca="1">SUM(C49:C62)</f>
        <v>6847099.5035812054</v>
      </c>
      <c r="D63" s="213">
        <f t="shared" ref="D63" ca="1" si="15">SUM(D49:D62)</f>
        <v>7902233.544632718</v>
      </c>
      <c r="E63" s="213">
        <f t="shared" ref="E63" ca="1" si="16">SUM(E49:E62)</f>
        <v>8967475.3872150537</v>
      </c>
      <c r="F63" s="213">
        <f t="shared" ref="F63" ca="1" si="17">SUM(F49:F62)</f>
        <v>10041961.839522351</v>
      </c>
      <c r="G63" s="213">
        <f ca="1">SUM(G49:G62)</f>
        <v>11124801.392876254</v>
      </c>
      <c r="H63" s="206"/>
      <c r="I63" s="206"/>
      <c r="J63" s="216" t="s">
        <v>5</v>
      </c>
      <c r="K63" s="213">
        <f ca="1">SUM(K49:K62)</f>
        <v>6847099.5035812054</v>
      </c>
      <c r="L63" s="213">
        <f t="shared" ref="L63" ca="1" si="18">SUM(L49:L62)</f>
        <v>7902233.544632718</v>
      </c>
      <c r="M63" s="213">
        <f t="shared" ref="M63" ca="1" si="19">SUM(M49:M62)</f>
        <v>8967475.3872150537</v>
      </c>
      <c r="N63" s="213">
        <f t="shared" ref="N63" ca="1" si="20">SUM(N49:N62)</f>
        <v>10041961.839522351</v>
      </c>
      <c r="O63" s="213">
        <f t="shared" ref="O63" ca="1" si="21">SUM(O49:O62)</f>
        <v>11124801.392876254</v>
      </c>
      <c r="P63" s="9"/>
    </row>
    <row r="65" spans="2:16">
      <c r="B65" s="513">
        <f>cen_prop3</f>
        <v>0</v>
      </c>
      <c r="C65" s="513"/>
      <c r="D65" s="513"/>
      <c r="E65" s="513"/>
      <c r="F65" s="513"/>
      <c r="G65" s="513"/>
      <c r="H65" s="513"/>
      <c r="I65" s="9"/>
      <c r="J65" s="513">
        <f>cen_prop3</f>
        <v>0</v>
      </c>
      <c r="K65" s="513"/>
      <c r="L65" s="513"/>
      <c r="M65" s="513"/>
      <c r="N65" s="513"/>
      <c r="O65" s="513"/>
      <c r="P65" s="513"/>
    </row>
    <row r="67" spans="2:16">
      <c r="B67" s="93" t="s">
        <v>81</v>
      </c>
      <c r="C67" s="93">
        <f>ano_1</f>
        <v>2024</v>
      </c>
      <c r="D67" s="93">
        <f>C67+1</f>
        <v>2025</v>
      </c>
      <c r="E67" s="93">
        <f t="shared" ref="E67:G67" si="22">D67+1</f>
        <v>2026</v>
      </c>
      <c r="F67" s="93">
        <f t="shared" si="22"/>
        <v>2027</v>
      </c>
      <c r="G67" s="93">
        <f t="shared" si="22"/>
        <v>2028</v>
      </c>
      <c r="H67" s="5"/>
      <c r="I67" s="9"/>
      <c r="J67" s="93" t="s">
        <v>81</v>
      </c>
      <c r="K67" s="93">
        <f>ano_1</f>
        <v>2024</v>
      </c>
      <c r="L67" s="93">
        <f>K67+1</f>
        <v>2025</v>
      </c>
      <c r="M67" s="93">
        <f t="shared" ref="M67:O67" si="23">L67+1</f>
        <v>2026</v>
      </c>
      <c r="N67" s="93">
        <f t="shared" si="23"/>
        <v>2027</v>
      </c>
      <c r="O67" s="93">
        <f t="shared" si="23"/>
        <v>2028</v>
      </c>
      <c r="P67" s="5"/>
    </row>
    <row r="68" spans="2:16">
      <c r="B68" s="11" t="str">
        <f>intervencao1</f>
        <v>PET-CT</v>
      </c>
      <c r="C68" s="213">
        <f ca="1">IF(dynamic="Yes",Calculations!C145,Calculations2!C48)</f>
        <v>0</v>
      </c>
      <c r="D68" s="213">
        <f ca="1">IF(dynamic="Yes",Calculations!D145,Calculations2!D48)</f>
        <v>0</v>
      </c>
      <c r="E68" s="213">
        <f ca="1">IF(dynamic="Yes",Calculations!E145,Calculations2!E48)</f>
        <v>0</v>
      </c>
      <c r="F68" s="213">
        <f ca="1">IF(dynamic="Yes",Calculations!F145,Calculations2!F48)</f>
        <v>0</v>
      </c>
      <c r="G68" s="213">
        <f ca="1">IF(dynamic="Yes",Calculations!G145,Calculations2!G48)</f>
        <v>0</v>
      </c>
      <c r="H68" s="206"/>
      <c r="I68" s="206"/>
      <c r="J68" s="11" t="str">
        <f>intervencao1</f>
        <v>PET-CT</v>
      </c>
      <c r="K68" s="213">
        <f ca="1">IF(dynamic="Yes",Calculations!C206,Calculations2!C69)</f>
        <v>0</v>
      </c>
      <c r="L68" s="213">
        <f ca="1">IF(dynamic="Yes",Calculations!D206,Calculations2!D69)</f>
        <v>0</v>
      </c>
      <c r="M68" s="213">
        <f ca="1">IF(dynamic="Yes",Calculations!E206,Calculations2!E69)</f>
        <v>0</v>
      </c>
      <c r="N68" s="213">
        <f ca="1">IF(dynamic="Yes",Calculations!F206,Calculations2!F69)</f>
        <v>0</v>
      </c>
      <c r="O68" s="213">
        <f ca="1">IF(dynamic="Yes",Calculations!G206,Calculations2!G69)</f>
        <v>0</v>
      </c>
      <c r="P68" s="9"/>
    </row>
    <row r="69" spans="2:16">
      <c r="B69" s="11">
        <f>intervencao2</f>
        <v>0</v>
      </c>
      <c r="C69" s="213">
        <f ca="1">IF(dynamic="Yes",Calculations!K145,Calculations2!K48)</f>
        <v>0</v>
      </c>
      <c r="D69" s="213">
        <f ca="1">IF(dynamic="Yes",Calculations!L145,Calculations2!L48)</f>
        <v>0</v>
      </c>
      <c r="E69" s="213">
        <f ca="1">IF(dynamic="Yes",Calculations!M145,Calculations2!M48)</f>
        <v>0</v>
      </c>
      <c r="F69" s="213">
        <f ca="1">IF(dynamic="Yes",Calculations!N145,Calculations2!N48)</f>
        <v>0</v>
      </c>
      <c r="G69" s="213">
        <f ca="1">IF(dynamic="Yes",Calculations!O145,Calculations2!O48)</f>
        <v>0</v>
      </c>
      <c r="H69" s="215"/>
      <c r="I69" s="206"/>
      <c r="J69" s="11">
        <f>intervencao2</f>
        <v>0</v>
      </c>
      <c r="K69" s="213">
        <f ca="1">IF(dynamic="Yes",Calculations!K206,Calculations2!K69)</f>
        <v>0</v>
      </c>
      <c r="L69" s="213">
        <f ca="1">IF(dynamic="Yes",Calculations!L206,Calculations2!L69)</f>
        <v>0</v>
      </c>
      <c r="M69" s="213">
        <f ca="1">IF(dynamic="Yes",Calculations!M206,Calculations2!M69)</f>
        <v>0</v>
      </c>
      <c r="N69" s="213">
        <f ca="1">IF(dynamic="Yes",Calculations!N206,Calculations2!N69)</f>
        <v>0</v>
      </c>
      <c r="O69" s="213">
        <f ca="1">IF(dynamic="Yes",Calculations!O206,Calculations2!O69)</f>
        <v>0</v>
      </c>
      <c r="P69" s="4"/>
    </row>
    <row r="70" spans="2:16">
      <c r="B70" s="11">
        <f>intervencao3</f>
        <v>0</v>
      </c>
      <c r="C70" s="213">
        <f ca="1">IF(dynamic="Yes",Calculations!S145,Calculations2!S48)</f>
        <v>0</v>
      </c>
      <c r="D70" s="213">
        <f ca="1">IF(dynamic="Yes",Calculations!T145,Calculations2!T48)</f>
        <v>0</v>
      </c>
      <c r="E70" s="213">
        <f ca="1">IF(dynamic="Yes",Calculations!U145,Calculations2!U48)</f>
        <v>0</v>
      </c>
      <c r="F70" s="213">
        <f ca="1">IF(dynamic="Yes",Calculations!V145,Calculations2!V48)</f>
        <v>0</v>
      </c>
      <c r="G70" s="213">
        <f ca="1">IF(dynamic="Yes",Calculations!W145,Calculations2!W48)</f>
        <v>0</v>
      </c>
      <c r="H70" s="206"/>
      <c r="I70" s="206"/>
      <c r="J70" s="11">
        <f>intervencao3</f>
        <v>0</v>
      </c>
      <c r="K70" s="213">
        <f ca="1">IF(dynamic="Yes",Calculations!S206,Calculations2!S69)</f>
        <v>0</v>
      </c>
      <c r="L70" s="213">
        <f ca="1">IF(dynamic="Yes",Calculations!T206,Calculations2!T69)</f>
        <v>0</v>
      </c>
      <c r="M70" s="213">
        <f ca="1">IF(dynamic="Yes",Calculations!U206,Calculations2!U69)</f>
        <v>0</v>
      </c>
      <c r="N70" s="213">
        <f ca="1">IF(dynamic="Yes",Calculations!V206,Calculations2!V69)</f>
        <v>0</v>
      </c>
      <c r="O70" s="213">
        <f ca="1">IF(dynamic="Yes",Calculations!W206,Calculations2!W69)</f>
        <v>0</v>
      </c>
      <c r="P70" s="9"/>
    </row>
    <row r="71" spans="2:16">
      <c r="B71" s="11">
        <f>intervencao4</f>
        <v>0</v>
      </c>
      <c r="C71" s="213">
        <f ca="1">IF(dynamic="Yes",Calculations!AA145,Calculations2!AA48)</f>
        <v>0</v>
      </c>
      <c r="D71" s="213">
        <f ca="1">IF(dynamic="Yes",Calculations!AB145,Calculations2!AB48)</f>
        <v>0</v>
      </c>
      <c r="E71" s="213">
        <f ca="1">IF(dynamic="Yes",Calculations!AC145,Calculations2!AC48)</f>
        <v>0</v>
      </c>
      <c r="F71" s="213">
        <f ca="1">IF(dynamic="Yes",Calculations!AD145,Calculations2!AD48)</f>
        <v>0</v>
      </c>
      <c r="G71" s="213">
        <f ca="1">IF(dynamic="Yes",Calculations!AE145,Calculations2!AE48)</f>
        <v>0</v>
      </c>
      <c r="H71" s="206"/>
      <c r="I71" s="206"/>
      <c r="J71" s="11">
        <f>intervencao4</f>
        <v>0</v>
      </c>
      <c r="K71" s="213">
        <f ca="1">IF(dynamic="Yes",Calculations!AA206,Calculations2!AA69)</f>
        <v>0</v>
      </c>
      <c r="L71" s="213">
        <f ca="1">IF(dynamic="Yes",Calculations!AB206,Calculations2!AB69)</f>
        <v>0</v>
      </c>
      <c r="M71" s="213">
        <f ca="1">IF(dynamic="Yes",Calculations!AC206,Calculations2!AC69)</f>
        <v>0</v>
      </c>
      <c r="N71" s="213">
        <f ca="1">IF(dynamic="Yes",Calculations!AD206,Calculations2!AD69)</f>
        <v>0</v>
      </c>
      <c r="O71" s="213">
        <f ca="1">IF(dynamic="Yes",Calculations!AE206,Calculations2!AE69)</f>
        <v>0</v>
      </c>
      <c r="P71" s="9"/>
    </row>
    <row r="72" spans="2:16">
      <c r="B72" s="11" t="str">
        <f>comparador1</f>
        <v>CT scan + scintigraphy</v>
      </c>
      <c r="C72" s="213">
        <f ca="1">IF(dynamic="Yes",Calculations!AI145,Calculations2!AI48)</f>
        <v>0</v>
      </c>
      <c r="D72" s="213">
        <f ca="1">IF(dynamic="Yes",Calculations!AJ145,Calculations2!AJ48)</f>
        <v>0</v>
      </c>
      <c r="E72" s="213">
        <f ca="1">IF(dynamic="Yes",Calculations!AK145,Calculations2!AK48)</f>
        <v>0</v>
      </c>
      <c r="F72" s="213">
        <f ca="1">IF(dynamic="Yes",Calculations!AL145,Calculations2!AL48)</f>
        <v>0</v>
      </c>
      <c r="G72" s="213">
        <f ca="1">IF(dynamic="Yes",Calculations!AM145,Calculations2!AM48)</f>
        <v>0</v>
      </c>
      <c r="H72" s="206"/>
      <c r="I72" s="206"/>
      <c r="J72" s="11" t="str">
        <f>comparador1</f>
        <v>CT scan + scintigraphy</v>
      </c>
      <c r="K72" s="213">
        <f ca="1">IF(dynamic="Yes",Calculations!AI206,Calculations2!AI69)</f>
        <v>0</v>
      </c>
      <c r="L72" s="213">
        <f ca="1">IF(dynamic="Yes",Calculations!AJ206,Calculations2!AJ69)</f>
        <v>0</v>
      </c>
      <c r="M72" s="213">
        <f ca="1">IF(dynamic="Yes",Calculations!AK206,Calculations2!AK69)</f>
        <v>0</v>
      </c>
      <c r="N72" s="213">
        <f ca="1">IF(dynamic="Yes",Calculations!AL206,Calculations2!AL69)</f>
        <v>0</v>
      </c>
      <c r="O72" s="213">
        <f ca="1">IF(dynamic="Yes",Calculations!AM206,Calculations2!AM69)</f>
        <v>0</v>
      </c>
      <c r="P72" s="9"/>
    </row>
    <row r="73" spans="2:16">
      <c r="B73" s="11">
        <f>comparador2</f>
        <v>0</v>
      </c>
      <c r="C73" s="213">
        <f ca="1">IF(dynamic="Yes",Calculations!AQ145,Calculations2!AQ48)</f>
        <v>0</v>
      </c>
      <c r="D73" s="213">
        <f ca="1">IF(dynamic="Yes",Calculations!AR145,Calculations2!AR48)</f>
        <v>0</v>
      </c>
      <c r="E73" s="213">
        <f ca="1">IF(dynamic="Yes",Calculations!AS145,Calculations2!AS48)</f>
        <v>0</v>
      </c>
      <c r="F73" s="213">
        <f ca="1">IF(dynamic="Yes",Calculations!AT145,Calculations2!AT48)</f>
        <v>0</v>
      </c>
      <c r="G73" s="213">
        <f ca="1">IF(dynamic="Yes",Calculations!AU145,Calculations2!AU48)</f>
        <v>0</v>
      </c>
      <c r="H73" s="206"/>
      <c r="I73" s="206"/>
      <c r="J73" s="11">
        <f>comparador2</f>
        <v>0</v>
      </c>
      <c r="K73" s="213">
        <f ca="1">IF(dynamic="Yes",Calculations!AQ206,Calculations2!AQ69)</f>
        <v>0</v>
      </c>
      <c r="L73" s="213">
        <f ca="1">IF(dynamic="Yes",Calculations!AR206,Calculations2!AR69)</f>
        <v>0</v>
      </c>
      <c r="M73" s="213">
        <f ca="1">IF(dynamic="Yes",Calculations!AS206,Calculations2!AS69)</f>
        <v>0</v>
      </c>
      <c r="N73" s="213">
        <f ca="1">IF(dynamic="Yes",Calculations!AT206,Calculations2!AT69)</f>
        <v>0</v>
      </c>
      <c r="O73" s="213">
        <f ca="1">IF(dynamic="Yes",Calculations!AU206,Calculations2!AU69)</f>
        <v>0</v>
      </c>
      <c r="P73" s="9"/>
    </row>
    <row r="74" spans="2:16">
      <c r="B74" s="11">
        <f>comparador3</f>
        <v>0</v>
      </c>
      <c r="C74" s="213">
        <f ca="1">IF(dynamic="Yes",Calculations!AY145,Calculations2!AY48)</f>
        <v>0</v>
      </c>
      <c r="D74" s="213">
        <f ca="1">IF(dynamic="Yes",Calculations!AZ145,Calculations2!AZ48)</f>
        <v>0</v>
      </c>
      <c r="E74" s="213">
        <f ca="1">IF(dynamic="Yes",Calculations!BA145,Calculations2!BA48)</f>
        <v>0</v>
      </c>
      <c r="F74" s="213">
        <f ca="1">IF(dynamic="Yes",Calculations!BB145,Calculations2!BB48)</f>
        <v>0</v>
      </c>
      <c r="G74" s="213">
        <f ca="1">IF(dynamic="Yes",Calculations!BC145,Calculations2!BC48)</f>
        <v>0</v>
      </c>
      <c r="H74" s="206"/>
      <c r="I74" s="206"/>
      <c r="J74" s="11">
        <f>comparador3</f>
        <v>0</v>
      </c>
      <c r="K74" s="213">
        <f ca="1">IF(dynamic="Yes",Calculations!AY206,Calculations2!AY69)</f>
        <v>0</v>
      </c>
      <c r="L74" s="213">
        <f ca="1">IF(dynamic="Yes",Calculations!AZ206,Calculations2!AZ69)</f>
        <v>0</v>
      </c>
      <c r="M74" s="213">
        <f ca="1">IF(dynamic="Yes",Calculations!BA206,Calculations2!BA69)</f>
        <v>0</v>
      </c>
      <c r="N74" s="213">
        <f ca="1">IF(dynamic="Yes",Calculations!BB206,Calculations2!BB69)</f>
        <v>0</v>
      </c>
      <c r="O74" s="213">
        <f ca="1">IF(dynamic="Yes",Calculations!BC206,Calculations2!BC69)</f>
        <v>0</v>
      </c>
      <c r="P74" s="9"/>
    </row>
    <row r="75" spans="2:16">
      <c r="B75" s="11">
        <f>comparador4</f>
        <v>0</v>
      </c>
      <c r="C75" s="213">
        <f ca="1">IF(dynamic="Yes",Calculations!BG145,Calculations2!BG48)</f>
        <v>0</v>
      </c>
      <c r="D75" s="213">
        <f ca="1">IF(dynamic="Yes",Calculations!BH145,Calculations2!BH48)</f>
        <v>0</v>
      </c>
      <c r="E75" s="213">
        <f ca="1">IF(dynamic="Yes",Calculations!BI145,Calculations2!BI48)</f>
        <v>0</v>
      </c>
      <c r="F75" s="213">
        <f ca="1">IF(dynamic="Yes",Calculations!BJ145,Calculations2!BJ48)</f>
        <v>0</v>
      </c>
      <c r="G75" s="213">
        <f ca="1">IF(dynamic="Yes",Calculations!BK145,Calculations2!BK48)</f>
        <v>0</v>
      </c>
      <c r="H75" s="206"/>
      <c r="I75" s="206"/>
      <c r="J75" s="11">
        <f>comparador4</f>
        <v>0</v>
      </c>
      <c r="K75" s="213">
        <f ca="1">IF(dynamic="Yes",Calculations!BG206,Calculations2!BG69)</f>
        <v>0</v>
      </c>
      <c r="L75" s="213">
        <f ca="1">IF(dynamic="Yes",Calculations!BH206,Calculations2!BH69)</f>
        <v>0</v>
      </c>
      <c r="M75" s="213">
        <f ca="1">IF(dynamic="Yes",Calculations!BI206,Calculations2!BI69)</f>
        <v>0</v>
      </c>
      <c r="N75" s="213">
        <f ca="1">IF(dynamic="Yes",Calculations!BJ206,Calculations2!BJ69)</f>
        <v>0</v>
      </c>
      <c r="O75" s="213">
        <f ca="1">IF(dynamic="Yes",Calculations!BK206,Calculations2!BK69)</f>
        <v>0</v>
      </c>
      <c r="P75" s="9"/>
    </row>
    <row r="76" spans="2:16">
      <c r="B76" s="11">
        <f>comparador5</f>
        <v>0</v>
      </c>
      <c r="C76" s="213">
        <f ca="1">IF(dynamic="Yes",Calculations!BO145,Calculations2!BO48)</f>
        <v>0</v>
      </c>
      <c r="D76" s="213">
        <f ca="1">IF(dynamic="Yes",Calculations!BP145,Calculations2!BP48)</f>
        <v>0</v>
      </c>
      <c r="E76" s="213">
        <f ca="1">IF(dynamic="Yes",Calculations!BQ145,Calculations2!BQ48)</f>
        <v>0</v>
      </c>
      <c r="F76" s="213">
        <f ca="1">IF(dynamic="Yes",Calculations!BR145,Calculations2!BR48)</f>
        <v>0</v>
      </c>
      <c r="G76" s="213">
        <f ca="1">IF(dynamic="Yes",Calculations!BS145,Calculations2!BS48)</f>
        <v>0</v>
      </c>
      <c r="H76" s="206"/>
      <c r="I76" s="206"/>
      <c r="J76" s="11">
        <f>comparador5</f>
        <v>0</v>
      </c>
      <c r="K76" s="213">
        <f ca="1">IF(dynamic="Yes",Calculations!BO206,Calculations2!BO69)</f>
        <v>0</v>
      </c>
      <c r="L76" s="213">
        <f ca="1">IF(dynamic="Yes",Calculations!BP206,Calculations2!BP69)</f>
        <v>0</v>
      </c>
      <c r="M76" s="213">
        <f ca="1">IF(dynamic="Yes",Calculations!BQ206,Calculations2!BQ69)</f>
        <v>0</v>
      </c>
      <c r="N76" s="213">
        <f ca="1">IF(dynamic="Yes",Calculations!BR206,Calculations2!BR69)</f>
        <v>0</v>
      </c>
      <c r="O76" s="213">
        <f ca="1">IF(dynamic="Yes",Calculations!BS206,Calculations2!BS69)</f>
        <v>0</v>
      </c>
      <c r="P76" s="9"/>
    </row>
    <row r="77" spans="2:16">
      <c r="B77" s="11">
        <f>comparador6</f>
        <v>0</v>
      </c>
      <c r="C77" s="213">
        <f ca="1">IF(dynamic="Yes",Calculations!BW145,Calculations2!BW48)</f>
        <v>0</v>
      </c>
      <c r="D77" s="213">
        <f ca="1">IF(dynamic="Yes",Calculations!BX145,Calculations2!BX48)</f>
        <v>0</v>
      </c>
      <c r="E77" s="213">
        <f ca="1">IF(dynamic="Yes",Calculations!BY145,Calculations2!BY48)</f>
        <v>0</v>
      </c>
      <c r="F77" s="213">
        <f ca="1">IF(dynamic="Yes",Calculations!BZ145,Calculations2!BZ48)</f>
        <v>0</v>
      </c>
      <c r="G77" s="213">
        <f ca="1">IF(dynamic="Yes",Calculations!CA145,Calculations2!CA48)</f>
        <v>0</v>
      </c>
      <c r="H77" s="206"/>
      <c r="I77" s="206"/>
      <c r="J77" s="11">
        <f>comparador6</f>
        <v>0</v>
      </c>
      <c r="K77" s="213">
        <f ca="1">IF(dynamic="Yes",Calculations!BW206,Calculations2!BW69)</f>
        <v>0</v>
      </c>
      <c r="L77" s="213">
        <f ca="1">IF(dynamic="Yes",Calculations!BX206,Calculations2!BX69)</f>
        <v>0</v>
      </c>
      <c r="M77" s="213">
        <f ca="1">IF(dynamic="Yes",Calculations!BY206,Calculations2!BY69)</f>
        <v>0</v>
      </c>
      <c r="N77" s="213">
        <f ca="1">IF(dynamic="Yes",Calculations!BZ206,Calculations2!BZ69)</f>
        <v>0</v>
      </c>
      <c r="O77" s="213">
        <f ca="1">IF(dynamic="Yes",Calculations!CA206,Calculations2!CA69)</f>
        <v>0</v>
      </c>
      <c r="P77" s="9"/>
    </row>
    <row r="78" spans="2:16">
      <c r="B78" s="11">
        <f>comparador7</f>
        <v>0</v>
      </c>
      <c r="C78" s="213">
        <f ca="1">IF(dynamic="Yes",Calculations!CE145,Calculations2!CE48)</f>
        <v>0</v>
      </c>
      <c r="D78" s="213">
        <f ca="1">IF(dynamic="Yes",Calculations!CF145,Calculations2!CF48)</f>
        <v>0</v>
      </c>
      <c r="E78" s="213">
        <f ca="1">IF(dynamic="Yes",Calculations!CG145,Calculations2!CG48)</f>
        <v>0</v>
      </c>
      <c r="F78" s="213">
        <f ca="1">IF(dynamic="Yes",Calculations!CH145,Calculations2!CH48)</f>
        <v>0</v>
      </c>
      <c r="G78" s="213">
        <f ca="1">IF(dynamic="Yes",Calculations!CI145,Calculations2!CI48)</f>
        <v>0</v>
      </c>
      <c r="H78" s="206"/>
      <c r="I78" s="206"/>
      <c r="J78" s="11">
        <f>comparador7</f>
        <v>0</v>
      </c>
      <c r="K78" s="213">
        <f ca="1">IF(dynamic="Yes",Calculations!CE206,Calculations2!CE69)</f>
        <v>0</v>
      </c>
      <c r="L78" s="213">
        <f ca="1">IF(dynamic="Yes",Calculations!CF206,Calculations2!CF69)</f>
        <v>0</v>
      </c>
      <c r="M78" s="213">
        <f ca="1">IF(dynamic="Yes",Calculations!CG206,Calculations2!CG69)</f>
        <v>0</v>
      </c>
      <c r="N78" s="213">
        <f ca="1">IF(dynamic="Yes",Calculations!CH206,Calculations2!CH69)</f>
        <v>0</v>
      </c>
      <c r="O78" s="213">
        <f ca="1">IF(dynamic="Yes",Calculations!CI206,Calculations2!CI69)</f>
        <v>0</v>
      </c>
      <c r="P78" s="9"/>
    </row>
    <row r="79" spans="2:16">
      <c r="B79" s="11">
        <f>comparador8</f>
        <v>0</v>
      </c>
      <c r="C79" s="213">
        <f ca="1">IF(dynamic="Yes",Calculations!CM145,Calculations2!CM48)</f>
        <v>0</v>
      </c>
      <c r="D79" s="213">
        <f ca="1">IF(dynamic="Yes",Calculations!CN145,Calculations2!CN48)</f>
        <v>0</v>
      </c>
      <c r="E79" s="213">
        <f ca="1">IF(dynamic="Yes",Calculations!CO145,Calculations2!CO48)</f>
        <v>0</v>
      </c>
      <c r="F79" s="213">
        <f ca="1">IF(dynamic="Yes",Calculations!CP145,Calculations2!CP48)</f>
        <v>0</v>
      </c>
      <c r="G79" s="213">
        <f ca="1">IF(dynamic="Yes",Calculations!CQ145,Calculations2!CQ48)</f>
        <v>0</v>
      </c>
      <c r="H79" s="206"/>
      <c r="I79" s="206"/>
      <c r="J79" s="11">
        <f>comparador8</f>
        <v>0</v>
      </c>
      <c r="K79" s="213">
        <f ca="1">IF(dynamic="Yes",Calculations!CM206,Calculations2!CM69)</f>
        <v>0</v>
      </c>
      <c r="L79" s="213">
        <f ca="1">IF(dynamic="Yes",Calculations!CN206,Calculations2!CN69)</f>
        <v>0</v>
      </c>
      <c r="M79" s="213">
        <f ca="1">IF(dynamic="Yes",Calculations!CO206,Calculations2!CO69)</f>
        <v>0</v>
      </c>
      <c r="N79" s="213">
        <f ca="1">IF(dynamic="Yes",Calculations!CP206,Calculations2!CP69)</f>
        <v>0</v>
      </c>
      <c r="O79" s="213">
        <f ca="1">IF(dynamic="Yes",Calculations!CQ206,Calculations2!CQ69)</f>
        <v>0</v>
      </c>
      <c r="P79" s="9"/>
    </row>
    <row r="80" spans="2:16">
      <c r="B80" s="11">
        <f>comparador9</f>
        <v>0</v>
      </c>
      <c r="C80" s="213">
        <f ca="1">IF(dynamic="Yes",Calculations!CU145,Calculations2!CU48)</f>
        <v>0</v>
      </c>
      <c r="D80" s="213">
        <f ca="1">IF(dynamic="Yes",Calculations!CV145,Calculations2!CV48)</f>
        <v>0</v>
      </c>
      <c r="E80" s="213">
        <f ca="1">IF(dynamic="Yes",Calculations!CW145,Calculations2!CW48)</f>
        <v>0</v>
      </c>
      <c r="F80" s="213">
        <f ca="1">IF(dynamic="Yes",Calculations!CX145,Calculations2!CX48)</f>
        <v>0</v>
      </c>
      <c r="G80" s="213">
        <f ca="1">IF(dynamic="Yes",Calculations!CY145,Calculations2!CY48)</f>
        <v>0</v>
      </c>
      <c r="H80" s="206"/>
      <c r="I80" s="206"/>
      <c r="J80" s="11">
        <f>comparador9</f>
        <v>0</v>
      </c>
      <c r="K80" s="213">
        <f ca="1">IF(dynamic="Yes",Calculations!CU206,Calculations2!CU69)</f>
        <v>0</v>
      </c>
      <c r="L80" s="213">
        <f ca="1">IF(dynamic="Yes",Calculations!CV206,Calculations2!CV69)</f>
        <v>0</v>
      </c>
      <c r="M80" s="213">
        <f ca="1">IF(dynamic="Yes",Calculations!CW206,Calculations2!CW69)</f>
        <v>0</v>
      </c>
      <c r="N80" s="213">
        <f ca="1">IF(dynamic="Yes",Calculations!CX206,Calculations2!CX69)</f>
        <v>0</v>
      </c>
      <c r="O80" s="213">
        <f ca="1">IF(dynamic="Yes",Calculations!CY206,Calculations2!CY69)</f>
        <v>0</v>
      </c>
      <c r="P80" s="9"/>
    </row>
    <row r="81" spans="2:16">
      <c r="B81" s="11">
        <f>comparador10</f>
        <v>0</v>
      </c>
      <c r="C81" s="213">
        <f ca="1">IF(dynamic="Yes",Calculations!DC145,Calculations2!DC48)</f>
        <v>0</v>
      </c>
      <c r="D81" s="213">
        <f ca="1">IF(dynamic="Yes",Calculations!DD145,Calculations2!DD48)</f>
        <v>0</v>
      </c>
      <c r="E81" s="213">
        <f ca="1">IF(dynamic="Yes",Calculations!DE145,Calculations2!DE48)</f>
        <v>0</v>
      </c>
      <c r="F81" s="213">
        <f ca="1">IF(dynamic="Yes",Calculations!DF145,Calculations2!DF48)</f>
        <v>0</v>
      </c>
      <c r="G81" s="213">
        <f ca="1">IF(dynamic="Yes",Calculations!DG145,Calculations2!DG48)</f>
        <v>0</v>
      </c>
      <c r="H81" s="206"/>
      <c r="I81" s="206"/>
      <c r="J81" s="11">
        <f>comparador10</f>
        <v>0</v>
      </c>
      <c r="K81" s="213">
        <f ca="1">IF(dynamic="Yes",Calculations!DC206,Calculations2!DC69)</f>
        <v>0</v>
      </c>
      <c r="L81" s="213">
        <f ca="1">IF(dynamic="Yes",Calculations!DD206,Calculations2!DD69)</f>
        <v>0</v>
      </c>
      <c r="M81" s="213">
        <f ca="1">IF(dynamic="Yes",Calculations!DE206,Calculations2!DE69)</f>
        <v>0</v>
      </c>
      <c r="N81" s="213">
        <f ca="1">IF(dynamic="Yes",Calculations!DF206,Calculations2!DF69)</f>
        <v>0</v>
      </c>
      <c r="O81" s="213">
        <f ca="1">IF(dynamic="Yes",Calculations!DG206,Calculations2!DG69)</f>
        <v>0</v>
      </c>
      <c r="P81" s="9"/>
    </row>
    <row r="82" spans="2:16">
      <c r="B82" s="115" t="s">
        <v>5</v>
      </c>
      <c r="C82" s="213">
        <f ca="1">SUM(C68:C81)</f>
        <v>0</v>
      </c>
      <c r="D82" s="213">
        <f t="shared" ref="D82" ca="1" si="24">SUM(D68:D81)</f>
        <v>0</v>
      </c>
      <c r="E82" s="213">
        <f t="shared" ref="E82" ca="1" si="25">SUM(E68:E81)</f>
        <v>0</v>
      </c>
      <c r="F82" s="213">
        <f t="shared" ref="F82" ca="1" si="26">SUM(F68:F81)</f>
        <v>0</v>
      </c>
      <c r="G82" s="213">
        <f ca="1">SUM(G68:G81)</f>
        <v>0</v>
      </c>
      <c r="H82" s="206"/>
      <c r="I82" s="206"/>
      <c r="J82" s="216" t="s">
        <v>5</v>
      </c>
      <c r="K82" s="213">
        <f ca="1">SUM(K68:K81)</f>
        <v>0</v>
      </c>
      <c r="L82" s="213">
        <f t="shared" ref="L82" ca="1" si="27">SUM(L68:L81)</f>
        <v>0</v>
      </c>
      <c r="M82" s="213">
        <f t="shared" ref="M82" ca="1" si="28">SUM(M68:M81)</f>
        <v>0</v>
      </c>
      <c r="N82" s="213">
        <f t="shared" ref="N82" ca="1" si="29">SUM(N68:N81)</f>
        <v>0</v>
      </c>
      <c r="O82" s="213">
        <f t="shared" ref="O82" ca="1" si="30">SUM(O68:O81)</f>
        <v>0</v>
      </c>
      <c r="P82" s="9"/>
    </row>
    <row r="85" spans="2:16" s="1" customFormat="1">
      <c r="B85" s="7"/>
      <c r="C85" s="7"/>
      <c r="D85" s="7"/>
      <c r="E85" s="7"/>
      <c r="F85" s="7"/>
      <c r="G85" s="7"/>
      <c r="H85" s="7"/>
      <c r="I85" s="7"/>
      <c r="J85" s="7"/>
      <c r="K85" s="7"/>
      <c r="L85" s="142"/>
      <c r="M85" s="142"/>
    </row>
    <row r="86" spans="2:16" s="1" customFormat="1">
      <c r="B86" s="65"/>
      <c r="C86" s="65"/>
      <c r="D86" s="65"/>
      <c r="E86" s="65"/>
      <c r="F86" s="65"/>
      <c r="G86" s="65"/>
      <c r="H86" s="65"/>
      <c r="I86" s="65"/>
      <c r="J86" s="65"/>
      <c r="K86" s="65"/>
      <c r="L86" s="65"/>
      <c r="M86" s="65"/>
    </row>
    <row r="87" spans="2:16" s="1" customFormat="1">
      <c r="B87" s="406" t="s">
        <v>77</v>
      </c>
      <c r="C87" s="406"/>
      <c r="D87" s="406"/>
      <c r="E87" s="406"/>
      <c r="F87" s="406"/>
      <c r="G87" s="406"/>
      <c r="H87" s="406"/>
      <c r="I87" s="406"/>
      <c r="J87" s="406"/>
      <c r="K87" s="406"/>
      <c r="L87" s="406"/>
      <c r="M87" s="406"/>
    </row>
    <row r="88" spans="2:16" s="1" customFormat="1">
      <c r="B88" s="406"/>
      <c r="C88" s="406"/>
      <c r="D88" s="406"/>
      <c r="E88" s="406"/>
      <c r="F88" s="406"/>
      <c r="G88" s="406"/>
      <c r="H88" s="406"/>
      <c r="I88" s="406"/>
      <c r="J88" s="406"/>
      <c r="K88" s="406"/>
      <c r="L88" s="406"/>
      <c r="M88" s="406"/>
    </row>
    <row r="89" spans="2:16" s="1" customFormat="1" ht="85.95" customHeight="1">
      <c r="B89" s="405" t="e" vm="1">
        <v>#VALUE!</v>
      </c>
      <c r="C89" s="405"/>
      <c r="D89" s="405"/>
      <c r="E89" s="405"/>
      <c r="F89" s="405"/>
      <c r="G89" s="405"/>
      <c r="H89" s="405"/>
      <c r="I89" s="405"/>
      <c r="J89" s="405"/>
      <c r="K89" s="405"/>
      <c r="L89" s="405"/>
      <c r="M89" s="405"/>
    </row>
  </sheetData>
  <sheetProtection algorithmName="SHA-512" hashValue="sj1U0rvkVhwEULOI10vKrthkBmLwuhrJez0gP7iCtqfHxKGQvC3Cw2iY9ntiA+wlZZ2MrS9+DXIxm2iBmra8HQ==" saltValue="HLEI2nTDZdxlyzD7D0qr2Q==" spinCount="100000" sheet="1" formatCells="0" formatColumns="0" formatRows="0"/>
  <mergeCells count="10">
    <mergeCell ref="B87:M88"/>
    <mergeCell ref="B89:M89"/>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X73"/>
  <sheetViews>
    <sheetView showGridLines="0" showRowColHeaders="0" zoomScaleNormal="100" workbookViewId="0">
      <selection activeCell="P1" sqref="P1"/>
    </sheetView>
  </sheetViews>
  <sheetFormatPr defaultColWidth="8.77734375" defaultRowHeight="14.4"/>
  <cols>
    <col min="1" max="1" width="5" style="142" customWidth="1"/>
    <col min="2" max="2" width="4.109375" style="142" customWidth="1"/>
    <col min="3" max="3" width="30.6640625" style="142" customWidth="1"/>
    <col min="4" max="4" width="15.6640625" style="142" customWidth="1"/>
    <col min="5" max="5" width="12.77734375" style="142" customWidth="1"/>
    <col min="6" max="6" width="14" style="142" customWidth="1"/>
    <col min="7" max="7" width="13.33203125" style="142" customWidth="1"/>
    <col min="8" max="8" width="10.44140625" style="142" customWidth="1"/>
    <col min="9" max="9" width="12.33203125" style="142" customWidth="1"/>
    <col min="10" max="10" width="12.6640625" style="142" customWidth="1"/>
    <col min="11" max="11" width="10.77734375" style="142" customWidth="1"/>
    <col min="12" max="12" width="12" style="142" customWidth="1"/>
    <col min="13" max="13" width="10.6640625" style="142" customWidth="1"/>
    <col min="14" max="14" width="8.77734375" style="142" customWidth="1"/>
    <col min="15" max="15" width="55.44140625" style="142" customWidth="1"/>
    <col min="16" max="16" width="17.44140625" style="142" customWidth="1"/>
    <col min="17" max="17" width="14" style="142" customWidth="1"/>
    <col min="18" max="18" width="5.33203125" style="142" customWidth="1"/>
    <col min="19" max="19" width="3.6640625" style="142" customWidth="1"/>
    <col min="20" max="20" width="18.77734375" style="142" customWidth="1"/>
    <col min="21" max="24" width="8.44140625" style="187" customWidth="1"/>
    <col min="25" max="38" width="8.77734375" style="142" customWidth="1"/>
    <col min="39" max="16384" width="8.77734375" style="142"/>
  </cols>
  <sheetData>
    <row r="1" spans="2:24" s="130" customFormat="1" ht="33.6">
      <c r="B1" s="128" t="str">
        <f>Introduction!$B$1</f>
        <v>Budget impact analysis of PET-CT for treatment of small-cell lung cancer</v>
      </c>
      <c r="C1" s="128"/>
      <c r="D1" s="128"/>
      <c r="E1" s="129"/>
      <c r="F1" s="127"/>
      <c r="G1" s="127"/>
      <c r="H1" s="127"/>
      <c r="I1" s="127"/>
      <c r="J1" s="127"/>
      <c r="K1" s="127"/>
      <c r="L1" s="127"/>
      <c r="M1" s="127"/>
      <c r="N1" s="127"/>
      <c r="O1" s="127"/>
      <c r="P1" s="401">
        <v>0</v>
      </c>
      <c r="Q1" s="127"/>
      <c r="R1" s="127"/>
      <c r="U1" s="217"/>
      <c r="V1" s="217"/>
      <c r="W1" s="217"/>
      <c r="X1" s="217"/>
    </row>
    <row r="2" spans="2:24" s="130" customFormat="1" ht="18">
      <c r="B2" s="131"/>
      <c r="C2" s="131"/>
      <c r="D2" s="131"/>
      <c r="E2" s="132"/>
      <c r="F2" s="133"/>
      <c r="G2" s="133"/>
      <c r="H2" s="133"/>
      <c r="I2" s="133"/>
      <c r="J2" s="133"/>
      <c r="K2" s="133"/>
      <c r="L2" s="133"/>
      <c r="M2" s="133"/>
      <c r="N2" s="127"/>
      <c r="O2" s="127"/>
      <c r="P2" s="127"/>
      <c r="Q2" s="127"/>
      <c r="R2" s="127"/>
      <c r="U2" s="217"/>
      <c r="V2" s="217"/>
      <c r="W2" s="217"/>
      <c r="X2" s="217"/>
    </row>
    <row r="3" spans="2:24" s="207" customFormat="1" ht="2.25" customHeight="1">
      <c r="E3" s="208"/>
      <c r="U3" s="402"/>
      <c r="V3" s="402"/>
      <c r="W3" s="402"/>
      <c r="X3" s="402"/>
    </row>
    <row r="4" spans="2:24" ht="15.6">
      <c r="B4" s="136"/>
      <c r="C4" s="78" t="s">
        <v>119</v>
      </c>
      <c r="D4" s="78" t="s">
        <v>209</v>
      </c>
      <c r="E4" s="78" t="s">
        <v>120</v>
      </c>
      <c r="F4" s="78" t="s">
        <v>121</v>
      </c>
      <c r="G4" s="78" t="s">
        <v>122</v>
      </c>
      <c r="H4" s="78" t="s">
        <v>123</v>
      </c>
      <c r="I4" s="78" t="s">
        <v>124</v>
      </c>
      <c r="J4" s="78" t="s">
        <v>11</v>
      </c>
      <c r="K4" s="78" t="s">
        <v>12</v>
      </c>
      <c r="L4" s="78" t="s">
        <v>125</v>
      </c>
      <c r="M4" s="78" t="s">
        <v>126</v>
      </c>
      <c r="N4" s="78" t="s">
        <v>13</v>
      </c>
      <c r="O4" s="78" t="s">
        <v>97</v>
      </c>
      <c r="P4" s="363" t="s">
        <v>127</v>
      </c>
      <c r="Q4" s="364" t="s">
        <v>14</v>
      </c>
      <c r="R4" s="136"/>
    </row>
    <row r="5" spans="2:24">
      <c r="B5" s="136"/>
      <c r="C5" s="264"/>
      <c r="D5" s="394"/>
      <c r="E5" s="395">
        <f>IF(AND($P$1=0,P5="point estimate"), F5, IF(AND($P$1=0, P5="lower limit"),V5, IF(AND($P$1=0, P5="upper limit"),W5,IF(AND($P$1=1,F5&gt;0),G5,0))))</f>
        <v>0</v>
      </c>
      <c r="F5" s="396"/>
      <c r="G5" s="397" t="e">
        <f ca="1">IF(L5="Beta",_xlfn.BETA.INV(RAND(),M5,N5),IF(L5="Gamma",_xlfn.GAMMA.INV(RAND(),M5,N5),_xlfn.NORM.INV(RAND(),F5,I5)))</f>
        <v>#DIV/0!</v>
      </c>
      <c r="H5" s="209">
        <v>0.2</v>
      </c>
      <c r="I5" s="265">
        <f>IF(H5&gt;0,(W5-V5)/3.92,(K5-J5)/3.92)</f>
        <v>0</v>
      </c>
      <c r="J5" s="391"/>
      <c r="K5" s="391"/>
      <c r="L5" s="384" t="s">
        <v>13</v>
      </c>
      <c r="M5" s="395" t="e">
        <f>IF(L5="Beta",F5*(F5*(1-F5)/I5^2-1),IF(L5="Gamma",F5^2/I5^2,0))</f>
        <v>#DIV/0!</v>
      </c>
      <c r="N5" s="395" t="e">
        <f>IF(L5="Beta",(M5/F5)-M5,IF(L5="Gamma",I5^2/F5,0))</f>
        <v>#DIV/0!</v>
      </c>
      <c r="O5" s="210"/>
      <c r="P5" s="266" t="s">
        <v>342</v>
      </c>
      <c r="Q5" s="266" t="s">
        <v>343</v>
      </c>
      <c r="R5" s="136"/>
      <c r="V5" s="403">
        <f>IF(H5&gt;0,F5*(1-H5),J5)</f>
        <v>0</v>
      </c>
      <c r="W5" s="403">
        <f>IF(H5&gt;0,F5*(1+H5),K5)</f>
        <v>0</v>
      </c>
    </row>
    <row r="6" spans="2:24">
      <c r="B6" s="136"/>
      <c r="C6" s="267" t="str">
        <f>Population!C81</f>
        <v>Individuals with lung cancer (0.015%)</v>
      </c>
      <c r="D6" s="393"/>
      <c r="E6" s="395">
        <f t="shared" ref="E6:E58" si="0">IF(AND($P$1=0,P6="point estimate"), F6, IF(AND($P$1=0, P6="lower limit"),V6, IF(AND($P$1=0, P6="upper limit"),W6,IF(AND($P$1=1,F6&gt;0),G6,0))))</f>
        <v>1.516E-4</v>
      </c>
      <c r="F6" s="398">
        <f>Population!D81</f>
        <v>1.516E-4</v>
      </c>
      <c r="G6" s="397">
        <f t="shared" ref="G6:G58" ca="1" si="1">IF(L6="Beta",_xlfn.BETA.INV(RAND(),M6,N6),IF(L6="Gamma",_xlfn.GAMMA.INV(RAND(),M6,N6),_xlfn.NORM.INV(RAND(),F6,I6)))</f>
        <v>1.9993838147902565E-4</v>
      </c>
      <c r="H6" s="209">
        <v>0.2</v>
      </c>
      <c r="I6" s="265">
        <f>IF(H6&gt;0,(W6-V6)/3.92,(K6-J6)/3.92)</f>
        <v>1.5469387755102038E-5</v>
      </c>
      <c r="J6" s="391"/>
      <c r="K6" s="391"/>
      <c r="L6" s="384" t="s">
        <v>13</v>
      </c>
      <c r="M6" s="395">
        <f t="shared" ref="M6:M58" si="2">IF(L6="Beta",F6*(F6*(1-F6)/I6^2-1),IF(L6="Gamma",F6^2/I6^2,0))</f>
        <v>96.025288736000022</v>
      </c>
      <c r="N6" s="395">
        <f t="shared" ref="N6:N58" si="3">IF(L6="Beta",(M6/F6)-M6,IF(L6="Gamma",I6^2/F6,0))</f>
        <v>633316.16953976022</v>
      </c>
      <c r="O6" s="210"/>
      <c r="P6" s="266" t="s">
        <v>342</v>
      </c>
      <c r="Q6" s="266" t="s">
        <v>343</v>
      </c>
      <c r="R6" s="136"/>
      <c r="V6" s="403">
        <f t="shared" ref="V6:V58" si="4">IF(H6&gt;0,F6*(1-H6),J6)</f>
        <v>1.2128E-4</v>
      </c>
      <c r="W6" s="403">
        <f t="shared" ref="W6:W58" si="5">IF(H6&gt;0,F6*(1+H6),K6)</f>
        <v>1.8191999999999999E-4</v>
      </c>
    </row>
    <row r="7" spans="2:24">
      <c r="B7" s="136"/>
      <c r="C7" s="267" t="str">
        <f>Population!C82</f>
        <v>Individuals with SCLC (15%)</v>
      </c>
      <c r="D7" s="393"/>
      <c r="E7" s="395">
        <f t="shared" si="0"/>
        <v>0.15</v>
      </c>
      <c r="F7" s="398">
        <f>Population!D82</f>
        <v>0.15</v>
      </c>
      <c r="G7" s="397">
        <f t="shared" ca="1" si="1"/>
        <v>0.14662961085240983</v>
      </c>
      <c r="H7" s="209">
        <v>0.2</v>
      </c>
      <c r="I7" s="265">
        <f t="shared" ref="I7:I58" si="6">IF(H7&gt;0,(W7-V7)/3.92,(K7-J7)/3.92)</f>
        <v>1.5306122448979591E-2</v>
      </c>
      <c r="J7" s="391"/>
      <c r="K7" s="391"/>
      <c r="L7" s="384" t="s">
        <v>13</v>
      </c>
      <c r="M7" s="395">
        <f t="shared" si="2"/>
        <v>81.483999999999995</v>
      </c>
      <c r="N7" s="395">
        <f t="shared" si="3"/>
        <v>461.74266666666671</v>
      </c>
      <c r="O7" s="210"/>
      <c r="P7" s="266" t="s">
        <v>342</v>
      </c>
      <c r="Q7" s="266" t="s">
        <v>343</v>
      </c>
      <c r="R7" s="187"/>
      <c r="V7" s="403">
        <f t="shared" si="4"/>
        <v>0.12</v>
      </c>
      <c r="W7" s="403">
        <f t="shared" si="5"/>
        <v>0.18</v>
      </c>
    </row>
    <row r="8" spans="2:24">
      <c r="B8" s="136"/>
      <c r="C8" s="267">
        <f>Population!C83</f>
        <v>0</v>
      </c>
      <c r="D8" s="393"/>
      <c r="E8" s="395">
        <f t="shared" si="0"/>
        <v>0</v>
      </c>
      <c r="F8" s="398">
        <f>Population!D83</f>
        <v>0</v>
      </c>
      <c r="G8" s="397" t="e">
        <f t="shared" ca="1" si="1"/>
        <v>#DIV/0!</v>
      </c>
      <c r="H8" s="209">
        <v>0.2</v>
      </c>
      <c r="I8" s="265">
        <f t="shared" si="6"/>
        <v>0</v>
      </c>
      <c r="J8" s="391"/>
      <c r="K8" s="391"/>
      <c r="L8" s="384" t="s">
        <v>13</v>
      </c>
      <c r="M8" s="395" t="e">
        <f>IF(L8="Beta",F8*(F8*(1-F8)/I8^2-1),IF(L8="Gamma",F8^2/I8^2,0))</f>
        <v>#DIV/0!</v>
      </c>
      <c r="N8" s="395" t="e">
        <f>IF(L8="Beta",(M8/F8)-M8,IF(L8="Gamma",I8^2/F8,0))</f>
        <v>#DIV/0!</v>
      </c>
      <c r="O8" s="210"/>
      <c r="P8" s="266" t="s">
        <v>342</v>
      </c>
      <c r="Q8" s="266" t="s">
        <v>343</v>
      </c>
      <c r="R8" s="136"/>
      <c r="V8" s="403">
        <f t="shared" si="4"/>
        <v>0</v>
      </c>
      <c r="W8" s="403">
        <f t="shared" si="5"/>
        <v>0</v>
      </c>
    </row>
    <row r="9" spans="2:24">
      <c r="B9" s="136"/>
      <c r="C9" s="267">
        <f>Population!C84</f>
        <v>0</v>
      </c>
      <c r="D9" s="393"/>
      <c r="E9" s="395">
        <f t="shared" si="0"/>
        <v>0</v>
      </c>
      <c r="F9" s="398">
        <f>Population!D84</f>
        <v>0</v>
      </c>
      <c r="G9" s="397" t="e">
        <f t="shared" ca="1" si="1"/>
        <v>#DIV/0!</v>
      </c>
      <c r="H9" s="209">
        <v>0.2</v>
      </c>
      <c r="I9" s="265">
        <f t="shared" si="6"/>
        <v>0</v>
      </c>
      <c r="J9" s="391"/>
      <c r="K9" s="391"/>
      <c r="L9" s="384" t="s">
        <v>13</v>
      </c>
      <c r="M9" s="395" t="e">
        <f t="shared" si="2"/>
        <v>#DIV/0!</v>
      </c>
      <c r="N9" s="395" t="e">
        <f t="shared" si="3"/>
        <v>#DIV/0!</v>
      </c>
      <c r="O9" s="210"/>
      <c r="P9" s="266" t="s">
        <v>342</v>
      </c>
      <c r="Q9" s="266" t="s">
        <v>343</v>
      </c>
      <c r="R9" s="136"/>
      <c r="V9" s="403">
        <f t="shared" si="4"/>
        <v>0</v>
      </c>
      <c r="W9" s="403">
        <f t="shared" si="5"/>
        <v>0</v>
      </c>
    </row>
    <row r="10" spans="2:24">
      <c r="B10" s="136"/>
      <c r="C10" s="267">
        <f>Population!C85</f>
        <v>0</v>
      </c>
      <c r="D10" s="393"/>
      <c r="E10" s="395">
        <f t="shared" si="0"/>
        <v>0</v>
      </c>
      <c r="F10" s="398">
        <f>Population!D85</f>
        <v>0</v>
      </c>
      <c r="G10" s="397" t="e">
        <f t="shared" ca="1" si="1"/>
        <v>#DIV/0!</v>
      </c>
      <c r="H10" s="209">
        <v>0.2</v>
      </c>
      <c r="I10" s="265">
        <f t="shared" si="6"/>
        <v>0</v>
      </c>
      <c r="J10" s="391"/>
      <c r="K10" s="391"/>
      <c r="L10" s="384" t="s">
        <v>13</v>
      </c>
      <c r="M10" s="395" t="e">
        <f t="shared" si="2"/>
        <v>#DIV/0!</v>
      </c>
      <c r="N10" s="395" t="e">
        <f t="shared" si="3"/>
        <v>#DIV/0!</v>
      </c>
      <c r="O10" s="210"/>
      <c r="P10" s="266" t="s">
        <v>342</v>
      </c>
      <c r="Q10" s="266" t="s">
        <v>343</v>
      </c>
      <c r="R10" s="136"/>
      <c r="V10" s="403">
        <f t="shared" si="4"/>
        <v>0</v>
      </c>
      <c r="W10" s="403">
        <f t="shared" si="5"/>
        <v>0</v>
      </c>
    </row>
    <row r="11" spans="2:24">
      <c r="B11" s="136"/>
      <c r="C11" s="267">
        <f>Population!C86</f>
        <v>0</v>
      </c>
      <c r="D11" s="393"/>
      <c r="E11" s="395">
        <f t="shared" si="0"/>
        <v>0</v>
      </c>
      <c r="F11" s="398">
        <f>Population!D86</f>
        <v>0</v>
      </c>
      <c r="G11" s="397" t="e">
        <f t="shared" ca="1" si="1"/>
        <v>#DIV/0!</v>
      </c>
      <c r="H11" s="209">
        <v>0.2</v>
      </c>
      <c r="I11" s="265">
        <f t="shared" si="6"/>
        <v>0</v>
      </c>
      <c r="J11" s="391"/>
      <c r="K11" s="391"/>
      <c r="L11" s="384" t="s">
        <v>13</v>
      </c>
      <c r="M11" s="395" t="e">
        <f t="shared" si="2"/>
        <v>#DIV/0!</v>
      </c>
      <c r="N11" s="395" t="e">
        <f t="shared" si="3"/>
        <v>#DIV/0!</v>
      </c>
      <c r="O11" s="210"/>
      <c r="P11" s="266" t="s">
        <v>342</v>
      </c>
      <c r="Q11" s="266" t="s">
        <v>343</v>
      </c>
      <c r="R11" s="136"/>
      <c r="V11" s="403">
        <f t="shared" si="4"/>
        <v>0</v>
      </c>
      <c r="W11" s="403">
        <f t="shared" si="5"/>
        <v>0</v>
      </c>
    </row>
    <row r="12" spans="2:24">
      <c r="B12" s="136"/>
      <c r="C12" s="267">
        <f>Population!C87</f>
        <v>0</v>
      </c>
      <c r="D12" s="393"/>
      <c r="E12" s="395">
        <f t="shared" si="0"/>
        <v>0</v>
      </c>
      <c r="F12" s="398">
        <f>Population!D87</f>
        <v>0</v>
      </c>
      <c r="G12" s="397" t="e">
        <f t="shared" ca="1" si="1"/>
        <v>#DIV/0!</v>
      </c>
      <c r="H12" s="209">
        <v>0.2</v>
      </c>
      <c r="I12" s="265">
        <f t="shared" si="6"/>
        <v>0</v>
      </c>
      <c r="J12" s="391"/>
      <c r="K12" s="391"/>
      <c r="L12" s="384" t="s">
        <v>13</v>
      </c>
      <c r="M12" s="395" t="e">
        <f t="shared" si="2"/>
        <v>#DIV/0!</v>
      </c>
      <c r="N12" s="395" t="e">
        <f t="shared" si="3"/>
        <v>#DIV/0!</v>
      </c>
      <c r="O12" s="210"/>
      <c r="P12" s="266" t="s">
        <v>342</v>
      </c>
      <c r="Q12" s="266" t="s">
        <v>343</v>
      </c>
      <c r="R12" s="136"/>
      <c r="V12" s="403">
        <f t="shared" si="4"/>
        <v>0</v>
      </c>
      <c r="W12" s="403">
        <f t="shared" si="5"/>
        <v>0</v>
      </c>
    </row>
    <row r="13" spans="2:24">
      <c r="B13" s="136"/>
      <c r="C13" s="267">
        <f>Population!C88</f>
        <v>0</v>
      </c>
      <c r="D13" s="393"/>
      <c r="E13" s="395">
        <f t="shared" si="0"/>
        <v>0</v>
      </c>
      <c r="F13" s="398">
        <f>Population!D88</f>
        <v>0</v>
      </c>
      <c r="G13" s="397" t="e">
        <f t="shared" ca="1" si="1"/>
        <v>#DIV/0!</v>
      </c>
      <c r="H13" s="209">
        <v>0.2</v>
      </c>
      <c r="I13" s="265">
        <f t="shared" si="6"/>
        <v>0</v>
      </c>
      <c r="J13" s="391"/>
      <c r="K13" s="391"/>
      <c r="L13" s="384" t="s">
        <v>13</v>
      </c>
      <c r="M13" s="395" t="e">
        <f t="shared" si="2"/>
        <v>#DIV/0!</v>
      </c>
      <c r="N13" s="395" t="e">
        <f t="shared" si="3"/>
        <v>#DIV/0!</v>
      </c>
      <c r="O13" s="210"/>
      <c r="P13" s="266" t="s">
        <v>342</v>
      </c>
      <c r="Q13" s="266" t="s">
        <v>343</v>
      </c>
      <c r="R13" s="136"/>
      <c r="V13" s="403">
        <f t="shared" si="4"/>
        <v>0</v>
      </c>
      <c r="W13" s="403">
        <f t="shared" si="5"/>
        <v>0</v>
      </c>
    </row>
    <row r="14" spans="2:24">
      <c r="B14" s="136"/>
      <c r="C14" s="264" t="str">
        <f>"Initial costs "&amp;intervencao1</f>
        <v>Initial costs PET-CT</v>
      </c>
      <c r="D14" s="393" t="s">
        <v>15</v>
      </c>
      <c r="E14" s="395">
        <f t="shared" ca="1" si="0"/>
        <v>3213.3799999999997</v>
      </c>
      <c r="F14" s="399">
        <f ca="1">Costs!D32</f>
        <v>3213.3799999999997</v>
      </c>
      <c r="G14" s="397">
        <f t="shared" ca="1" si="1"/>
        <v>3168.9111716383209</v>
      </c>
      <c r="H14" s="209">
        <v>0.2</v>
      </c>
      <c r="I14" s="265">
        <f t="shared" ca="1" si="6"/>
        <v>327.89591836734689</v>
      </c>
      <c r="J14" s="392"/>
      <c r="K14" s="392"/>
      <c r="L14" s="384" t="s">
        <v>332</v>
      </c>
      <c r="M14" s="395">
        <f t="shared" ca="1" si="2"/>
        <v>96.04</v>
      </c>
      <c r="N14" s="395">
        <f t="shared" ca="1" si="3"/>
        <v>33.458767180341518</v>
      </c>
      <c r="O14" s="211"/>
      <c r="P14" s="266" t="s">
        <v>342</v>
      </c>
      <c r="Q14" s="266" t="s">
        <v>343</v>
      </c>
      <c r="R14" s="136"/>
      <c r="V14" s="403">
        <f t="shared" ca="1" si="4"/>
        <v>2570.7039999999997</v>
      </c>
      <c r="W14" s="403">
        <f t="shared" ca="1" si="5"/>
        <v>3856.0559999999996</v>
      </c>
    </row>
    <row r="15" spans="2:24">
      <c r="B15" s="136"/>
      <c r="C15" s="264" t="str">
        <f>"Initial costs "&amp;intervencao2</f>
        <v xml:space="preserve">Initial costs </v>
      </c>
      <c r="D15" s="393" t="s">
        <v>16</v>
      </c>
      <c r="E15" s="395">
        <f t="shared" ca="1" si="0"/>
        <v>0</v>
      </c>
      <c r="F15" s="399">
        <f ca="1">Costs!D33</f>
        <v>0</v>
      </c>
      <c r="G15" s="397" t="e">
        <f t="shared" ca="1" si="1"/>
        <v>#DIV/0!</v>
      </c>
      <c r="H15" s="209">
        <v>0.2</v>
      </c>
      <c r="I15" s="265">
        <f t="shared" ca="1" si="6"/>
        <v>0</v>
      </c>
      <c r="J15" s="392"/>
      <c r="K15" s="392"/>
      <c r="L15" s="384" t="s">
        <v>332</v>
      </c>
      <c r="M15" s="395" t="e">
        <f t="shared" ca="1" si="2"/>
        <v>#DIV/0!</v>
      </c>
      <c r="N15" s="395" t="e">
        <f t="shared" ca="1" si="3"/>
        <v>#DIV/0!</v>
      </c>
      <c r="O15" s="211"/>
      <c r="P15" s="266" t="s">
        <v>342</v>
      </c>
      <c r="Q15" s="266" t="s">
        <v>343</v>
      </c>
      <c r="R15" s="136"/>
      <c r="V15" s="403">
        <f t="shared" ca="1" si="4"/>
        <v>0</v>
      </c>
      <c r="W15" s="403">
        <f t="shared" ca="1" si="5"/>
        <v>0</v>
      </c>
    </row>
    <row r="16" spans="2:24">
      <c r="B16" s="136"/>
      <c r="C16" s="264" t="str">
        <f>"Initial costs "&amp;intervencao3</f>
        <v xml:space="preserve">Initial costs </v>
      </c>
      <c r="D16" s="393" t="s">
        <v>17</v>
      </c>
      <c r="E16" s="395">
        <f t="shared" ca="1" si="0"/>
        <v>0</v>
      </c>
      <c r="F16" s="399">
        <f ca="1">Costs!D34</f>
        <v>0</v>
      </c>
      <c r="G16" s="397" t="e">
        <f t="shared" ca="1" si="1"/>
        <v>#DIV/0!</v>
      </c>
      <c r="H16" s="209">
        <v>0.2</v>
      </c>
      <c r="I16" s="265">
        <f t="shared" ca="1" si="6"/>
        <v>0</v>
      </c>
      <c r="J16" s="392"/>
      <c r="K16" s="392"/>
      <c r="L16" s="384" t="s">
        <v>332</v>
      </c>
      <c r="M16" s="395" t="e">
        <f t="shared" ca="1" si="2"/>
        <v>#DIV/0!</v>
      </c>
      <c r="N16" s="395" t="e">
        <f t="shared" ca="1" si="3"/>
        <v>#DIV/0!</v>
      </c>
      <c r="O16" s="211"/>
      <c r="P16" s="266" t="s">
        <v>342</v>
      </c>
      <c r="Q16" s="266" t="s">
        <v>343</v>
      </c>
      <c r="R16" s="136"/>
      <c r="V16" s="403">
        <f ca="1">IF(H16&gt;0,F16*(1-H16),J16)</f>
        <v>0</v>
      </c>
      <c r="W16" s="403">
        <f t="shared" ca="1" si="5"/>
        <v>0</v>
      </c>
    </row>
    <row r="17" spans="2:23">
      <c r="B17" s="136"/>
      <c r="C17" s="264" t="str">
        <f>"Initial costs "&amp;intervencao4</f>
        <v xml:space="preserve">Initial costs </v>
      </c>
      <c r="D17" s="393" t="s">
        <v>18</v>
      </c>
      <c r="E17" s="395">
        <f t="shared" ca="1" si="0"/>
        <v>0</v>
      </c>
      <c r="F17" s="399">
        <f ca="1">Costs!D35</f>
        <v>0</v>
      </c>
      <c r="G17" s="397" t="e">
        <f t="shared" ca="1" si="1"/>
        <v>#DIV/0!</v>
      </c>
      <c r="H17" s="209">
        <v>0.2</v>
      </c>
      <c r="I17" s="265">
        <f t="shared" ca="1" si="6"/>
        <v>0</v>
      </c>
      <c r="J17" s="392"/>
      <c r="K17" s="392"/>
      <c r="L17" s="384" t="s">
        <v>332</v>
      </c>
      <c r="M17" s="395" t="e">
        <f t="shared" ca="1" si="2"/>
        <v>#DIV/0!</v>
      </c>
      <c r="N17" s="395" t="e">
        <f t="shared" ca="1" si="3"/>
        <v>#DIV/0!</v>
      </c>
      <c r="O17" s="211"/>
      <c r="P17" s="266" t="s">
        <v>342</v>
      </c>
      <c r="Q17" s="266" t="s">
        <v>343</v>
      </c>
      <c r="R17" s="136"/>
      <c r="V17" s="403">
        <f t="shared" ca="1" si="4"/>
        <v>0</v>
      </c>
      <c r="W17" s="403">
        <f t="shared" ca="1" si="5"/>
        <v>0</v>
      </c>
    </row>
    <row r="18" spans="2:23">
      <c r="B18" s="136"/>
      <c r="C18" s="264" t="str">
        <f>"Initial costs "&amp;comparador1</f>
        <v>Initial costs CT scan + scintigraphy</v>
      </c>
      <c r="D18" s="393" t="s">
        <v>19</v>
      </c>
      <c r="E18" s="395">
        <f t="shared" ca="1" si="0"/>
        <v>1179.8599999999999</v>
      </c>
      <c r="F18" s="399">
        <f ca="1">Costs!D36</f>
        <v>1179.8599999999999</v>
      </c>
      <c r="G18" s="397">
        <f t="shared" ca="1" si="1"/>
        <v>1168.8704783733469</v>
      </c>
      <c r="H18" s="209">
        <v>0.2</v>
      </c>
      <c r="I18" s="265">
        <f t="shared" ca="1" si="6"/>
        <v>120.3938775510204</v>
      </c>
      <c r="J18" s="392"/>
      <c r="K18" s="392"/>
      <c r="L18" s="384" t="s">
        <v>332</v>
      </c>
      <c r="M18" s="395">
        <f t="shared" ca="1" si="2"/>
        <v>96.04000000000002</v>
      </c>
      <c r="N18" s="395">
        <f t="shared" ca="1" si="3"/>
        <v>12.285089546022489</v>
      </c>
      <c r="O18" s="211"/>
      <c r="P18" s="266" t="s">
        <v>342</v>
      </c>
      <c r="Q18" s="266" t="s">
        <v>343</v>
      </c>
      <c r="R18" s="136"/>
      <c r="V18" s="403">
        <f t="shared" ca="1" si="4"/>
        <v>943.88799999999992</v>
      </c>
      <c r="W18" s="403">
        <f t="shared" ca="1" si="5"/>
        <v>1415.8319999999999</v>
      </c>
    </row>
    <row r="19" spans="2:23">
      <c r="B19" s="136"/>
      <c r="C19" s="264" t="str">
        <f>"Initial costs "&amp;comparador2</f>
        <v xml:space="preserve">Initial costs </v>
      </c>
      <c r="D19" s="393" t="s">
        <v>20</v>
      </c>
      <c r="E19" s="395">
        <f t="shared" ca="1" si="0"/>
        <v>0</v>
      </c>
      <c r="F19" s="399">
        <f ca="1">Costs!D37</f>
        <v>0</v>
      </c>
      <c r="G19" s="397" t="e">
        <f t="shared" ca="1" si="1"/>
        <v>#DIV/0!</v>
      </c>
      <c r="H19" s="209">
        <v>0.2</v>
      </c>
      <c r="I19" s="265">
        <f t="shared" ca="1" si="6"/>
        <v>0</v>
      </c>
      <c r="J19" s="392"/>
      <c r="K19" s="392"/>
      <c r="L19" s="384" t="s">
        <v>332</v>
      </c>
      <c r="M19" s="395" t="e">
        <f t="shared" ca="1" si="2"/>
        <v>#DIV/0!</v>
      </c>
      <c r="N19" s="395" t="e">
        <f t="shared" ca="1" si="3"/>
        <v>#DIV/0!</v>
      </c>
      <c r="O19" s="211"/>
      <c r="P19" s="266" t="s">
        <v>342</v>
      </c>
      <c r="Q19" s="266" t="s">
        <v>343</v>
      </c>
      <c r="R19" s="136"/>
      <c r="V19" s="403">
        <f t="shared" ca="1" si="4"/>
        <v>0</v>
      </c>
      <c r="W19" s="403">
        <f t="shared" ca="1" si="5"/>
        <v>0</v>
      </c>
    </row>
    <row r="20" spans="2:23">
      <c r="B20" s="136"/>
      <c r="C20" s="264" t="str">
        <f>"Initial costs "&amp;comparador3</f>
        <v xml:space="preserve">Initial costs </v>
      </c>
      <c r="D20" s="393" t="s">
        <v>21</v>
      </c>
      <c r="E20" s="395">
        <f t="shared" ca="1" si="0"/>
        <v>0</v>
      </c>
      <c r="F20" s="399">
        <f ca="1">Costs!D38</f>
        <v>0</v>
      </c>
      <c r="G20" s="397" t="e">
        <f t="shared" ca="1" si="1"/>
        <v>#DIV/0!</v>
      </c>
      <c r="H20" s="209">
        <v>0.2</v>
      </c>
      <c r="I20" s="265">
        <f t="shared" ca="1" si="6"/>
        <v>0</v>
      </c>
      <c r="J20" s="392"/>
      <c r="K20" s="392"/>
      <c r="L20" s="384" t="s">
        <v>332</v>
      </c>
      <c r="M20" s="395" t="e">
        <f t="shared" ca="1" si="2"/>
        <v>#DIV/0!</v>
      </c>
      <c r="N20" s="395" t="e">
        <f t="shared" ca="1" si="3"/>
        <v>#DIV/0!</v>
      </c>
      <c r="O20" s="211"/>
      <c r="P20" s="266" t="s">
        <v>342</v>
      </c>
      <c r="Q20" s="266" t="s">
        <v>343</v>
      </c>
      <c r="R20" s="136"/>
      <c r="V20" s="403">
        <f t="shared" ca="1" si="4"/>
        <v>0</v>
      </c>
      <c r="W20" s="403">
        <f t="shared" ca="1" si="5"/>
        <v>0</v>
      </c>
    </row>
    <row r="21" spans="2:23">
      <c r="B21" s="136"/>
      <c r="C21" s="264" t="str">
        <f>"Initial costs "&amp;comparador4</f>
        <v xml:space="preserve">Initial costs </v>
      </c>
      <c r="D21" s="393" t="s">
        <v>22</v>
      </c>
      <c r="E21" s="395">
        <f t="shared" ca="1" si="0"/>
        <v>0</v>
      </c>
      <c r="F21" s="399">
        <f ca="1">Costs!D39</f>
        <v>0</v>
      </c>
      <c r="G21" s="397" t="e">
        <f t="shared" ca="1" si="1"/>
        <v>#DIV/0!</v>
      </c>
      <c r="H21" s="209">
        <v>0.2</v>
      </c>
      <c r="I21" s="265">
        <f t="shared" ca="1" si="6"/>
        <v>0</v>
      </c>
      <c r="J21" s="392"/>
      <c r="K21" s="392"/>
      <c r="L21" s="384" t="s">
        <v>332</v>
      </c>
      <c r="M21" s="395" t="e">
        <f t="shared" ca="1" si="2"/>
        <v>#DIV/0!</v>
      </c>
      <c r="N21" s="395" t="e">
        <f t="shared" ca="1" si="3"/>
        <v>#DIV/0!</v>
      </c>
      <c r="O21" s="211"/>
      <c r="P21" s="266" t="s">
        <v>342</v>
      </c>
      <c r="Q21" s="266" t="s">
        <v>343</v>
      </c>
      <c r="R21" s="136"/>
      <c r="V21" s="403">
        <f t="shared" ca="1" si="4"/>
        <v>0</v>
      </c>
      <c r="W21" s="403">
        <f t="shared" ca="1" si="5"/>
        <v>0</v>
      </c>
    </row>
    <row r="22" spans="2:23">
      <c r="B22" s="136"/>
      <c r="C22" s="264" t="str">
        <f>"Initial costs "&amp;comparador5</f>
        <v xml:space="preserve">Initial costs </v>
      </c>
      <c r="D22" s="393" t="s">
        <v>23</v>
      </c>
      <c r="E22" s="395">
        <f t="shared" ca="1" si="0"/>
        <v>0</v>
      </c>
      <c r="F22" s="399">
        <f ca="1">Costs!D40</f>
        <v>0</v>
      </c>
      <c r="G22" s="397" t="e">
        <f t="shared" ca="1" si="1"/>
        <v>#DIV/0!</v>
      </c>
      <c r="H22" s="209">
        <v>0.2</v>
      </c>
      <c r="I22" s="265">
        <f t="shared" ca="1" si="6"/>
        <v>0</v>
      </c>
      <c r="J22" s="392"/>
      <c r="K22" s="392"/>
      <c r="L22" s="384" t="s">
        <v>332</v>
      </c>
      <c r="M22" s="395" t="e">
        <f t="shared" ca="1" si="2"/>
        <v>#DIV/0!</v>
      </c>
      <c r="N22" s="395" t="e">
        <f t="shared" ca="1" si="3"/>
        <v>#DIV/0!</v>
      </c>
      <c r="O22" s="211"/>
      <c r="P22" s="266" t="s">
        <v>342</v>
      </c>
      <c r="Q22" s="266" t="s">
        <v>343</v>
      </c>
      <c r="R22" s="136"/>
      <c r="V22" s="403">
        <f t="shared" ca="1" si="4"/>
        <v>0</v>
      </c>
      <c r="W22" s="403">
        <f t="shared" ca="1" si="5"/>
        <v>0</v>
      </c>
    </row>
    <row r="23" spans="2:23">
      <c r="B23" s="136"/>
      <c r="C23" s="264" t="str">
        <f>"Initial costs "&amp;comparador6</f>
        <v xml:space="preserve">Initial costs </v>
      </c>
      <c r="D23" s="393" t="s">
        <v>24</v>
      </c>
      <c r="E23" s="395">
        <f t="shared" ca="1" si="0"/>
        <v>0</v>
      </c>
      <c r="F23" s="399">
        <f ca="1">Costs!D41</f>
        <v>0</v>
      </c>
      <c r="G23" s="397" t="e">
        <f t="shared" ca="1" si="1"/>
        <v>#DIV/0!</v>
      </c>
      <c r="H23" s="209">
        <v>0.2</v>
      </c>
      <c r="I23" s="265">
        <f t="shared" ca="1" si="6"/>
        <v>0</v>
      </c>
      <c r="J23" s="392"/>
      <c r="K23" s="392"/>
      <c r="L23" s="384" t="s">
        <v>332</v>
      </c>
      <c r="M23" s="395" t="e">
        <f t="shared" ca="1" si="2"/>
        <v>#DIV/0!</v>
      </c>
      <c r="N23" s="395" t="e">
        <f t="shared" ca="1" si="3"/>
        <v>#DIV/0!</v>
      </c>
      <c r="O23" s="211"/>
      <c r="P23" s="266" t="s">
        <v>342</v>
      </c>
      <c r="Q23" s="266" t="s">
        <v>343</v>
      </c>
      <c r="R23" s="136"/>
      <c r="V23" s="403">
        <f t="shared" ca="1" si="4"/>
        <v>0</v>
      </c>
      <c r="W23" s="403">
        <f t="shared" ca="1" si="5"/>
        <v>0</v>
      </c>
    </row>
    <row r="24" spans="2:23">
      <c r="B24" s="136"/>
      <c r="C24" s="264" t="str">
        <f>"Initial costs "&amp;comparador7</f>
        <v xml:space="preserve">Initial costs </v>
      </c>
      <c r="D24" s="393" t="s">
        <v>25</v>
      </c>
      <c r="E24" s="395">
        <f t="shared" ca="1" si="0"/>
        <v>0</v>
      </c>
      <c r="F24" s="399">
        <f ca="1">Costs!D42</f>
        <v>0</v>
      </c>
      <c r="G24" s="397" t="e">
        <f t="shared" ca="1" si="1"/>
        <v>#DIV/0!</v>
      </c>
      <c r="H24" s="209">
        <v>0.2</v>
      </c>
      <c r="I24" s="265">
        <f t="shared" ca="1" si="6"/>
        <v>0</v>
      </c>
      <c r="J24" s="392"/>
      <c r="K24" s="392"/>
      <c r="L24" s="384" t="s">
        <v>332</v>
      </c>
      <c r="M24" s="395" t="e">
        <f t="shared" ca="1" si="2"/>
        <v>#DIV/0!</v>
      </c>
      <c r="N24" s="395" t="e">
        <f t="shared" ca="1" si="3"/>
        <v>#DIV/0!</v>
      </c>
      <c r="O24" s="211"/>
      <c r="P24" s="266" t="s">
        <v>342</v>
      </c>
      <c r="Q24" s="266" t="s">
        <v>343</v>
      </c>
      <c r="R24" s="136"/>
      <c r="V24" s="403">
        <f t="shared" ca="1" si="4"/>
        <v>0</v>
      </c>
      <c r="W24" s="403">
        <f t="shared" ca="1" si="5"/>
        <v>0</v>
      </c>
    </row>
    <row r="25" spans="2:23">
      <c r="B25" s="136"/>
      <c r="C25" s="264" t="str">
        <f>"Initial costs "&amp;comparador8</f>
        <v xml:space="preserve">Initial costs </v>
      </c>
      <c r="D25" s="393" t="s">
        <v>26</v>
      </c>
      <c r="E25" s="395">
        <f t="shared" ca="1" si="0"/>
        <v>0</v>
      </c>
      <c r="F25" s="399">
        <f ca="1">Costs!D43</f>
        <v>0</v>
      </c>
      <c r="G25" s="397" t="e">
        <f t="shared" ca="1" si="1"/>
        <v>#DIV/0!</v>
      </c>
      <c r="H25" s="209">
        <v>0.2</v>
      </c>
      <c r="I25" s="265">
        <f t="shared" ca="1" si="6"/>
        <v>0</v>
      </c>
      <c r="J25" s="392"/>
      <c r="K25" s="392"/>
      <c r="L25" s="384" t="s">
        <v>332</v>
      </c>
      <c r="M25" s="395" t="e">
        <f t="shared" ca="1" si="2"/>
        <v>#DIV/0!</v>
      </c>
      <c r="N25" s="395" t="e">
        <f t="shared" ca="1" si="3"/>
        <v>#DIV/0!</v>
      </c>
      <c r="O25" s="211"/>
      <c r="P25" s="266" t="s">
        <v>342</v>
      </c>
      <c r="Q25" s="266" t="s">
        <v>343</v>
      </c>
      <c r="R25" s="136"/>
      <c r="V25" s="403">
        <f t="shared" ca="1" si="4"/>
        <v>0</v>
      </c>
      <c r="W25" s="403">
        <f t="shared" ca="1" si="5"/>
        <v>0</v>
      </c>
    </row>
    <row r="26" spans="2:23">
      <c r="B26" s="136"/>
      <c r="C26" s="264" t="str">
        <f>"Initial costs "&amp;comparador9</f>
        <v xml:space="preserve">Initial costs </v>
      </c>
      <c r="D26" s="393" t="s">
        <v>27</v>
      </c>
      <c r="E26" s="395">
        <f t="shared" ca="1" si="0"/>
        <v>0</v>
      </c>
      <c r="F26" s="399">
        <f ca="1">Costs!D44</f>
        <v>0</v>
      </c>
      <c r="G26" s="397" t="e">
        <f t="shared" ca="1" si="1"/>
        <v>#DIV/0!</v>
      </c>
      <c r="H26" s="209">
        <v>0.2</v>
      </c>
      <c r="I26" s="265">
        <f t="shared" ca="1" si="6"/>
        <v>0</v>
      </c>
      <c r="J26" s="392"/>
      <c r="K26" s="392"/>
      <c r="L26" s="384" t="s">
        <v>332</v>
      </c>
      <c r="M26" s="395" t="e">
        <f t="shared" ca="1" si="2"/>
        <v>#DIV/0!</v>
      </c>
      <c r="N26" s="395" t="e">
        <f t="shared" ca="1" si="3"/>
        <v>#DIV/0!</v>
      </c>
      <c r="O26" s="211"/>
      <c r="P26" s="266" t="s">
        <v>342</v>
      </c>
      <c r="Q26" s="266" t="s">
        <v>343</v>
      </c>
      <c r="R26" s="136"/>
      <c r="V26" s="403">
        <f t="shared" ca="1" si="4"/>
        <v>0</v>
      </c>
      <c r="W26" s="403">
        <f t="shared" ca="1" si="5"/>
        <v>0</v>
      </c>
    </row>
    <row r="27" spans="2:23">
      <c r="B27" s="136"/>
      <c r="C27" s="264" t="str">
        <f>"Initial costs "&amp;comparador10</f>
        <v xml:space="preserve">Initial costs </v>
      </c>
      <c r="D27" s="393" t="s">
        <v>28</v>
      </c>
      <c r="E27" s="395">
        <f t="shared" ca="1" si="0"/>
        <v>0</v>
      </c>
      <c r="F27" s="399">
        <f ca="1">Costs!D45</f>
        <v>0</v>
      </c>
      <c r="G27" s="397" t="e">
        <f t="shared" ca="1" si="1"/>
        <v>#DIV/0!</v>
      </c>
      <c r="H27" s="209">
        <v>0.2</v>
      </c>
      <c r="I27" s="265">
        <f t="shared" ca="1" si="6"/>
        <v>0</v>
      </c>
      <c r="J27" s="392"/>
      <c r="K27" s="392"/>
      <c r="L27" s="384" t="s">
        <v>332</v>
      </c>
      <c r="M27" s="395" t="e">
        <f t="shared" ca="1" si="2"/>
        <v>#DIV/0!</v>
      </c>
      <c r="N27" s="395" t="e">
        <f t="shared" ca="1" si="3"/>
        <v>#DIV/0!</v>
      </c>
      <c r="O27" s="211"/>
      <c r="P27" s="266" t="s">
        <v>342</v>
      </c>
      <c r="Q27" s="266" t="s">
        <v>343</v>
      </c>
      <c r="R27" s="136"/>
      <c r="V27" s="403">
        <f t="shared" ca="1" si="4"/>
        <v>0</v>
      </c>
      <c r="W27" s="403">
        <f t="shared" ca="1" si="5"/>
        <v>0</v>
      </c>
    </row>
    <row r="28" spans="2:23">
      <c r="B28" s="136"/>
      <c r="C28" s="264" t="str">
        <f>"Treatment costs "&amp;intervencao1</f>
        <v>Treatment costs PET-CT</v>
      </c>
      <c r="D28" s="393" t="s">
        <v>29</v>
      </c>
      <c r="E28" s="395">
        <f t="shared" ca="1" si="0"/>
        <v>0</v>
      </c>
      <c r="F28" s="399">
        <f ca="1">Costs!E32</f>
        <v>0</v>
      </c>
      <c r="G28" s="397" t="e">
        <f t="shared" ca="1" si="1"/>
        <v>#DIV/0!</v>
      </c>
      <c r="H28" s="209">
        <v>0.2</v>
      </c>
      <c r="I28" s="265">
        <f t="shared" ca="1" si="6"/>
        <v>0</v>
      </c>
      <c r="J28" s="392"/>
      <c r="K28" s="392"/>
      <c r="L28" s="384" t="s">
        <v>332</v>
      </c>
      <c r="M28" s="395" t="e">
        <f t="shared" ca="1" si="2"/>
        <v>#DIV/0!</v>
      </c>
      <c r="N28" s="395" t="e">
        <f t="shared" ca="1" si="3"/>
        <v>#DIV/0!</v>
      </c>
      <c r="O28" s="211"/>
      <c r="P28" s="266" t="s">
        <v>342</v>
      </c>
      <c r="Q28" s="266" t="s">
        <v>343</v>
      </c>
      <c r="R28" s="136"/>
      <c r="V28" s="403">
        <f t="shared" ca="1" si="4"/>
        <v>0</v>
      </c>
      <c r="W28" s="403">
        <f t="shared" ca="1" si="5"/>
        <v>0</v>
      </c>
    </row>
    <row r="29" spans="2:23">
      <c r="B29" s="136"/>
      <c r="C29" s="264" t="str">
        <f>"Treatment costs "&amp;intervencao2</f>
        <v xml:space="preserve">Treatment costs </v>
      </c>
      <c r="D29" s="393" t="s">
        <v>30</v>
      </c>
      <c r="E29" s="395">
        <f t="shared" ca="1" si="0"/>
        <v>0</v>
      </c>
      <c r="F29" s="399">
        <f ca="1">Costs!E33</f>
        <v>0</v>
      </c>
      <c r="G29" s="397" t="e">
        <f t="shared" ca="1" si="1"/>
        <v>#DIV/0!</v>
      </c>
      <c r="H29" s="209">
        <v>0.2</v>
      </c>
      <c r="I29" s="265">
        <f t="shared" ca="1" si="6"/>
        <v>0</v>
      </c>
      <c r="J29" s="392"/>
      <c r="K29" s="392"/>
      <c r="L29" s="384" t="s">
        <v>332</v>
      </c>
      <c r="M29" s="395" t="e">
        <f t="shared" ca="1" si="2"/>
        <v>#DIV/0!</v>
      </c>
      <c r="N29" s="395" t="e">
        <f t="shared" ca="1" si="3"/>
        <v>#DIV/0!</v>
      </c>
      <c r="O29" s="211"/>
      <c r="P29" s="266" t="s">
        <v>342</v>
      </c>
      <c r="Q29" s="266" t="s">
        <v>343</v>
      </c>
      <c r="R29" s="136"/>
      <c r="V29" s="403">
        <f t="shared" ca="1" si="4"/>
        <v>0</v>
      </c>
      <c r="W29" s="403">
        <f t="shared" ca="1" si="5"/>
        <v>0</v>
      </c>
    </row>
    <row r="30" spans="2:23">
      <c r="B30" s="136"/>
      <c r="C30" s="264" t="str">
        <f>"Treatment costs "&amp;intervencao3</f>
        <v xml:space="preserve">Treatment costs </v>
      </c>
      <c r="D30" s="393" t="s">
        <v>31</v>
      </c>
      <c r="E30" s="395">
        <f t="shared" ca="1" si="0"/>
        <v>0</v>
      </c>
      <c r="F30" s="399">
        <f ca="1">Costs!E34</f>
        <v>0</v>
      </c>
      <c r="G30" s="397" t="e">
        <f t="shared" ca="1" si="1"/>
        <v>#DIV/0!</v>
      </c>
      <c r="H30" s="209">
        <v>0.2</v>
      </c>
      <c r="I30" s="265">
        <f t="shared" ca="1" si="6"/>
        <v>0</v>
      </c>
      <c r="J30" s="392"/>
      <c r="K30" s="392"/>
      <c r="L30" s="384" t="s">
        <v>332</v>
      </c>
      <c r="M30" s="395" t="e">
        <f t="shared" ca="1" si="2"/>
        <v>#DIV/0!</v>
      </c>
      <c r="N30" s="395" t="e">
        <f t="shared" ca="1" si="3"/>
        <v>#DIV/0!</v>
      </c>
      <c r="O30" s="211"/>
      <c r="P30" s="266" t="s">
        <v>342</v>
      </c>
      <c r="Q30" s="266" t="s">
        <v>343</v>
      </c>
      <c r="R30" s="136"/>
      <c r="V30" s="403">
        <f t="shared" ca="1" si="4"/>
        <v>0</v>
      </c>
      <c r="W30" s="403">
        <f t="shared" ca="1" si="5"/>
        <v>0</v>
      </c>
    </row>
    <row r="31" spans="2:23">
      <c r="B31" s="136"/>
      <c r="C31" s="264" t="str">
        <f>"Treatment costs "&amp;intervencao4</f>
        <v xml:space="preserve">Treatment costs </v>
      </c>
      <c r="D31" s="393" t="s">
        <v>32</v>
      </c>
      <c r="E31" s="395">
        <f t="shared" ca="1" si="0"/>
        <v>0</v>
      </c>
      <c r="F31" s="399">
        <f ca="1">Costs!E35</f>
        <v>0</v>
      </c>
      <c r="G31" s="397" t="e">
        <f t="shared" ca="1" si="1"/>
        <v>#DIV/0!</v>
      </c>
      <c r="H31" s="209">
        <v>0.2</v>
      </c>
      <c r="I31" s="265">
        <f t="shared" ca="1" si="6"/>
        <v>0</v>
      </c>
      <c r="J31" s="392"/>
      <c r="K31" s="392"/>
      <c r="L31" s="384" t="s">
        <v>332</v>
      </c>
      <c r="M31" s="395" t="e">
        <f t="shared" ca="1" si="2"/>
        <v>#DIV/0!</v>
      </c>
      <c r="N31" s="395" t="e">
        <f t="shared" ca="1" si="3"/>
        <v>#DIV/0!</v>
      </c>
      <c r="O31" s="211"/>
      <c r="P31" s="266" t="s">
        <v>342</v>
      </c>
      <c r="Q31" s="266" t="s">
        <v>343</v>
      </c>
      <c r="R31" s="136"/>
      <c r="V31" s="403">
        <f t="shared" ca="1" si="4"/>
        <v>0</v>
      </c>
      <c r="W31" s="403">
        <f t="shared" ca="1" si="5"/>
        <v>0</v>
      </c>
    </row>
    <row r="32" spans="2:23">
      <c r="B32" s="136"/>
      <c r="C32" s="264" t="str">
        <f>"Treatment costs "&amp;comparador1</f>
        <v>Treatment costs CT scan + scintigraphy</v>
      </c>
      <c r="D32" s="393" t="s">
        <v>33</v>
      </c>
      <c r="E32" s="395">
        <f t="shared" ca="1" si="0"/>
        <v>0</v>
      </c>
      <c r="F32" s="399">
        <f ca="1">Costs!E36</f>
        <v>0</v>
      </c>
      <c r="G32" s="397" t="e">
        <f t="shared" ca="1" si="1"/>
        <v>#DIV/0!</v>
      </c>
      <c r="H32" s="209">
        <v>0.2</v>
      </c>
      <c r="I32" s="265">
        <f t="shared" ca="1" si="6"/>
        <v>0</v>
      </c>
      <c r="J32" s="392"/>
      <c r="K32" s="392"/>
      <c r="L32" s="384" t="s">
        <v>332</v>
      </c>
      <c r="M32" s="395" t="e">
        <f t="shared" ca="1" si="2"/>
        <v>#DIV/0!</v>
      </c>
      <c r="N32" s="395" t="e">
        <f t="shared" ca="1" si="3"/>
        <v>#DIV/0!</v>
      </c>
      <c r="O32" s="211"/>
      <c r="P32" s="266" t="s">
        <v>342</v>
      </c>
      <c r="Q32" s="266" t="s">
        <v>343</v>
      </c>
      <c r="R32" s="136"/>
      <c r="V32" s="403">
        <f t="shared" ca="1" si="4"/>
        <v>0</v>
      </c>
      <c r="W32" s="403">
        <f t="shared" ca="1" si="5"/>
        <v>0</v>
      </c>
    </row>
    <row r="33" spans="2:23">
      <c r="B33" s="136"/>
      <c r="C33" s="264" t="str">
        <f>"Treatment costs "&amp;comparador2</f>
        <v xml:space="preserve">Treatment costs </v>
      </c>
      <c r="D33" s="393" t="s">
        <v>34</v>
      </c>
      <c r="E33" s="395">
        <f t="shared" ca="1" si="0"/>
        <v>0</v>
      </c>
      <c r="F33" s="399">
        <f ca="1">Costs!E37</f>
        <v>0</v>
      </c>
      <c r="G33" s="397" t="e">
        <f t="shared" ca="1" si="1"/>
        <v>#DIV/0!</v>
      </c>
      <c r="H33" s="209">
        <v>0.2</v>
      </c>
      <c r="I33" s="265">
        <f t="shared" ca="1" si="6"/>
        <v>0</v>
      </c>
      <c r="J33" s="392"/>
      <c r="K33" s="392"/>
      <c r="L33" s="384" t="s">
        <v>332</v>
      </c>
      <c r="M33" s="395" t="e">
        <f t="shared" ca="1" si="2"/>
        <v>#DIV/0!</v>
      </c>
      <c r="N33" s="395" t="e">
        <f t="shared" ca="1" si="3"/>
        <v>#DIV/0!</v>
      </c>
      <c r="O33" s="211"/>
      <c r="P33" s="266" t="s">
        <v>342</v>
      </c>
      <c r="Q33" s="266" t="s">
        <v>343</v>
      </c>
      <c r="R33" s="136"/>
      <c r="V33" s="403">
        <f t="shared" ca="1" si="4"/>
        <v>0</v>
      </c>
      <c r="W33" s="403">
        <f t="shared" ca="1" si="5"/>
        <v>0</v>
      </c>
    </row>
    <row r="34" spans="2:23">
      <c r="B34" s="136"/>
      <c r="C34" s="264" t="str">
        <f>"Treatment costs "&amp;comparador3</f>
        <v xml:space="preserve">Treatment costs </v>
      </c>
      <c r="D34" s="393" t="s">
        <v>35</v>
      </c>
      <c r="E34" s="395">
        <f t="shared" ca="1" si="0"/>
        <v>0</v>
      </c>
      <c r="F34" s="399">
        <f ca="1">Costs!E38</f>
        <v>0</v>
      </c>
      <c r="G34" s="397" t="e">
        <f t="shared" ca="1" si="1"/>
        <v>#DIV/0!</v>
      </c>
      <c r="H34" s="209">
        <v>0.2</v>
      </c>
      <c r="I34" s="265">
        <f t="shared" ca="1" si="6"/>
        <v>0</v>
      </c>
      <c r="J34" s="392"/>
      <c r="K34" s="392"/>
      <c r="L34" s="384" t="s">
        <v>332</v>
      </c>
      <c r="M34" s="395" t="e">
        <f t="shared" ca="1" si="2"/>
        <v>#DIV/0!</v>
      </c>
      <c r="N34" s="395" t="e">
        <f t="shared" ca="1" si="3"/>
        <v>#DIV/0!</v>
      </c>
      <c r="O34" s="211"/>
      <c r="P34" s="266" t="s">
        <v>342</v>
      </c>
      <c r="Q34" s="266" t="s">
        <v>343</v>
      </c>
      <c r="R34" s="136"/>
      <c r="V34" s="403">
        <f t="shared" ca="1" si="4"/>
        <v>0</v>
      </c>
      <c r="W34" s="403">
        <f t="shared" ca="1" si="5"/>
        <v>0</v>
      </c>
    </row>
    <row r="35" spans="2:23">
      <c r="B35" s="136"/>
      <c r="C35" s="264" t="str">
        <f>"Treatment costs "&amp;comparador4</f>
        <v xml:space="preserve">Treatment costs </v>
      </c>
      <c r="D35" s="393" t="s">
        <v>36</v>
      </c>
      <c r="E35" s="395">
        <f t="shared" ca="1" si="0"/>
        <v>0</v>
      </c>
      <c r="F35" s="399">
        <f ca="1">Costs!E39</f>
        <v>0</v>
      </c>
      <c r="G35" s="397" t="e">
        <f t="shared" ca="1" si="1"/>
        <v>#DIV/0!</v>
      </c>
      <c r="H35" s="209">
        <v>0.2</v>
      </c>
      <c r="I35" s="265">
        <f t="shared" ca="1" si="6"/>
        <v>0</v>
      </c>
      <c r="J35" s="392"/>
      <c r="K35" s="392"/>
      <c r="L35" s="384" t="s">
        <v>332</v>
      </c>
      <c r="M35" s="395" t="e">
        <f t="shared" ca="1" si="2"/>
        <v>#DIV/0!</v>
      </c>
      <c r="N35" s="395" t="e">
        <f t="shared" ca="1" si="3"/>
        <v>#DIV/0!</v>
      </c>
      <c r="O35" s="211"/>
      <c r="P35" s="266" t="s">
        <v>342</v>
      </c>
      <c r="Q35" s="266" t="s">
        <v>343</v>
      </c>
      <c r="R35" s="136"/>
      <c r="V35" s="403">
        <f t="shared" ca="1" si="4"/>
        <v>0</v>
      </c>
      <c r="W35" s="403">
        <f t="shared" ca="1" si="5"/>
        <v>0</v>
      </c>
    </row>
    <row r="36" spans="2:23">
      <c r="B36" s="136"/>
      <c r="C36" s="264" t="str">
        <f>"Treatment costs "&amp;comparador5</f>
        <v xml:space="preserve">Treatment costs </v>
      </c>
      <c r="D36" s="393" t="s">
        <v>37</v>
      </c>
      <c r="E36" s="395">
        <f t="shared" ca="1" si="0"/>
        <v>0</v>
      </c>
      <c r="F36" s="399">
        <f ca="1">Costs!E40</f>
        <v>0</v>
      </c>
      <c r="G36" s="397" t="e">
        <f t="shared" ca="1" si="1"/>
        <v>#DIV/0!</v>
      </c>
      <c r="H36" s="209">
        <v>0.2</v>
      </c>
      <c r="I36" s="265">
        <f t="shared" ca="1" si="6"/>
        <v>0</v>
      </c>
      <c r="J36" s="392"/>
      <c r="K36" s="392"/>
      <c r="L36" s="384" t="s">
        <v>332</v>
      </c>
      <c r="M36" s="395" t="e">
        <f t="shared" ca="1" si="2"/>
        <v>#DIV/0!</v>
      </c>
      <c r="N36" s="395" t="e">
        <f t="shared" ca="1" si="3"/>
        <v>#DIV/0!</v>
      </c>
      <c r="O36" s="211"/>
      <c r="P36" s="266" t="s">
        <v>342</v>
      </c>
      <c r="Q36" s="266" t="s">
        <v>343</v>
      </c>
      <c r="R36" s="136"/>
      <c r="V36" s="403">
        <f t="shared" ca="1" si="4"/>
        <v>0</v>
      </c>
      <c r="W36" s="403">
        <f t="shared" ca="1" si="5"/>
        <v>0</v>
      </c>
    </row>
    <row r="37" spans="2:23">
      <c r="B37" s="136"/>
      <c r="C37" s="264" t="str">
        <f>"Treatment costs "&amp;comparador6</f>
        <v xml:space="preserve">Treatment costs </v>
      </c>
      <c r="D37" s="393" t="s">
        <v>38</v>
      </c>
      <c r="E37" s="395">
        <f t="shared" ca="1" si="0"/>
        <v>0</v>
      </c>
      <c r="F37" s="399">
        <f ca="1">Costs!E41</f>
        <v>0</v>
      </c>
      <c r="G37" s="397" t="e">
        <f t="shared" ca="1" si="1"/>
        <v>#DIV/0!</v>
      </c>
      <c r="H37" s="209">
        <v>0.2</v>
      </c>
      <c r="I37" s="265">
        <f t="shared" ca="1" si="6"/>
        <v>0</v>
      </c>
      <c r="J37" s="392"/>
      <c r="K37" s="392"/>
      <c r="L37" s="384" t="s">
        <v>332</v>
      </c>
      <c r="M37" s="395" t="e">
        <f t="shared" ca="1" si="2"/>
        <v>#DIV/0!</v>
      </c>
      <c r="N37" s="395" t="e">
        <f t="shared" ca="1" si="3"/>
        <v>#DIV/0!</v>
      </c>
      <c r="O37" s="211"/>
      <c r="P37" s="266" t="s">
        <v>342</v>
      </c>
      <c r="Q37" s="266" t="s">
        <v>343</v>
      </c>
      <c r="R37" s="136"/>
      <c r="V37" s="403">
        <f t="shared" ca="1" si="4"/>
        <v>0</v>
      </c>
      <c r="W37" s="403">
        <f t="shared" ca="1" si="5"/>
        <v>0</v>
      </c>
    </row>
    <row r="38" spans="2:23">
      <c r="B38" s="136"/>
      <c r="C38" s="264" t="str">
        <f>"Treatment costs "&amp;comparador7</f>
        <v xml:space="preserve">Treatment costs </v>
      </c>
      <c r="D38" s="393" t="s">
        <v>39</v>
      </c>
      <c r="E38" s="395">
        <f t="shared" ca="1" si="0"/>
        <v>0</v>
      </c>
      <c r="F38" s="399">
        <f ca="1">Costs!E42</f>
        <v>0</v>
      </c>
      <c r="G38" s="397" t="e">
        <f t="shared" ca="1" si="1"/>
        <v>#DIV/0!</v>
      </c>
      <c r="H38" s="209">
        <v>0.2</v>
      </c>
      <c r="I38" s="265">
        <f t="shared" ca="1" si="6"/>
        <v>0</v>
      </c>
      <c r="J38" s="392"/>
      <c r="K38" s="392"/>
      <c r="L38" s="384" t="s">
        <v>332</v>
      </c>
      <c r="M38" s="395" t="e">
        <f t="shared" ca="1" si="2"/>
        <v>#DIV/0!</v>
      </c>
      <c r="N38" s="395" t="e">
        <f t="shared" ca="1" si="3"/>
        <v>#DIV/0!</v>
      </c>
      <c r="O38" s="211"/>
      <c r="P38" s="266" t="s">
        <v>342</v>
      </c>
      <c r="Q38" s="266" t="s">
        <v>343</v>
      </c>
      <c r="R38" s="136"/>
      <c r="V38" s="403">
        <f t="shared" ca="1" si="4"/>
        <v>0</v>
      </c>
      <c r="W38" s="403">
        <f t="shared" ca="1" si="5"/>
        <v>0</v>
      </c>
    </row>
    <row r="39" spans="2:23">
      <c r="B39" s="136"/>
      <c r="C39" s="264" t="str">
        <f>"Treatment costs "&amp;comparador8</f>
        <v xml:space="preserve">Treatment costs </v>
      </c>
      <c r="D39" s="393" t="s">
        <v>40</v>
      </c>
      <c r="E39" s="395">
        <f t="shared" ca="1" si="0"/>
        <v>0</v>
      </c>
      <c r="F39" s="399">
        <f ca="1">Costs!E43</f>
        <v>0</v>
      </c>
      <c r="G39" s="397" t="e">
        <f t="shared" ca="1" si="1"/>
        <v>#DIV/0!</v>
      </c>
      <c r="H39" s="209">
        <v>0.2</v>
      </c>
      <c r="I39" s="265">
        <f t="shared" ca="1" si="6"/>
        <v>0</v>
      </c>
      <c r="J39" s="392"/>
      <c r="K39" s="392"/>
      <c r="L39" s="384" t="s">
        <v>332</v>
      </c>
      <c r="M39" s="395" t="e">
        <f t="shared" ca="1" si="2"/>
        <v>#DIV/0!</v>
      </c>
      <c r="N39" s="395" t="e">
        <f t="shared" ca="1" si="3"/>
        <v>#DIV/0!</v>
      </c>
      <c r="O39" s="211"/>
      <c r="P39" s="266" t="s">
        <v>342</v>
      </c>
      <c r="Q39" s="266" t="s">
        <v>343</v>
      </c>
      <c r="R39" s="136"/>
      <c r="V39" s="403">
        <f t="shared" ca="1" si="4"/>
        <v>0</v>
      </c>
      <c r="W39" s="403">
        <f t="shared" ca="1" si="5"/>
        <v>0</v>
      </c>
    </row>
    <row r="40" spans="2:23">
      <c r="B40" s="136"/>
      <c r="C40" s="264" t="str">
        <f>"Treatment costs "&amp;comparador9</f>
        <v xml:space="preserve">Treatment costs </v>
      </c>
      <c r="D40" s="393" t="s">
        <v>41</v>
      </c>
      <c r="E40" s="395">
        <f t="shared" ca="1" si="0"/>
        <v>0</v>
      </c>
      <c r="F40" s="399">
        <f ca="1">Costs!E44</f>
        <v>0</v>
      </c>
      <c r="G40" s="397" t="e">
        <f t="shared" ca="1" si="1"/>
        <v>#DIV/0!</v>
      </c>
      <c r="H40" s="209">
        <v>0.2</v>
      </c>
      <c r="I40" s="265">
        <f t="shared" ca="1" si="6"/>
        <v>0</v>
      </c>
      <c r="J40" s="392"/>
      <c r="K40" s="392"/>
      <c r="L40" s="384" t="s">
        <v>332</v>
      </c>
      <c r="M40" s="395" t="e">
        <f t="shared" ca="1" si="2"/>
        <v>#DIV/0!</v>
      </c>
      <c r="N40" s="395" t="e">
        <f t="shared" ca="1" si="3"/>
        <v>#DIV/0!</v>
      </c>
      <c r="O40" s="211"/>
      <c r="P40" s="266" t="s">
        <v>342</v>
      </c>
      <c r="Q40" s="266" t="s">
        <v>343</v>
      </c>
      <c r="R40" s="136"/>
      <c r="V40" s="403">
        <f t="shared" ca="1" si="4"/>
        <v>0</v>
      </c>
      <c r="W40" s="403">
        <f t="shared" ca="1" si="5"/>
        <v>0</v>
      </c>
    </row>
    <row r="41" spans="2:23">
      <c r="B41" s="136"/>
      <c r="C41" s="264" t="str">
        <f>"Treatment costs "&amp;comparador10</f>
        <v xml:space="preserve">Treatment costs </v>
      </c>
      <c r="D41" s="393" t="s">
        <v>42</v>
      </c>
      <c r="E41" s="395">
        <f t="shared" ca="1" si="0"/>
        <v>0</v>
      </c>
      <c r="F41" s="399">
        <f ca="1">Costs!E45</f>
        <v>0</v>
      </c>
      <c r="G41" s="397" t="e">
        <f t="shared" ca="1" si="1"/>
        <v>#DIV/0!</v>
      </c>
      <c r="H41" s="209">
        <v>0.2</v>
      </c>
      <c r="I41" s="265">
        <f t="shared" ca="1" si="6"/>
        <v>0</v>
      </c>
      <c r="J41" s="392"/>
      <c r="K41" s="392"/>
      <c r="L41" s="384" t="s">
        <v>332</v>
      </c>
      <c r="M41" s="395" t="e">
        <f t="shared" ca="1" si="2"/>
        <v>#DIV/0!</v>
      </c>
      <c r="N41" s="395" t="e">
        <f t="shared" ca="1" si="3"/>
        <v>#DIV/0!</v>
      </c>
      <c r="O41" s="211"/>
      <c r="P41" s="266" t="s">
        <v>342</v>
      </c>
      <c r="Q41" s="266" t="s">
        <v>343</v>
      </c>
      <c r="R41" s="136"/>
      <c r="V41" s="403">
        <f t="shared" ca="1" si="4"/>
        <v>0</v>
      </c>
      <c r="W41" s="403">
        <f t="shared" ca="1" si="5"/>
        <v>0</v>
      </c>
    </row>
    <row r="42" spans="2:23">
      <c r="B42" s="136"/>
      <c r="C42" s="264" t="str">
        <f>"Additional costs "&amp;intervencao1</f>
        <v>Additional costs PET-CT</v>
      </c>
      <c r="D42" s="393" t="s">
        <v>43</v>
      </c>
      <c r="E42" s="395">
        <f t="shared" ca="1" si="0"/>
        <v>0</v>
      </c>
      <c r="F42" s="399">
        <f ca="1">Costs!F32</f>
        <v>0</v>
      </c>
      <c r="G42" s="397" t="e">
        <f t="shared" ca="1" si="1"/>
        <v>#DIV/0!</v>
      </c>
      <c r="H42" s="209">
        <v>0.2</v>
      </c>
      <c r="I42" s="265">
        <f t="shared" ca="1" si="6"/>
        <v>0</v>
      </c>
      <c r="J42" s="392"/>
      <c r="K42" s="392"/>
      <c r="L42" s="384" t="s">
        <v>332</v>
      </c>
      <c r="M42" s="395" t="e">
        <f t="shared" ca="1" si="2"/>
        <v>#DIV/0!</v>
      </c>
      <c r="N42" s="395" t="e">
        <f t="shared" ca="1" si="3"/>
        <v>#DIV/0!</v>
      </c>
      <c r="O42" s="211"/>
      <c r="P42" s="266" t="s">
        <v>342</v>
      </c>
      <c r="Q42" s="266" t="s">
        <v>343</v>
      </c>
      <c r="R42" s="136"/>
      <c r="V42" s="403">
        <f t="shared" ca="1" si="4"/>
        <v>0</v>
      </c>
      <c r="W42" s="403">
        <f t="shared" ca="1" si="5"/>
        <v>0</v>
      </c>
    </row>
    <row r="43" spans="2:23">
      <c r="B43" s="136"/>
      <c r="C43" s="264" t="str">
        <f>"Additional costs "&amp;intervencao2</f>
        <v xml:space="preserve">Additional costs </v>
      </c>
      <c r="D43" s="393" t="s">
        <v>44</v>
      </c>
      <c r="E43" s="395">
        <f t="shared" ca="1" si="0"/>
        <v>0</v>
      </c>
      <c r="F43" s="399">
        <f ca="1">Costs!F33</f>
        <v>0</v>
      </c>
      <c r="G43" s="397" t="e">
        <f t="shared" ca="1" si="1"/>
        <v>#DIV/0!</v>
      </c>
      <c r="H43" s="209">
        <v>0.2</v>
      </c>
      <c r="I43" s="265">
        <f t="shared" ca="1" si="6"/>
        <v>0</v>
      </c>
      <c r="J43" s="392"/>
      <c r="K43" s="392"/>
      <c r="L43" s="384" t="s">
        <v>332</v>
      </c>
      <c r="M43" s="395" t="e">
        <f t="shared" ca="1" si="2"/>
        <v>#DIV/0!</v>
      </c>
      <c r="N43" s="395" t="e">
        <f t="shared" ca="1" si="3"/>
        <v>#DIV/0!</v>
      </c>
      <c r="O43" s="211"/>
      <c r="P43" s="266" t="s">
        <v>342</v>
      </c>
      <c r="Q43" s="266" t="s">
        <v>343</v>
      </c>
      <c r="R43" s="136"/>
      <c r="V43" s="403">
        <f t="shared" ca="1" si="4"/>
        <v>0</v>
      </c>
      <c r="W43" s="403">
        <f t="shared" ca="1" si="5"/>
        <v>0</v>
      </c>
    </row>
    <row r="44" spans="2:23">
      <c r="B44" s="136"/>
      <c r="C44" s="264" t="str">
        <f>"Additional costs "&amp;intervencao3</f>
        <v xml:space="preserve">Additional costs </v>
      </c>
      <c r="D44" s="393" t="s">
        <v>45</v>
      </c>
      <c r="E44" s="395">
        <f t="shared" ca="1" si="0"/>
        <v>0</v>
      </c>
      <c r="F44" s="399">
        <f ca="1">Costs!F34</f>
        <v>0</v>
      </c>
      <c r="G44" s="397" t="e">
        <f t="shared" ca="1" si="1"/>
        <v>#DIV/0!</v>
      </c>
      <c r="H44" s="209">
        <v>0.2</v>
      </c>
      <c r="I44" s="265">
        <f t="shared" ca="1" si="6"/>
        <v>0</v>
      </c>
      <c r="J44" s="392"/>
      <c r="K44" s="392"/>
      <c r="L44" s="384" t="s">
        <v>332</v>
      </c>
      <c r="M44" s="395" t="e">
        <f t="shared" ca="1" si="2"/>
        <v>#DIV/0!</v>
      </c>
      <c r="N44" s="395" t="e">
        <f t="shared" ca="1" si="3"/>
        <v>#DIV/0!</v>
      </c>
      <c r="O44" s="211"/>
      <c r="P44" s="266" t="s">
        <v>342</v>
      </c>
      <c r="Q44" s="266" t="s">
        <v>343</v>
      </c>
      <c r="R44" s="136"/>
      <c r="V44" s="403">
        <f t="shared" ca="1" si="4"/>
        <v>0</v>
      </c>
      <c r="W44" s="403">
        <f t="shared" ca="1" si="5"/>
        <v>0</v>
      </c>
    </row>
    <row r="45" spans="2:23">
      <c r="B45" s="136"/>
      <c r="C45" s="264" t="str">
        <f>"Additional costs "&amp;intervencao4</f>
        <v xml:space="preserve">Additional costs </v>
      </c>
      <c r="D45" s="393" t="s">
        <v>46</v>
      </c>
      <c r="E45" s="395">
        <f t="shared" ca="1" si="0"/>
        <v>0</v>
      </c>
      <c r="F45" s="399">
        <f ca="1">Costs!F35</f>
        <v>0</v>
      </c>
      <c r="G45" s="397" t="e">
        <f t="shared" ca="1" si="1"/>
        <v>#DIV/0!</v>
      </c>
      <c r="H45" s="209">
        <v>0.2</v>
      </c>
      <c r="I45" s="265">
        <f t="shared" ca="1" si="6"/>
        <v>0</v>
      </c>
      <c r="J45" s="392"/>
      <c r="K45" s="392"/>
      <c r="L45" s="384" t="s">
        <v>332</v>
      </c>
      <c r="M45" s="395" t="e">
        <f t="shared" ca="1" si="2"/>
        <v>#DIV/0!</v>
      </c>
      <c r="N45" s="395" t="e">
        <f t="shared" ca="1" si="3"/>
        <v>#DIV/0!</v>
      </c>
      <c r="O45" s="211"/>
      <c r="P45" s="266" t="s">
        <v>342</v>
      </c>
      <c r="Q45" s="266" t="s">
        <v>343</v>
      </c>
      <c r="R45" s="136"/>
      <c r="V45" s="403">
        <f t="shared" ca="1" si="4"/>
        <v>0</v>
      </c>
      <c r="W45" s="403">
        <f t="shared" ca="1" si="5"/>
        <v>0</v>
      </c>
    </row>
    <row r="46" spans="2:23">
      <c r="B46" s="136"/>
      <c r="C46" s="264" t="str">
        <f>"Additional costs "&amp;comparador1</f>
        <v>Additional costs CT scan + scintigraphy</v>
      </c>
      <c r="D46" s="393" t="s">
        <v>47</v>
      </c>
      <c r="E46" s="395">
        <f t="shared" ca="1" si="0"/>
        <v>0</v>
      </c>
      <c r="F46" s="399">
        <f ca="1">Costs!F36</f>
        <v>0</v>
      </c>
      <c r="G46" s="397" t="e">
        <f t="shared" ca="1" si="1"/>
        <v>#DIV/0!</v>
      </c>
      <c r="H46" s="209">
        <v>0.2</v>
      </c>
      <c r="I46" s="265">
        <f t="shared" ca="1" si="6"/>
        <v>0</v>
      </c>
      <c r="J46" s="392"/>
      <c r="K46" s="392"/>
      <c r="L46" s="384" t="s">
        <v>332</v>
      </c>
      <c r="M46" s="395" t="e">
        <f t="shared" ca="1" si="2"/>
        <v>#DIV/0!</v>
      </c>
      <c r="N46" s="395" t="e">
        <f t="shared" ca="1" si="3"/>
        <v>#DIV/0!</v>
      </c>
      <c r="O46" s="211"/>
      <c r="P46" s="266" t="s">
        <v>342</v>
      </c>
      <c r="Q46" s="266" t="s">
        <v>343</v>
      </c>
      <c r="R46" s="136"/>
      <c r="V46" s="403">
        <f t="shared" ca="1" si="4"/>
        <v>0</v>
      </c>
      <c r="W46" s="403">
        <f t="shared" ca="1" si="5"/>
        <v>0</v>
      </c>
    </row>
    <row r="47" spans="2:23">
      <c r="B47" s="136"/>
      <c r="C47" s="264" t="str">
        <f>"Additional costs "&amp;comparador2</f>
        <v xml:space="preserve">Additional costs </v>
      </c>
      <c r="D47" s="393" t="s">
        <v>48</v>
      </c>
      <c r="E47" s="395">
        <f t="shared" ca="1" si="0"/>
        <v>0</v>
      </c>
      <c r="F47" s="399">
        <f ca="1">Costs!F37</f>
        <v>0</v>
      </c>
      <c r="G47" s="397" t="e">
        <f t="shared" ca="1" si="1"/>
        <v>#DIV/0!</v>
      </c>
      <c r="H47" s="209">
        <v>0.2</v>
      </c>
      <c r="I47" s="265">
        <f t="shared" ca="1" si="6"/>
        <v>0</v>
      </c>
      <c r="J47" s="392"/>
      <c r="K47" s="392"/>
      <c r="L47" s="384" t="s">
        <v>332</v>
      </c>
      <c r="M47" s="395" t="e">
        <f t="shared" ca="1" si="2"/>
        <v>#DIV/0!</v>
      </c>
      <c r="N47" s="395" t="e">
        <f t="shared" ca="1" si="3"/>
        <v>#DIV/0!</v>
      </c>
      <c r="O47" s="211"/>
      <c r="P47" s="266" t="s">
        <v>342</v>
      </c>
      <c r="Q47" s="266" t="s">
        <v>343</v>
      </c>
      <c r="R47" s="136"/>
      <c r="V47" s="403">
        <f t="shared" ca="1" si="4"/>
        <v>0</v>
      </c>
      <c r="W47" s="403">
        <f t="shared" ca="1" si="5"/>
        <v>0</v>
      </c>
    </row>
    <row r="48" spans="2:23">
      <c r="B48" s="136"/>
      <c r="C48" s="264" t="str">
        <f>"Additional costs "&amp;comparador3</f>
        <v xml:space="preserve">Additional costs </v>
      </c>
      <c r="D48" s="393" t="s">
        <v>49</v>
      </c>
      <c r="E48" s="395">
        <f t="shared" ca="1" si="0"/>
        <v>0</v>
      </c>
      <c r="F48" s="399">
        <f ca="1">Costs!F38</f>
        <v>0</v>
      </c>
      <c r="G48" s="397" t="e">
        <f t="shared" ca="1" si="1"/>
        <v>#DIV/0!</v>
      </c>
      <c r="H48" s="209">
        <v>0.2</v>
      </c>
      <c r="I48" s="265">
        <f t="shared" ca="1" si="6"/>
        <v>0</v>
      </c>
      <c r="J48" s="392"/>
      <c r="K48" s="392"/>
      <c r="L48" s="384" t="s">
        <v>332</v>
      </c>
      <c r="M48" s="395" t="e">
        <f t="shared" ca="1" si="2"/>
        <v>#DIV/0!</v>
      </c>
      <c r="N48" s="395" t="e">
        <f t="shared" ca="1" si="3"/>
        <v>#DIV/0!</v>
      </c>
      <c r="O48" s="211"/>
      <c r="P48" s="266" t="s">
        <v>342</v>
      </c>
      <c r="Q48" s="266" t="s">
        <v>343</v>
      </c>
      <c r="R48" s="136"/>
      <c r="V48" s="403">
        <f t="shared" ca="1" si="4"/>
        <v>0</v>
      </c>
      <c r="W48" s="403">
        <f t="shared" ca="1" si="5"/>
        <v>0</v>
      </c>
    </row>
    <row r="49" spans="3:23">
      <c r="C49" s="264" t="str">
        <f>"Additional costs "&amp;comparador4</f>
        <v xml:space="preserve">Additional costs </v>
      </c>
      <c r="D49" s="393" t="s">
        <v>50</v>
      </c>
      <c r="E49" s="395">
        <f t="shared" ca="1" si="0"/>
        <v>0</v>
      </c>
      <c r="F49" s="399">
        <f ca="1">Costs!F39</f>
        <v>0</v>
      </c>
      <c r="G49" s="397" t="e">
        <f t="shared" ca="1" si="1"/>
        <v>#DIV/0!</v>
      </c>
      <c r="H49" s="209">
        <v>0.2</v>
      </c>
      <c r="I49" s="265">
        <f t="shared" ca="1" si="6"/>
        <v>0</v>
      </c>
      <c r="J49" s="392"/>
      <c r="K49" s="392"/>
      <c r="L49" s="384" t="s">
        <v>332</v>
      </c>
      <c r="M49" s="395" t="e">
        <f t="shared" ca="1" si="2"/>
        <v>#DIV/0!</v>
      </c>
      <c r="N49" s="395" t="e">
        <f t="shared" ca="1" si="3"/>
        <v>#DIV/0!</v>
      </c>
      <c r="O49" s="211"/>
      <c r="P49" s="266" t="s">
        <v>342</v>
      </c>
      <c r="Q49" s="266" t="s">
        <v>343</v>
      </c>
      <c r="V49" s="403">
        <f t="shared" ca="1" si="4"/>
        <v>0</v>
      </c>
      <c r="W49" s="403">
        <f t="shared" ca="1" si="5"/>
        <v>0</v>
      </c>
    </row>
    <row r="50" spans="3:23">
      <c r="C50" s="264" t="str">
        <f>"Additional costs "&amp;comparador5</f>
        <v xml:space="preserve">Additional costs </v>
      </c>
      <c r="D50" s="393" t="s">
        <v>51</v>
      </c>
      <c r="E50" s="395">
        <f t="shared" ca="1" si="0"/>
        <v>0</v>
      </c>
      <c r="F50" s="399">
        <f ca="1">Costs!F40</f>
        <v>0</v>
      </c>
      <c r="G50" s="397" t="e">
        <f t="shared" ca="1" si="1"/>
        <v>#DIV/0!</v>
      </c>
      <c r="H50" s="209">
        <v>0.2</v>
      </c>
      <c r="I50" s="265">
        <f t="shared" ca="1" si="6"/>
        <v>0</v>
      </c>
      <c r="J50" s="392"/>
      <c r="K50" s="392"/>
      <c r="L50" s="384" t="s">
        <v>332</v>
      </c>
      <c r="M50" s="395" t="e">
        <f t="shared" ca="1" si="2"/>
        <v>#DIV/0!</v>
      </c>
      <c r="N50" s="395" t="e">
        <f t="shared" ca="1" si="3"/>
        <v>#DIV/0!</v>
      </c>
      <c r="O50" s="211"/>
      <c r="P50" s="266" t="s">
        <v>342</v>
      </c>
      <c r="Q50" s="266" t="s">
        <v>343</v>
      </c>
      <c r="V50" s="403">
        <f t="shared" ca="1" si="4"/>
        <v>0</v>
      </c>
      <c r="W50" s="403">
        <f t="shared" ca="1" si="5"/>
        <v>0</v>
      </c>
    </row>
    <row r="51" spans="3:23">
      <c r="C51" s="264" t="str">
        <f>"Additional costs "&amp;comparador6</f>
        <v xml:space="preserve">Additional costs </v>
      </c>
      <c r="D51" s="393" t="s">
        <v>52</v>
      </c>
      <c r="E51" s="395">
        <f t="shared" ca="1" si="0"/>
        <v>0</v>
      </c>
      <c r="F51" s="399">
        <f ca="1">Costs!F41</f>
        <v>0</v>
      </c>
      <c r="G51" s="397" t="e">
        <f t="shared" ca="1" si="1"/>
        <v>#DIV/0!</v>
      </c>
      <c r="H51" s="209">
        <v>0.2</v>
      </c>
      <c r="I51" s="265">
        <f t="shared" ca="1" si="6"/>
        <v>0</v>
      </c>
      <c r="J51" s="392"/>
      <c r="K51" s="392"/>
      <c r="L51" s="384" t="s">
        <v>332</v>
      </c>
      <c r="M51" s="395" t="e">
        <f t="shared" ca="1" si="2"/>
        <v>#DIV/0!</v>
      </c>
      <c r="N51" s="395" t="e">
        <f t="shared" ca="1" si="3"/>
        <v>#DIV/0!</v>
      </c>
      <c r="O51" s="211"/>
      <c r="P51" s="266" t="s">
        <v>342</v>
      </c>
      <c r="Q51" s="266" t="s">
        <v>343</v>
      </c>
      <c r="V51" s="403">
        <f t="shared" ca="1" si="4"/>
        <v>0</v>
      </c>
      <c r="W51" s="403">
        <f t="shared" ca="1" si="5"/>
        <v>0</v>
      </c>
    </row>
    <row r="52" spans="3:23">
      <c r="C52" s="264" t="str">
        <f>"Additional costs "&amp;comparador7</f>
        <v xml:space="preserve">Additional costs </v>
      </c>
      <c r="D52" s="393" t="s">
        <v>53</v>
      </c>
      <c r="E52" s="395">
        <f t="shared" ca="1" si="0"/>
        <v>0</v>
      </c>
      <c r="F52" s="399">
        <f ca="1">Costs!F42</f>
        <v>0</v>
      </c>
      <c r="G52" s="397" t="e">
        <f t="shared" ca="1" si="1"/>
        <v>#DIV/0!</v>
      </c>
      <c r="H52" s="209">
        <v>0.2</v>
      </c>
      <c r="I52" s="265">
        <f t="shared" ca="1" si="6"/>
        <v>0</v>
      </c>
      <c r="J52" s="392"/>
      <c r="K52" s="392"/>
      <c r="L52" s="384" t="s">
        <v>332</v>
      </c>
      <c r="M52" s="395" t="e">
        <f t="shared" ca="1" si="2"/>
        <v>#DIV/0!</v>
      </c>
      <c r="N52" s="395" t="e">
        <f t="shared" ca="1" si="3"/>
        <v>#DIV/0!</v>
      </c>
      <c r="O52" s="211"/>
      <c r="P52" s="266" t="s">
        <v>342</v>
      </c>
      <c r="Q52" s="266" t="s">
        <v>343</v>
      </c>
      <c r="V52" s="403">
        <f t="shared" ca="1" si="4"/>
        <v>0</v>
      </c>
      <c r="W52" s="403">
        <f t="shared" ca="1" si="5"/>
        <v>0</v>
      </c>
    </row>
    <row r="53" spans="3:23">
      <c r="C53" s="264" t="str">
        <f>"Additional costs "&amp;comparador8</f>
        <v xml:space="preserve">Additional costs </v>
      </c>
      <c r="D53" s="393" t="s">
        <v>54</v>
      </c>
      <c r="E53" s="395">
        <f t="shared" ca="1" si="0"/>
        <v>0</v>
      </c>
      <c r="F53" s="399">
        <f ca="1">Costs!F43</f>
        <v>0</v>
      </c>
      <c r="G53" s="397" t="e">
        <f t="shared" ca="1" si="1"/>
        <v>#DIV/0!</v>
      </c>
      <c r="H53" s="209">
        <v>0.2</v>
      </c>
      <c r="I53" s="265">
        <f t="shared" ca="1" si="6"/>
        <v>0</v>
      </c>
      <c r="J53" s="392"/>
      <c r="K53" s="392"/>
      <c r="L53" s="384" t="s">
        <v>332</v>
      </c>
      <c r="M53" s="395" t="e">
        <f t="shared" ca="1" si="2"/>
        <v>#DIV/0!</v>
      </c>
      <c r="N53" s="395" t="e">
        <f t="shared" ca="1" si="3"/>
        <v>#DIV/0!</v>
      </c>
      <c r="O53" s="211"/>
      <c r="P53" s="266" t="s">
        <v>342</v>
      </c>
      <c r="Q53" s="266" t="s">
        <v>343</v>
      </c>
      <c r="V53" s="403">
        <f t="shared" ca="1" si="4"/>
        <v>0</v>
      </c>
      <c r="W53" s="403">
        <f t="shared" ca="1" si="5"/>
        <v>0</v>
      </c>
    </row>
    <row r="54" spans="3:23">
      <c r="C54" s="264" t="str">
        <f>"Additional costs "&amp;comparador9</f>
        <v xml:space="preserve">Additional costs </v>
      </c>
      <c r="D54" s="393" t="s">
        <v>55</v>
      </c>
      <c r="E54" s="395">
        <f t="shared" ca="1" si="0"/>
        <v>0</v>
      </c>
      <c r="F54" s="399">
        <f ca="1">Costs!F44</f>
        <v>0</v>
      </c>
      <c r="G54" s="397" t="e">
        <f t="shared" ca="1" si="1"/>
        <v>#DIV/0!</v>
      </c>
      <c r="H54" s="209">
        <v>0.2</v>
      </c>
      <c r="I54" s="265">
        <f t="shared" ca="1" si="6"/>
        <v>0</v>
      </c>
      <c r="J54" s="392"/>
      <c r="K54" s="392"/>
      <c r="L54" s="384" t="s">
        <v>332</v>
      </c>
      <c r="M54" s="395" t="e">
        <f t="shared" ca="1" si="2"/>
        <v>#DIV/0!</v>
      </c>
      <c r="N54" s="395" t="e">
        <f t="shared" ca="1" si="3"/>
        <v>#DIV/0!</v>
      </c>
      <c r="O54" s="211"/>
      <c r="P54" s="266" t="s">
        <v>342</v>
      </c>
      <c r="Q54" s="266" t="s">
        <v>343</v>
      </c>
      <c r="V54" s="403">
        <f t="shared" ca="1" si="4"/>
        <v>0</v>
      </c>
      <c r="W54" s="403">
        <f t="shared" ca="1" si="5"/>
        <v>0</v>
      </c>
    </row>
    <row r="55" spans="3:23">
      <c r="C55" s="264" t="str">
        <f>"Additional costs "&amp;comparador10</f>
        <v xml:space="preserve">Additional costs </v>
      </c>
      <c r="D55" s="393" t="s">
        <v>56</v>
      </c>
      <c r="E55" s="395">
        <f t="shared" ca="1" si="0"/>
        <v>0</v>
      </c>
      <c r="F55" s="399">
        <f ca="1">Costs!F45</f>
        <v>0</v>
      </c>
      <c r="G55" s="397" t="e">
        <f t="shared" ca="1" si="1"/>
        <v>#DIV/0!</v>
      </c>
      <c r="H55" s="209">
        <v>0.2</v>
      </c>
      <c r="I55" s="265">
        <f t="shared" ca="1" si="6"/>
        <v>0</v>
      </c>
      <c r="J55" s="392"/>
      <c r="K55" s="392"/>
      <c r="L55" s="384" t="s">
        <v>332</v>
      </c>
      <c r="M55" s="395" t="e">
        <f t="shared" ca="1" si="2"/>
        <v>#DIV/0!</v>
      </c>
      <c r="N55" s="395" t="e">
        <f t="shared" ca="1" si="3"/>
        <v>#DIV/0!</v>
      </c>
      <c r="O55" s="211"/>
      <c r="P55" s="266" t="s">
        <v>342</v>
      </c>
      <c r="Q55" s="266" t="s">
        <v>343</v>
      </c>
      <c r="V55" s="403">
        <f t="shared" ca="1" si="4"/>
        <v>0</v>
      </c>
      <c r="W55" s="403">
        <f t="shared" ca="1" si="5"/>
        <v>0</v>
      </c>
    </row>
    <row r="56" spans="3:23">
      <c r="C56" s="268" t="str">
        <f>Costs!G31</f>
        <v>Initial general costs</v>
      </c>
      <c r="D56" s="400" t="s">
        <v>57</v>
      </c>
      <c r="E56" s="395">
        <f t="shared" si="0"/>
        <v>0</v>
      </c>
      <c r="F56" s="399">
        <f>Costs!G32</f>
        <v>0</v>
      </c>
      <c r="G56" s="397" t="e">
        <f t="shared" ca="1" si="1"/>
        <v>#DIV/0!</v>
      </c>
      <c r="H56" s="209">
        <v>0.2</v>
      </c>
      <c r="I56" s="265">
        <f t="shared" si="6"/>
        <v>0</v>
      </c>
      <c r="J56" s="392"/>
      <c r="K56" s="392"/>
      <c r="L56" s="384" t="s">
        <v>332</v>
      </c>
      <c r="M56" s="395" t="e">
        <f t="shared" si="2"/>
        <v>#DIV/0!</v>
      </c>
      <c r="N56" s="395" t="e">
        <f t="shared" si="3"/>
        <v>#DIV/0!</v>
      </c>
      <c r="O56" s="211"/>
      <c r="P56" s="266" t="s">
        <v>342</v>
      </c>
      <c r="Q56" s="266" t="s">
        <v>343</v>
      </c>
      <c r="V56" s="403">
        <f t="shared" si="4"/>
        <v>0</v>
      </c>
      <c r="W56" s="403">
        <f t="shared" si="5"/>
        <v>0</v>
      </c>
    </row>
    <row r="57" spans="3:23">
      <c r="C57" s="268" t="str">
        <f>Costs!H31</f>
        <v>Monthly costs during treatment</v>
      </c>
      <c r="D57" s="400" t="s">
        <v>58</v>
      </c>
      <c r="E57" s="395">
        <f t="shared" si="0"/>
        <v>0</v>
      </c>
      <c r="F57" s="399">
        <f>Costs!H32</f>
        <v>0</v>
      </c>
      <c r="G57" s="397" t="e">
        <f t="shared" ca="1" si="1"/>
        <v>#DIV/0!</v>
      </c>
      <c r="H57" s="209">
        <v>0.2</v>
      </c>
      <c r="I57" s="265">
        <f t="shared" si="6"/>
        <v>0</v>
      </c>
      <c r="J57" s="392"/>
      <c r="K57" s="392"/>
      <c r="L57" s="384" t="s">
        <v>332</v>
      </c>
      <c r="M57" s="395" t="e">
        <f t="shared" si="2"/>
        <v>#DIV/0!</v>
      </c>
      <c r="N57" s="395" t="e">
        <f t="shared" si="3"/>
        <v>#DIV/0!</v>
      </c>
      <c r="O57" s="211"/>
      <c r="P57" s="266" t="s">
        <v>342</v>
      </c>
      <c r="Q57" s="266" t="s">
        <v>343</v>
      </c>
      <c r="V57" s="403">
        <f t="shared" si="4"/>
        <v>0</v>
      </c>
      <c r="W57" s="403">
        <f t="shared" si="5"/>
        <v>0</v>
      </c>
    </row>
    <row r="58" spans="3:23">
      <c r="C58" s="268" t="str">
        <f>Costs!I31</f>
        <v>Monthly costs after treatment</v>
      </c>
      <c r="D58" s="400" t="s">
        <v>59</v>
      </c>
      <c r="E58" s="395">
        <f t="shared" si="0"/>
        <v>0</v>
      </c>
      <c r="F58" s="399">
        <f>Costs!I32</f>
        <v>0</v>
      </c>
      <c r="G58" s="397" t="e">
        <f t="shared" ca="1" si="1"/>
        <v>#DIV/0!</v>
      </c>
      <c r="H58" s="209">
        <v>0.2</v>
      </c>
      <c r="I58" s="265">
        <f t="shared" si="6"/>
        <v>0</v>
      </c>
      <c r="J58" s="392"/>
      <c r="K58" s="392"/>
      <c r="L58" s="384" t="s">
        <v>332</v>
      </c>
      <c r="M58" s="395" t="e">
        <f t="shared" si="2"/>
        <v>#DIV/0!</v>
      </c>
      <c r="N58" s="395" t="e">
        <f t="shared" si="3"/>
        <v>#DIV/0!</v>
      </c>
      <c r="O58" s="211"/>
      <c r="P58" s="266" t="s">
        <v>342</v>
      </c>
      <c r="Q58" s="266" t="s">
        <v>343</v>
      </c>
      <c r="V58" s="403">
        <f t="shared" si="4"/>
        <v>0</v>
      </c>
      <c r="W58" s="403">
        <f t="shared" si="5"/>
        <v>0</v>
      </c>
    </row>
    <row r="69" spans="2:24" s="3" customFormat="1" ht="13.95" customHeight="1">
      <c r="B69" s="7"/>
      <c r="C69" s="7"/>
      <c r="D69" s="7"/>
      <c r="E69" s="7"/>
      <c r="F69" s="7"/>
      <c r="G69" s="7"/>
      <c r="H69" s="7"/>
      <c r="I69" s="7"/>
      <c r="J69" s="7"/>
      <c r="K69" s="7"/>
      <c r="L69" s="142"/>
      <c r="M69" s="142"/>
      <c r="N69" s="9"/>
      <c r="O69" s="9"/>
      <c r="P69" s="9"/>
      <c r="Q69" s="9"/>
      <c r="R69" s="9"/>
      <c r="S69" s="9"/>
      <c r="T69" s="9"/>
      <c r="U69" s="4"/>
      <c r="V69" s="4"/>
      <c r="W69" s="4"/>
      <c r="X69" s="4"/>
    </row>
    <row r="70" spans="2:24" s="3" customFormat="1">
      <c r="B70" s="65"/>
      <c r="C70" s="65"/>
      <c r="D70" s="65"/>
      <c r="E70" s="65"/>
      <c r="F70" s="65"/>
      <c r="G70" s="65"/>
      <c r="H70" s="65"/>
      <c r="I70" s="65"/>
      <c r="J70" s="65"/>
      <c r="K70" s="65"/>
      <c r="L70" s="65"/>
      <c r="M70" s="65"/>
      <c r="U70" s="4"/>
      <c r="V70" s="4"/>
      <c r="W70" s="4"/>
      <c r="X70" s="4"/>
    </row>
    <row r="71" spans="2:24" s="3" customFormat="1">
      <c r="B71" s="406" t="s">
        <v>77</v>
      </c>
      <c r="C71" s="406"/>
      <c r="D71" s="406"/>
      <c r="E71" s="406"/>
      <c r="F71" s="406"/>
      <c r="G71" s="406"/>
      <c r="H71" s="406"/>
      <c r="I71" s="406"/>
      <c r="J71" s="406"/>
      <c r="K71" s="406"/>
      <c r="L71" s="406"/>
      <c r="M71" s="406"/>
      <c r="U71" s="4"/>
      <c r="V71" s="4"/>
      <c r="W71" s="4"/>
      <c r="X71" s="4"/>
    </row>
    <row r="72" spans="2:24" s="3" customFormat="1">
      <c r="B72" s="406"/>
      <c r="C72" s="406"/>
      <c r="D72" s="406"/>
      <c r="E72" s="406"/>
      <c r="F72" s="406"/>
      <c r="G72" s="406"/>
      <c r="H72" s="406"/>
      <c r="I72" s="406"/>
      <c r="J72" s="406"/>
      <c r="K72" s="406"/>
      <c r="L72" s="406"/>
      <c r="M72" s="406"/>
      <c r="U72" s="4"/>
      <c r="V72" s="4"/>
      <c r="W72" s="4"/>
      <c r="X72" s="4"/>
    </row>
    <row r="73" spans="2:24" s="1" customFormat="1" ht="85.95" customHeight="1">
      <c r="B73" s="405" t="e" vm="1">
        <v>#VALUE!</v>
      </c>
      <c r="C73" s="405"/>
      <c r="D73" s="405"/>
      <c r="E73" s="405"/>
      <c r="F73" s="405"/>
      <c r="G73" s="405"/>
      <c r="H73" s="405"/>
      <c r="I73" s="405"/>
      <c r="J73" s="405"/>
      <c r="K73" s="405"/>
      <c r="L73" s="405"/>
      <c r="M73" s="405"/>
      <c r="U73" s="404"/>
      <c r="V73" s="404"/>
      <c r="W73" s="404"/>
      <c r="X73" s="404"/>
    </row>
  </sheetData>
  <sheetProtection algorithmName="SHA-512" hashValue="jdVxyVB3Ut0YPmrXRgNA81fE98I8dh3t7yy8E88nADgVGu01ciW+nHVdVEGbHKHDW7qvwOvNTz7QK/cbDbaP+A==" saltValue="H9GZRaRPcGWPBjB9a5FR3A==" spinCount="100000" sheet="1"/>
  <mergeCells count="2">
    <mergeCell ref="B71:M72"/>
    <mergeCell ref="B73:M73"/>
  </mergeCells>
  <phoneticPr fontId="2" type="noConversion"/>
  <dataValidations count="3">
    <dataValidation type="list" allowBlank="1" showInputMessage="1" showErrorMessage="1" sqref="L5:L58" xr:uid="{F2BAF586-5945-4089-A5EF-5C6076AD30C7}">
      <formula1>"Beta, Gamma,Normal"</formula1>
    </dataValidation>
    <dataValidation type="list" allowBlank="1" showInputMessage="1" showErrorMessage="1" sqref="P5:P58" xr:uid="{B9042FCA-4806-4863-8F3D-04F5390D0550}">
      <formula1>"point estimate,lower limit,upper limit"</formula1>
    </dataValidation>
    <dataValidation type="list" allowBlank="1" showInputMessage="1" showErrorMessage="1" sqref="Q5:Q58" xr:uid="{C93D2978-1137-40BC-9B78-1D518B444130}">
      <formula1>"yes,no"</formula1>
    </dataValidation>
  </dataValidation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S141"/>
  <sheetViews>
    <sheetView showGridLines="0" showRowColHeaders="0" zoomScaleNormal="100" workbookViewId="0">
      <selection activeCell="H69" sqref="H69:K69"/>
    </sheetView>
  </sheetViews>
  <sheetFormatPr defaultColWidth="8.77734375" defaultRowHeight="14.4"/>
  <cols>
    <col min="1" max="1" width="8.77734375" style="118"/>
    <col min="2" max="2" width="41.77734375" style="1" customWidth="1"/>
    <col min="3" max="5" width="19.44140625" style="1" customWidth="1"/>
    <col min="6" max="7" width="8.77734375" style="1"/>
    <col min="8" max="8" width="58.77734375" style="1" customWidth="1"/>
    <col min="9" max="11" width="19.44140625" style="1" customWidth="1"/>
    <col min="12" max="16384" width="8.77734375" style="1"/>
  </cols>
  <sheetData>
    <row r="1" spans="1:12" s="33" customFormat="1" ht="33.6">
      <c r="A1" s="116"/>
      <c r="B1" s="34" t="str">
        <f>Introduction!$B$1</f>
        <v>Budget impact analysis of PET-CT for treatment of small-cell lung cancer</v>
      </c>
      <c r="C1" s="34"/>
      <c r="D1" s="35"/>
      <c r="E1" s="36"/>
      <c r="F1" s="36"/>
      <c r="G1" s="36"/>
      <c r="H1" s="36"/>
      <c r="I1" s="36"/>
      <c r="J1" s="36"/>
      <c r="K1" s="36"/>
      <c r="L1" s="36"/>
    </row>
    <row r="2" spans="1:12" s="33" customFormat="1" ht="18">
      <c r="A2" s="116"/>
      <c r="B2" s="37"/>
      <c r="C2" s="37"/>
      <c r="D2" s="38"/>
      <c r="E2" s="39"/>
      <c r="F2" s="39"/>
      <c r="G2" s="39"/>
      <c r="H2" s="39"/>
      <c r="I2" s="39"/>
      <c r="J2" s="39"/>
      <c r="K2" s="39"/>
      <c r="L2" s="39"/>
    </row>
    <row r="3" spans="1:12" s="45" customFormat="1" ht="2.25" customHeight="1">
      <c r="A3" s="117"/>
      <c r="D3" s="46"/>
    </row>
    <row r="4" spans="1:12">
      <c r="B4" s="52" t="s">
        <v>331</v>
      </c>
      <c r="C4" s="52" t="s">
        <v>321</v>
      </c>
      <c r="D4" s="52" t="s">
        <v>322</v>
      </c>
      <c r="E4" s="8"/>
      <c r="F4" s="8"/>
      <c r="G4" s="118"/>
      <c r="H4" s="52" t="s">
        <v>330</v>
      </c>
      <c r="I4" s="52" t="s">
        <v>321</v>
      </c>
      <c r="J4" s="52" t="s">
        <v>322</v>
      </c>
      <c r="K4" s="8"/>
      <c r="L4" s="8"/>
    </row>
    <row r="5" spans="1:12">
      <c r="A5" s="118">
        <v>1</v>
      </c>
      <c r="B5" s="54">
        <f>Parameters!C5</f>
        <v>0</v>
      </c>
      <c r="C5" s="317">
        <v>30671940.117296368</v>
      </c>
      <c r="D5" s="317">
        <v>30671940.117296368</v>
      </c>
      <c r="E5" s="8"/>
      <c r="F5" s="8"/>
      <c r="G5" s="118">
        <v>1</v>
      </c>
      <c r="H5" s="54">
        <f>Parameters!C5</f>
        <v>0</v>
      </c>
      <c r="I5" s="317">
        <v>30671940.117296368</v>
      </c>
      <c r="J5" s="317">
        <v>30671940.117296368</v>
      </c>
      <c r="K5" s="8"/>
      <c r="L5" s="8"/>
    </row>
    <row r="6" spans="1:12">
      <c r="A6" s="118">
        <v>2</v>
      </c>
      <c r="B6" s="54" t="str">
        <f>Parameters!C6</f>
        <v>Individuals with lung cancer (0.015%)</v>
      </c>
      <c r="C6" s="317">
        <v>24537552.093837097</v>
      </c>
      <c r="D6" s="317">
        <v>36806328.140755638</v>
      </c>
      <c r="E6" s="8"/>
      <c r="F6" s="8"/>
      <c r="G6" s="118">
        <v>2</v>
      </c>
      <c r="H6" s="54" t="str">
        <f>Parameters!C6</f>
        <v>Individuals with lung cancer (0.015%)</v>
      </c>
      <c r="I6" s="317">
        <v>24537552.093837097</v>
      </c>
      <c r="J6" s="317">
        <v>36806328.140755638</v>
      </c>
      <c r="K6" s="8"/>
      <c r="L6" s="8"/>
    </row>
    <row r="7" spans="1:12">
      <c r="A7" s="118">
        <v>3</v>
      </c>
      <c r="B7" s="54" t="str">
        <f>Parameters!C7</f>
        <v>Individuals with SCLC (15%)</v>
      </c>
      <c r="C7" s="317">
        <v>24537552.093837097</v>
      </c>
      <c r="D7" s="317">
        <v>36806328.140755631</v>
      </c>
      <c r="E7" s="8"/>
      <c r="F7" s="8"/>
      <c r="G7" s="118">
        <v>3</v>
      </c>
      <c r="H7" s="54" t="str">
        <f>Parameters!C7</f>
        <v>Individuals with SCLC (15%)</v>
      </c>
      <c r="I7" s="317">
        <v>24537552.093837097</v>
      </c>
      <c r="J7" s="317">
        <v>36806328.140755631</v>
      </c>
      <c r="K7" s="8"/>
      <c r="L7" s="8"/>
    </row>
    <row r="8" spans="1:12">
      <c r="A8" s="118">
        <v>4</v>
      </c>
      <c r="B8" s="54">
        <f>Parameters!C8</f>
        <v>0</v>
      </c>
      <c r="C8" s="317">
        <v>30671940.117296368</v>
      </c>
      <c r="D8" s="317">
        <v>30671940.117296368</v>
      </c>
      <c r="E8" s="8"/>
      <c r="F8" s="8"/>
      <c r="G8" s="118">
        <v>4</v>
      </c>
      <c r="H8" s="54">
        <f>Parameters!C8</f>
        <v>0</v>
      </c>
      <c r="I8" s="317">
        <v>30671940.117296368</v>
      </c>
      <c r="J8" s="317">
        <v>30671940.117296368</v>
      </c>
      <c r="K8" s="8"/>
      <c r="L8" s="8"/>
    </row>
    <row r="9" spans="1:12">
      <c r="A9" s="118">
        <v>5</v>
      </c>
      <c r="B9" s="54">
        <f>Parameters!C9</f>
        <v>0</v>
      </c>
      <c r="C9" s="317">
        <v>30671940.117296368</v>
      </c>
      <c r="D9" s="317">
        <v>30671940.117296368</v>
      </c>
      <c r="E9" s="8"/>
      <c r="F9" s="8"/>
      <c r="G9" s="118">
        <v>5</v>
      </c>
      <c r="H9" s="54">
        <f>Parameters!C9</f>
        <v>0</v>
      </c>
      <c r="I9" s="317">
        <v>30671940.117296368</v>
      </c>
      <c r="J9" s="317">
        <v>30671940.117296368</v>
      </c>
      <c r="K9" s="8"/>
      <c r="L9" s="8"/>
    </row>
    <row r="10" spans="1:12">
      <c r="A10" s="118">
        <v>6</v>
      </c>
      <c r="B10" s="54">
        <f>Parameters!C10</f>
        <v>0</v>
      </c>
      <c r="C10" s="317">
        <v>30671940.117296368</v>
      </c>
      <c r="D10" s="317">
        <v>30671940.117296368</v>
      </c>
      <c r="E10" s="8"/>
      <c r="F10" s="8"/>
      <c r="G10" s="118">
        <v>6</v>
      </c>
      <c r="H10" s="54">
        <f>Parameters!C10</f>
        <v>0</v>
      </c>
      <c r="I10" s="317">
        <v>30671940.117296368</v>
      </c>
      <c r="J10" s="317">
        <v>30671940.117296368</v>
      </c>
      <c r="K10" s="8"/>
      <c r="L10" s="8"/>
    </row>
    <row r="11" spans="1:12">
      <c r="A11" s="118">
        <v>7</v>
      </c>
      <c r="B11" s="54">
        <f>Parameters!C11</f>
        <v>0</v>
      </c>
      <c r="C11" s="317">
        <v>30671940.117296368</v>
      </c>
      <c r="D11" s="317">
        <v>30671940.117296368</v>
      </c>
      <c r="E11" s="8"/>
      <c r="F11" s="8"/>
      <c r="G11" s="118">
        <v>7</v>
      </c>
      <c r="H11" s="54">
        <f>Parameters!C11</f>
        <v>0</v>
      </c>
      <c r="I11" s="317">
        <v>30671940.117296368</v>
      </c>
      <c r="J11" s="317">
        <v>30671940.117296368</v>
      </c>
      <c r="K11" s="8"/>
      <c r="L11" s="8"/>
    </row>
    <row r="12" spans="1:12">
      <c r="A12" s="118">
        <v>8</v>
      </c>
      <c r="B12" s="54">
        <f>Parameters!C12</f>
        <v>0</v>
      </c>
      <c r="C12" s="317">
        <v>30671940.117296368</v>
      </c>
      <c r="D12" s="317">
        <v>30671940.117296368</v>
      </c>
      <c r="E12" s="8"/>
      <c r="F12" s="8"/>
      <c r="G12" s="118">
        <v>8</v>
      </c>
      <c r="H12" s="54">
        <f>Parameters!C12</f>
        <v>0</v>
      </c>
      <c r="I12" s="317">
        <v>30671940.117296368</v>
      </c>
      <c r="J12" s="317">
        <v>30671940.117296368</v>
      </c>
      <c r="K12" s="8"/>
      <c r="L12" s="8"/>
    </row>
    <row r="13" spans="1:12">
      <c r="A13" s="118">
        <v>9</v>
      </c>
      <c r="B13" s="54">
        <f>Parameters!C13</f>
        <v>0</v>
      </c>
      <c r="C13" s="317">
        <v>30671940.117296368</v>
      </c>
      <c r="D13" s="317">
        <v>30671940.117296368</v>
      </c>
      <c r="E13" s="8"/>
      <c r="F13" s="8"/>
      <c r="G13" s="118">
        <v>9</v>
      </c>
      <c r="H13" s="54">
        <f>Parameters!C13</f>
        <v>0</v>
      </c>
      <c r="I13" s="317">
        <v>30671940.117296368</v>
      </c>
      <c r="J13" s="317">
        <v>30671940.117296368</v>
      </c>
      <c r="K13" s="8"/>
      <c r="L13" s="8"/>
    </row>
    <row r="14" spans="1:12">
      <c r="A14" s="118">
        <v>10</v>
      </c>
      <c r="B14" s="54" t="str">
        <f>Parameters!C14</f>
        <v>Initial costs PET-CT</v>
      </c>
      <c r="C14" s="317">
        <v>20978344.880060658</v>
      </c>
      <c r="D14" s="317">
        <v>40365535.354532078</v>
      </c>
      <c r="E14" s="8"/>
      <c r="F14" s="8"/>
      <c r="G14" s="118">
        <v>10</v>
      </c>
      <c r="H14" s="54" t="str">
        <f>Parameters!C14</f>
        <v>Initial costs PET-CT</v>
      </c>
      <c r="I14" s="317">
        <v>20978344.880060658</v>
      </c>
      <c r="J14" s="317">
        <v>40365535.354532078</v>
      </c>
      <c r="K14" s="8"/>
      <c r="L14" s="8"/>
    </row>
    <row r="15" spans="1:12">
      <c r="A15" s="118">
        <v>11</v>
      </c>
      <c r="B15" s="54" t="str">
        <f>Parameters!C15</f>
        <v xml:space="preserve">Initial costs </v>
      </c>
      <c r="C15" s="317">
        <v>30671940.117296368</v>
      </c>
      <c r="D15" s="317">
        <v>30671940.117296368</v>
      </c>
      <c r="E15" s="8"/>
      <c r="F15" s="8"/>
      <c r="G15" s="118">
        <v>11</v>
      </c>
      <c r="H15" s="54" t="str">
        <f>Parameters!C15</f>
        <v xml:space="preserve">Initial costs </v>
      </c>
      <c r="I15" s="317">
        <v>30671940.117296368</v>
      </c>
      <c r="J15" s="317">
        <v>30671940.117296368</v>
      </c>
      <c r="K15" s="8"/>
      <c r="L15" s="8"/>
    </row>
    <row r="16" spans="1:12">
      <c r="A16" s="118">
        <v>12</v>
      </c>
      <c r="B16" s="54" t="str">
        <f>Parameters!C16</f>
        <v xml:space="preserve">Initial costs </v>
      </c>
      <c r="C16" s="317">
        <v>30671940.117296368</v>
      </c>
      <c r="D16" s="317">
        <v>30671940.117296368</v>
      </c>
      <c r="E16" s="8"/>
      <c r="F16" s="8"/>
      <c r="G16" s="118">
        <v>12</v>
      </c>
      <c r="H16" s="54" t="str">
        <f>Parameters!C16</f>
        <v xml:space="preserve">Initial costs </v>
      </c>
      <c r="I16" s="317">
        <v>30671940.117296368</v>
      </c>
      <c r="J16" s="317">
        <v>30671940.117296368</v>
      </c>
      <c r="K16" s="8"/>
      <c r="L16" s="8"/>
    </row>
    <row r="17" spans="1:12">
      <c r="A17" s="118">
        <v>13</v>
      </c>
      <c r="B17" s="54" t="str">
        <f>Parameters!C17</f>
        <v xml:space="preserve">Initial costs </v>
      </c>
      <c r="C17" s="317">
        <v>30671940.117296368</v>
      </c>
      <c r="D17" s="317">
        <v>30671940.117296368</v>
      </c>
      <c r="E17" s="8"/>
      <c r="F17" s="8"/>
      <c r="G17" s="118">
        <v>13</v>
      </c>
      <c r="H17" s="54" t="str">
        <f>Parameters!C17</f>
        <v xml:space="preserve">Initial costs </v>
      </c>
      <c r="I17" s="317">
        <v>30671940.117296368</v>
      </c>
      <c r="J17" s="317">
        <v>30671940.117296368</v>
      </c>
      <c r="K17" s="8"/>
      <c r="L17" s="8"/>
    </row>
    <row r="18" spans="1:12">
      <c r="A18" s="118">
        <v>14</v>
      </c>
      <c r="B18" s="54" t="str">
        <f>Parameters!C18</f>
        <v>Initial costs CT scan + scintigraphy</v>
      </c>
      <c r="C18" s="317">
        <v>34231147.331072807</v>
      </c>
      <c r="D18" s="317">
        <v>27112732.903519928</v>
      </c>
      <c r="E18" s="8"/>
      <c r="F18" s="8"/>
      <c r="G18" s="118">
        <v>14</v>
      </c>
      <c r="H18" s="54" t="str">
        <f>Parameters!C18</f>
        <v>Initial costs CT scan + scintigraphy</v>
      </c>
      <c r="I18" s="317">
        <v>34231147.331072807</v>
      </c>
      <c r="J18" s="317">
        <v>27112732.903519928</v>
      </c>
      <c r="K18" s="8"/>
      <c r="L18" s="8"/>
    </row>
    <row r="19" spans="1:12">
      <c r="A19" s="118">
        <v>15</v>
      </c>
      <c r="B19" s="54" t="str">
        <f>Parameters!C19</f>
        <v xml:space="preserve">Initial costs </v>
      </c>
      <c r="C19" s="317">
        <v>30671940.117296368</v>
      </c>
      <c r="D19" s="317">
        <v>30671940.117296368</v>
      </c>
      <c r="E19" s="8"/>
      <c r="F19" s="8"/>
      <c r="G19" s="118">
        <v>15</v>
      </c>
      <c r="H19" s="54" t="str">
        <f>Parameters!C19</f>
        <v xml:space="preserve">Initial costs </v>
      </c>
      <c r="I19" s="317">
        <v>30671940.117296368</v>
      </c>
      <c r="J19" s="317">
        <v>30671940.117296368</v>
      </c>
      <c r="K19" s="8"/>
      <c r="L19" s="8"/>
    </row>
    <row r="20" spans="1:12">
      <c r="A20" s="118">
        <v>16</v>
      </c>
      <c r="B20" s="54" t="str">
        <f>Parameters!C20</f>
        <v xml:space="preserve">Initial costs </v>
      </c>
      <c r="C20" s="317">
        <v>30671940.117296368</v>
      </c>
      <c r="D20" s="317">
        <v>30671940.117296368</v>
      </c>
      <c r="E20" s="8"/>
      <c r="F20" s="8"/>
      <c r="G20" s="118">
        <v>16</v>
      </c>
      <c r="H20" s="54" t="str">
        <f>Parameters!C20</f>
        <v xml:space="preserve">Initial costs </v>
      </c>
      <c r="I20" s="317">
        <v>30671940.117296368</v>
      </c>
      <c r="J20" s="317">
        <v>30671940.117296368</v>
      </c>
      <c r="K20" s="8"/>
      <c r="L20" s="8"/>
    </row>
    <row r="21" spans="1:12">
      <c r="A21" s="118">
        <v>17</v>
      </c>
      <c r="B21" s="54" t="str">
        <f>Parameters!C21</f>
        <v xml:space="preserve">Initial costs </v>
      </c>
      <c r="C21" s="317">
        <v>30671940.117296368</v>
      </c>
      <c r="D21" s="317">
        <v>30671940.117296368</v>
      </c>
      <c r="E21" s="8"/>
      <c r="F21" s="8"/>
      <c r="G21" s="118">
        <v>17</v>
      </c>
      <c r="H21" s="54" t="str">
        <f>Parameters!C21</f>
        <v xml:space="preserve">Initial costs </v>
      </c>
      <c r="I21" s="317">
        <v>30671940.117296368</v>
      </c>
      <c r="J21" s="317">
        <v>30671940.117296368</v>
      </c>
      <c r="K21" s="8"/>
      <c r="L21" s="8"/>
    </row>
    <row r="22" spans="1:12">
      <c r="A22" s="118">
        <v>18</v>
      </c>
      <c r="B22" s="54" t="str">
        <f>Parameters!C22</f>
        <v xml:space="preserve">Initial costs </v>
      </c>
      <c r="C22" s="317">
        <v>30671940.117296368</v>
      </c>
      <c r="D22" s="317">
        <v>30671940.117296368</v>
      </c>
      <c r="E22" s="8"/>
      <c r="F22" s="8"/>
      <c r="G22" s="118">
        <v>18</v>
      </c>
      <c r="H22" s="54" t="str">
        <f>Parameters!C22</f>
        <v xml:space="preserve">Initial costs </v>
      </c>
      <c r="I22" s="317">
        <v>30671940.117296368</v>
      </c>
      <c r="J22" s="317">
        <v>30671940.117296368</v>
      </c>
      <c r="K22" s="8"/>
      <c r="L22" s="8"/>
    </row>
    <row r="23" spans="1:12">
      <c r="A23" s="118">
        <v>19</v>
      </c>
      <c r="B23" s="54" t="str">
        <f>Parameters!C23</f>
        <v xml:space="preserve">Initial costs </v>
      </c>
      <c r="C23" s="317">
        <v>30671940.117296368</v>
      </c>
      <c r="D23" s="317">
        <v>30671940.117296368</v>
      </c>
      <c r="E23" s="8"/>
      <c r="F23" s="8"/>
      <c r="G23" s="118">
        <v>19</v>
      </c>
      <c r="H23" s="54" t="str">
        <f>Parameters!C23</f>
        <v xml:space="preserve">Initial costs </v>
      </c>
      <c r="I23" s="317">
        <v>30671940.117296368</v>
      </c>
      <c r="J23" s="317">
        <v>30671940.117296368</v>
      </c>
      <c r="K23" s="8"/>
      <c r="L23" s="8"/>
    </row>
    <row r="24" spans="1:12">
      <c r="A24" s="118">
        <v>20</v>
      </c>
      <c r="B24" s="54" t="str">
        <f>Parameters!C24</f>
        <v xml:space="preserve">Initial costs </v>
      </c>
      <c r="C24" s="317">
        <v>30671940.117296368</v>
      </c>
      <c r="D24" s="317">
        <v>30671940.117296368</v>
      </c>
      <c r="E24" s="8"/>
      <c r="F24" s="8"/>
      <c r="G24" s="118">
        <v>20</v>
      </c>
      <c r="H24" s="54" t="str">
        <f>Parameters!C24</f>
        <v xml:space="preserve">Initial costs </v>
      </c>
      <c r="I24" s="317">
        <v>30671940.117296368</v>
      </c>
      <c r="J24" s="317">
        <v>30671940.117296368</v>
      </c>
      <c r="K24" s="8"/>
      <c r="L24" s="8"/>
    </row>
    <row r="25" spans="1:12">
      <c r="A25" s="118">
        <v>21</v>
      </c>
      <c r="B25" s="54" t="str">
        <f>Parameters!C25</f>
        <v xml:space="preserve">Initial costs </v>
      </c>
      <c r="C25" s="317">
        <v>30671940.117296368</v>
      </c>
      <c r="D25" s="317">
        <v>30671940.117296368</v>
      </c>
      <c r="E25" s="8"/>
      <c r="F25" s="8"/>
      <c r="G25" s="118">
        <v>21</v>
      </c>
      <c r="H25" s="54" t="str">
        <f>Parameters!C25</f>
        <v xml:space="preserve">Initial costs </v>
      </c>
      <c r="I25" s="317">
        <v>30671940.117296368</v>
      </c>
      <c r="J25" s="317">
        <v>30671940.117296368</v>
      </c>
      <c r="K25" s="8"/>
      <c r="L25" s="8"/>
    </row>
    <row r="26" spans="1:12">
      <c r="A26" s="118">
        <v>22</v>
      </c>
      <c r="B26" s="54" t="str">
        <f>Parameters!C26</f>
        <v xml:space="preserve">Initial costs </v>
      </c>
      <c r="C26" s="317">
        <v>30671940.117296368</v>
      </c>
      <c r="D26" s="317">
        <v>30671940.117296368</v>
      </c>
      <c r="E26" s="8"/>
      <c r="F26" s="8"/>
      <c r="G26" s="118">
        <v>22</v>
      </c>
      <c r="H26" s="54" t="str">
        <f>Parameters!C26</f>
        <v xml:space="preserve">Initial costs </v>
      </c>
      <c r="I26" s="317">
        <v>30671940.117296368</v>
      </c>
      <c r="J26" s="317">
        <v>30671940.117296368</v>
      </c>
      <c r="K26" s="8"/>
      <c r="L26" s="8"/>
    </row>
    <row r="27" spans="1:12">
      <c r="A27" s="118">
        <v>23</v>
      </c>
      <c r="B27" s="54" t="str">
        <f>Parameters!C27</f>
        <v xml:space="preserve">Initial costs </v>
      </c>
      <c r="C27" s="317">
        <v>30671940.117296368</v>
      </c>
      <c r="D27" s="317">
        <v>30671940.117296368</v>
      </c>
      <c r="E27" s="8"/>
      <c r="F27" s="8"/>
      <c r="G27" s="118">
        <v>23</v>
      </c>
      <c r="H27" s="54" t="str">
        <f>Parameters!C27</f>
        <v xml:space="preserve">Initial costs </v>
      </c>
      <c r="I27" s="317">
        <v>30671940.117296368</v>
      </c>
      <c r="J27" s="317">
        <v>30671940.117296368</v>
      </c>
      <c r="K27" s="8"/>
      <c r="L27" s="8"/>
    </row>
    <row r="28" spans="1:12">
      <c r="A28" s="118">
        <v>24</v>
      </c>
      <c r="B28" s="54" t="str">
        <f>Parameters!C28</f>
        <v>Treatment costs PET-CT</v>
      </c>
      <c r="C28" s="317">
        <v>30671940.117296368</v>
      </c>
      <c r="D28" s="317">
        <v>30671940.117296368</v>
      </c>
      <c r="E28" s="8"/>
      <c r="F28" s="8"/>
      <c r="G28" s="118">
        <v>24</v>
      </c>
      <c r="H28" s="54" t="str">
        <f>Parameters!C28</f>
        <v>Treatment costs PET-CT</v>
      </c>
      <c r="I28" s="317">
        <v>30671940.117296368</v>
      </c>
      <c r="J28" s="317">
        <v>30671940.117296368</v>
      </c>
      <c r="K28" s="8"/>
      <c r="L28" s="8"/>
    </row>
    <row r="29" spans="1:12">
      <c r="A29" s="118">
        <v>25</v>
      </c>
      <c r="B29" s="54" t="str">
        <f>Parameters!C29</f>
        <v xml:space="preserve">Treatment costs </v>
      </c>
      <c r="C29" s="317">
        <v>30671940.117296368</v>
      </c>
      <c r="D29" s="317">
        <v>30671940.117296368</v>
      </c>
      <c r="E29" s="8"/>
      <c r="F29" s="8"/>
      <c r="G29" s="118">
        <v>25</v>
      </c>
      <c r="H29" s="54" t="str">
        <f>Parameters!C29</f>
        <v xml:space="preserve">Treatment costs </v>
      </c>
      <c r="I29" s="317">
        <v>30671940.117296368</v>
      </c>
      <c r="J29" s="317">
        <v>30671940.117296368</v>
      </c>
      <c r="K29" s="8"/>
      <c r="L29" s="8"/>
    </row>
    <row r="30" spans="1:12">
      <c r="A30" s="118">
        <v>26</v>
      </c>
      <c r="B30" s="54" t="str">
        <f>Parameters!C30</f>
        <v xml:space="preserve">Treatment costs </v>
      </c>
      <c r="C30" s="317">
        <v>30671940.117296368</v>
      </c>
      <c r="D30" s="317">
        <v>30671940.117296368</v>
      </c>
      <c r="E30" s="8"/>
      <c r="F30" s="8"/>
      <c r="G30" s="118">
        <v>26</v>
      </c>
      <c r="H30" s="54" t="str">
        <f>Parameters!C30</f>
        <v xml:space="preserve">Treatment costs </v>
      </c>
      <c r="I30" s="317">
        <v>30671940.117296368</v>
      </c>
      <c r="J30" s="317">
        <v>30671940.117296368</v>
      </c>
      <c r="K30" s="8"/>
      <c r="L30" s="8"/>
    </row>
    <row r="31" spans="1:12">
      <c r="A31" s="118">
        <v>27</v>
      </c>
      <c r="B31" s="54" t="str">
        <f>Parameters!C31</f>
        <v xml:space="preserve">Treatment costs </v>
      </c>
      <c r="C31" s="317">
        <v>30671940.117296368</v>
      </c>
      <c r="D31" s="317">
        <v>30671940.117296368</v>
      </c>
      <c r="E31" s="8"/>
      <c r="F31" s="8"/>
      <c r="G31" s="118">
        <v>27</v>
      </c>
      <c r="H31" s="54" t="str">
        <f>Parameters!C31</f>
        <v xml:space="preserve">Treatment costs </v>
      </c>
      <c r="I31" s="317">
        <v>30671940.117296368</v>
      </c>
      <c r="J31" s="317">
        <v>30671940.117296368</v>
      </c>
      <c r="K31" s="8"/>
      <c r="L31" s="8"/>
    </row>
    <row r="32" spans="1:12">
      <c r="A32" s="118">
        <v>28</v>
      </c>
      <c r="B32" s="54" t="str">
        <f>Parameters!C32</f>
        <v>Treatment costs CT scan + scintigraphy</v>
      </c>
      <c r="C32" s="317">
        <v>30671940.117296368</v>
      </c>
      <c r="D32" s="317">
        <v>30671940.117296368</v>
      </c>
      <c r="E32" s="8"/>
      <c r="F32" s="8"/>
      <c r="G32" s="118">
        <v>28</v>
      </c>
      <c r="H32" s="54" t="str">
        <f>Parameters!C32</f>
        <v>Treatment costs CT scan + scintigraphy</v>
      </c>
      <c r="I32" s="317">
        <v>30671940.117296368</v>
      </c>
      <c r="J32" s="317">
        <v>30671940.117296368</v>
      </c>
      <c r="K32" s="8"/>
      <c r="L32" s="8"/>
    </row>
    <row r="33" spans="1:12">
      <c r="A33" s="118">
        <v>29</v>
      </c>
      <c r="B33" s="54" t="str">
        <f>Parameters!C33</f>
        <v xml:space="preserve">Treatment costs </v>
      </c>
      <c r="C33" s="317">
        <v>30671940.117296368</v>
      </c>
      <c r="D33" s="317">
        <v>30671940.117296368</v>
      </c>
      <c r="E33" s="8"/>
      <c r="F33" s="8"/>
      <c r="G33" s="118">
        <v>29</v>
      </c>
      <c r="H33" s="54" t="str">
        <f>Parameters!C33</f>
        <v xml:space="preserve">Treatment costs </v>
      </c>
      <c r="I33" s="317">
        <v>30671940.117296368</v>
      </c>
      <c r="J33" s="317">
        <v>30671940.117296368</v>
      </c>
      <c r="K33" s="8"/>
      <c r="L33" s="8"/>
    </row>
    <row r="34" spans="1:12">
      <c r="A34" s="118">
        <v>30</v>
      </c>
      <c r="B34" s="54" t="str">
        <f>Parameters!C34</f>
        <v xml:space="preserve">Treatment costs </v>
      </c>
      <c r="C34" s="317">
        <v>30671940.117296368</v>
      </c>
      <c r="D34" s="317">
        <v>30671940.117296368</v>
      </c>
      <c r="E34" s="8"/>
      <c r="F34" s="8"/>
      <c r="G34" s="118">
        <v>30</v>
      </c>
      <c r="H34" s="54" t="str">
        <f>Parameters!C34</f>
        <v xml:space="preserve">Treatment costs </v>
      </c>
      <c r="I34" s="317">
        <v>30671940.117296368</v>
      </c>
      <c r="J34" s="317">
        <v>30671940.117296368</v>
      </c>
      <c r="K34" s="8"/>
      <c r="L34" s="8"/>
    </row>
    <row r="35" spans="1:12">
      <c r="A35" s="118">
        <v>31</v>
      </c>
      <c r="B35" s="54" t="str">
        <f>Parameters!C35</f>
        <v xml:space="preserve">Treatment costs </v>
      </c>
      <c r="C35" s="317">
        <v>30671940.117296368</v>
      </c>
      <c r="D35" s="317">
        <v>30671940.117296368</v>
      </c>
      <c r="E35" s="8"/>
      <c r="F35" s="8"/>
      <c r="G35" s="118">
        <v>31</v>
      </c>
      <c r="H35" s="54" t="str">
        <f>Parameters!C35</f>
        <v xml:space="preserve">Treatment costs </v>
      </c>
      <c r="I35" s="317">
        <v>30671940.117296368</v>
      </c>
      <c r="J35" s="317">
        <v>30671940.117296368</v>
      </c>
      <c r="K35" s="8"/>
      <c r="L35" s="8"/>
    </row>
    <row r="36" spans="1:12">
      <c r="A36" s="118">
        <v>32</v>
      </c>
      <c r="B36" s="54" t="str">
        <f>Parameters!C36</f>
        <v xml:space="preserve">Treatment costs </v>
      </c>
      <c r="C36" s="317">
        <v>30671940.117296368</v>
      </c>
      <c r="D36" s="317">
        <v>30671940.117296368</v>
      </c>
      <c r="E36" s="8"/>
      <c r="F36" s="8"/>
      <c r="G36" s="118">
        <v>32</v>
      </c>
      <c r="H36" s="54" t="str">
        <f>Parameters!C36</f>
        <v xml:space="preserve">Treatment costs </v>
      </c>
      <c r="I36" s="317">
        <v>30671940.117296368</v>
      </c>
      <c r="J36" s="317">
        <v>30671940.117296368</v>
      </c>
      <c r="K36" s="8"/>
      <c r="L36" s="8"/>
    </row>
    <row r="37" spans="1:12">
      <c r="A37" s="118">
        <v>33</v>
      </c>
      <c r="B37" s="54" t="str">
        <f>Parameters!C37</f>
        <v xml:space="preserve">Treatment costs </v>
      </c>
      <c r="C37" s="317">
        <v>30671940.117296368</v>
      </c>
      <c r="D37" s="317">
        <v>30671940.117296368</v>
      </c>
      <c r="E37" s="8"/>
      <c r="F37" s="8"/>
      <c r="G37" s="118">
        <v>33</v>
      </c>
      <c r="H37" s="54" t="str">
        <f>Parameters!C37</f>
        <v xml:space="preserve">Treatment costs </v>
      </c>
      <c r="I37" s="317">
        <v>30671940.117296368</v>
      </c>
      <c r="J37" s="317">
        <v>30671940.117296368</v>
      </c>
      <c r="K37" s="8"/>
      <c r="L37" s="8"/>
    </row>
    <row r="38" spans="1:12">
      <c r="A38" s="118">
        <v>34</v>
      </c>
      <c r="B38" s="54" t="str">
        <f>Parameters!C38</f>
        <v xml:space="preserve">Treatment costs </v>
      </c>
      <c r="C38" s="317">
        <v>30671940.117296368</v>
      </c>
      <c r="D38" s="317">
        <v>30671940.117296368</v>
      </c>
      <c r="E38" s="8"/>
      <c r="F38" s="8"/>
      <c r="G38" s="118">
        <v>34</v>
      </c>
      <c r="H38" s="54" t="str">
        <f>Parameters!C38</f>
        <v xml:space="preserve">Treatment costs </v>
      </c>
      <c r="I38" s="317">
        <v>30671940.117296368</v>
      </c>
      <c r="J38" s="317">
        <v>30671940.117296368</v>
      </c>
      <c r="K38" s="8"/>
      <c r="L38" s="8"/>
    </row>
    <row r="39" spans="1:12">
      <c r="A39" s="118">
        <v>35</v>
      </c>
      <c r="B39" s="54" t="str">
        <f>Parameters!C39</f>
        <v xml:space="preserve">Treatment costs </v>
      </c>
      <c r="C39" s="317">
        <v>30671940.117296368</v>
      </c>
      <c r="D39" s="317">
        <v>30671940.117296368</v>
      </c>
      <c r="E39" s="8"/>
      <c r="F39" s="8"/>
      <c r="G39" s="118">
        <v>35</v>
      </c>
      <c r="H39" s="54" t="str">
        <f>Parameters!C39</f>
        <v xml:space="preserve">Treatment costs </v>
      </c>
      <c r="I39" s="317">
        <v>30671940.117296368</v>
      </c>
      <c r="J39" s="317">
        <v>30671940.117296368</v>
      </c>
      <c r="K39" s="8"/>
      <c r="L39" s="8"/>
    </row>
    <row r="40" spans="1:12">
      <c r="A40" s="118">
        <v>36</v>
      </c>
      <c r="B40" s="54" t="str">
        <f>Parameters!C40</f>
        <v xml:space="preserve">Treatment costs </v>
      </c>
      <c r="C40" s="317">
        <v>30671940.117296368</v>
      </c>
      <c r="D40" s="317">
        <v>30671940.117296368</v>
      </c>
      <c r="E40" s="8"/>
      <c r="F40" s="8"/>
      <c r="G40" s="118">
        <v>36</v>
      </c>
      <c r="H40" s="54" t="str">
        <f>Parameters!C40</f>
        <v xml:space="preserve">Treatment costs </v>
      </c>
      <c r="I40" s="317">
        <v>30671940.117296368</v>
      </c>
      <c r="J40" s="317">
        <v>30671940.117296368</v>
      </c>
      <c r="K40" s="8"/>
      <c r="L40" s="8"/>
    </row>
    <row r="41" spans="1:12">
      <c r="A41" s="118">
        <v>37</v>
      </c>
      <c r="B41" s="54" t="str">
        <f>Parameters!C41</f>
        <v xml:space="preserve">Treatment costs </v>
      </c>
      <c r="C41" s="317">
        <v>30671940.117296368</v>
      </c>
      <c r="D41" s="317">
        <v>30671940.117296368</v>
      </c>
      <c r="E41" s="8"/>
      <c r="F41" s="8"/>
      <c r="G41" s="118">
        <v>37</v>
      </c>
      <c r="H41" s="54" t="str">
        <f>Parameters!C41</f>
        <v xml:space="preserve">Treatment costs </v>
      </c>
      <c r="I41" s="317">
        <v>30671940.117296368</v>
      </c>
      <c r="J41" s="317">
        <v>30671940.117296368</v>
      </c>
      <c r="K41" s="8"/>
      <c r="L41" s="8"/>
    </row>
    <row r="42" spans="1:12">
      <c r="A42" s="118">
        <v>38</v>
      </c>
      <c r="B42" s="54" t="str">
        <f>Parameters!C42</f>
        <v>Additional costs PET-CT</v>
      </c>
      <c r="C42" s="317">
        <v>30671940.117296368</v>
      </c>
      <c r="D42" s="317">
        <v>30671940.117296368</v>
      </c>
      <c r="E42" s="8"/>
      <c r="F42" s="8"/>
      <c r="G42" s="118">
        <v>38</v>
      </c>
      <c r="H42" s="54" t="str">
        <f>Parameters!C42</f>
        <v>Additional costs PET-CT</v>
      </c>
      <c r="I42" s="317">
        <v>30671940.117296368</v>
      </c>
      <c r="J42" s="317">
        <v>30671940.117296368</v>
      </c>
      <c r="K42" s="8"/>
      <c r="L42" s="8"/>
    </row>
    <row r="43" spans="1:12">
      <c r="A43" s="118">
        <v>39</v>
      </c>
      <c r="B43" s="54" t="str">
        <f>Parameters!C43</f>
        <v xml:space="preserve">Additional costs </v>
      </c>
      <c r="C43" s="317">
        <v>30671940.117296368</v>
      </c>
      <c r="D43" s="317">
        <v>30671940.117296368</v>
      </c>
      <c r="E43" s="8"/>
      <c r="F43" s="8"/>
      <c r="G43" s="118">
        <v>39</v>
      </c>
      <c r="H43" s="54" t="str">
        <f>Parameters!C43</f>
        <v xml:space="preserve">Additional costs </v>
      </c>
      <c r="I43" s="317">
        <v>30671940.117296368</v>
      </c>
      <c r="J43" s="317">
        <v>30671940.117296368</v>
      </c>
      <c r="K43" s="8"/>
      <c r="L43" s="8"/>
    </row>
    <row r="44" spans="1:12">
      <c r="A44" s="118">
        <v>40</v>
      </c>
      <c r="B44" s="54" t="str">
        <f>Parameters!C44</f>
        <v xml:space="preserve">Additional costs </v>
      </c>
      <c r="C44" s="317">
        <v>30671940.117296368</v>
      </c>
      <c r="D44" s="317">
        <v>30671940.117296368</v>
      </c>
      <c r="E44" s="8"/>
      <c r="F44" s="8"/>
      <c r="G44" s="118">
        <v>40</v>
      </c>
      <c r="H44" s="54" t="str">
        <f>Parameters!C44</f>
        <v xml:space="preserve">Additional costs </v>
      </c>
      <c r="I44" s="317">
        <v>30671940.117296368</v>
      </c>
      <c r="J44" s="317">
        <v>30671940.117296368</v>
      </c>
      <c r="K44" s="8"/>
      <c r="L44" s="8"/>
    </row>
    <row r="45" spans="1:12">
      <c r="A45" s="118">
        <v>41</v>
      </c>
      <c r="B45" s="54" t="str">
        <f>Parameters!C45</f>
        <v xml:space="preserve">Additional costs </v>
      </c>
      <c r="C45" s="317">
        <v>30671940.117296368</v>
      </c>
      <c r="D45" s="317">
        <v>30671940.117296368</v>
      </c>
      <c r="E45" s="8"/>
      <c r="F45" s="8"/>
      <c r="G45" s="118">
        <v>41</v>
      </c>
      <c r="H45" s="54" t="str">
        <f>Parameters!C45</f>
        <v xml:space="preserve">Additional costs </v>
      </c>
      <c r="I45" s="317">
        <v>30671940.117296368</v>
      </c>
      <c r="J45" s="317">
        <v>30671940.117296368</v>
      </c>
      <c r="K45" s="8"/>
      <c r="L45" s="8"/>
    </row>
    <row r="46" spans="1:12">
      <c r="A46" s="118">
        <v>42</v>
      </c>
      <c r="B46" s="54" t="str">
        <f>Parameters!C46</f>
        <v>Additional costs CT scan + scintigraphy</v>
      </c>
      <c r="C46" s="317">
        <v>30671940.117296368</v>
      </c>
      <c r="D46" s="317">
        <v>30671940.117296368</v>
      </c>
      <c r="E46" s="8"/>
      <c r="F46" s="8"/>
      <c r="G46" s="118">
        <v>42</v>
      </c>
      <c r="H46" s="54" t="str">
        <f>Parameters!C46</f>
        <v>Additional costs CT scan + scintigraphy</v>
      </c>
      <c r="I46" s="317">
        <v>30671940.117296368</v>
      </c>
      <c r="J46" s="317">
        <v>30671940.117296368</v>
      </c>
      <c r="K46" s="8"/>
      <c r="L46" s="8"/>
    </row>
    <row r="47" spans="1:12">
      <c r="A47" s="118">
        <v>43</v>
      </c>
      <c r="B47" s="54" t="str">
        <f>Parameters!C47</f>
        <v xml:space="preserve">Additional costs </v>
      </c>
      <c r="C47" s="317">
        <v>30671940.117296368</v>
      </c>
      <c r="D47" s="317">
        <v>30671940.117296368</v>
      </c>
      <c r="E47" s="8"/>
      <c r="F47" s="8"/>
      <c r="G47" s="118">
        <v>43</v>
      </c>
      <c r="H47" s="54" t="str">
        <f>Parameters!C47</f>
        <v xml:space="preserve">Additional costs </v>
      </c>
      <c r="I47" s="317">
        <v>30671940.117296368</v>
      </c>
      <c r="J47" s="317">
        <v>30671940.117296368</v>
      </c>
      <c r="K47" s="8"/>
      <c r="L47" s="8"/>
    </row>
    <row r="48" spans="1:12">
      <c r="A48" s="118">
        <v>44</v>
      </c>
      <c r="B48" s="54" t="str">
        <f>Parameters!C48</f>
        <v xml:space="preserve">Additional costs </v>
      </c>
      <c r="C48" s="317">
        <v>30671940.117296368</v>
      </c>
      <c r="D48" s="317">
        <v>30671940.117296368</v>
      </c>
      <c r="E48" s="8"/>
      <c r="F48" s="8"/>
      <c r="G48" s="118">
        <v>44</v>
      </c>
      <c r="H48" s="54" t="str">
        <f>Parameters!C48</f>
        <v xml:space="preserve">Additional costs </v>
      </c>
      <c r="I48" s="317">
        <v>30671940.117296368</v>
      </c>
      <c r="J48" s="317">
        <v>30671940.117296368</v>
      </c>
      <c r="K48" s="8"/>
      <c r="L48" s="8"/>
    </row>
    <row r="49" spans="1:12">
      <c r="A49" s="118">
        <v>45</v>
      </c>
      <c r="B49" s="54" t="str">
        <f>Parameters!C49</f>
        <v xml:space="preserve">Additional costs </v>
      </c>
      <c r="C49" s="317">
        <v>30671940.117296368</v>
      </c>
      <c r="D49" s="317">
        <v>30671940.117296368</v>
      </c>
      <c r="E49" s="8"/>
      <c r="F49" s="8"/>
      <c r="G49" s="118">
        <v>45</v>
      </c>
      <c r="H49" s="54" t="str">
        <f>Parameters!C49</f>
        <v xml:space="preserve">Additional costs </v>
      </c>
      <c r="I49" s="317">
        <v>30671940.117296368</v>
      </c>
      <c r="J49" s="317">
        <v>30671940.117296368</v>
      </c>
      <c r="K49" s="8"/>
      <c r="L49" s="8"/>
    </row>
    <row r="50" spans="1:12">
      <c r="A50" s="118">
        <v>46</v>
      </c>
      <c r="B50" s="54" t="str">
        <f>Parameters!C50</f>
        <v xml:space="preserve">Additional costs </v>
      </c>
      <c r="C50" s="317">
        <v>30671940.117296368</v>
      </c>
      <c r="D50" s="317">
        <v>30671940.117296368</v>
      </c>
      <c r="E50" s="8"/>
      <c r="F50" s="8"/>
      <c r="G50" s="118">
        <v>46</v>
      </c>
      <c r="H50" s="54" t="str">
        <f>Parameters!C50</f>
        <v xml:space="preserve">Additional costs </v>
      </c>
      <c r="I50" s="317">
        <v>30671940.117296368</v>
      </c>
      <c r="J50" s="317">
        <v>30671940.117296368</v>
      </c>
      <c r="K50" s="8"/>
      <c r="L50" s="8"/>
    </row>
    <row r="51" spans="1:12">
      <c r="A51" s="118">
        <v>47</v>
      </c>
      <c r="B51" s="54" t="str">
        <f>Parameters!C51</f>
        <v xml:space="preserve">Additional costs </v>
      </c>
      <c r="C51" s="317">
        <v>30671940.117296368</v>
      </c>
      <c r="D51" s="317">
        <v>30671940.117296368</v>
      </c>
      <c r="E51" s="8"/>
      <c r="F51" s="8"/>
      <c r="G51" s="118">
        <v>47</v>
      </c>
      <c r="H51" s="54" t="str">
        <f>Parameters!C51</f>
        <v xml:space="preserve">Additional costs </v>
      </c>
      <c r="I51" s="317">
        <v>30671940.117296368</v>
      </c>
      <c r="J51" s="317">
        <v>30671940.117296368</v>
      </c>
      <c r="K51" s="8"/>
      <c r="L51" s="8"/>
    </row>
    <row r="52" spans="1:12">
      <c r="A52" s="118">
        <v>48</v>
      </c>
      <c r="B52" s="54" t="str">
        <f>Parameters!C52</f>
        <v xml:space="preserve">Additional costs </v>
      </c>
      <c r="C52" s="317">
        <v>30671940.117296368</v>
      </c>
      <c r="D52" s="317">
        <v>30671940.117296368</v>
      </c>
      <c r="E52" s="8"/>
      <c r="F52" s="8"/>
      <c r="G52" s="118">
        <v>48</v>
      </c>
      <c r="H52" s="54" t="str">
        <f>Parameters!C52</f>
        <v xml:space="preserve">Additional costs </v>
      </c>
      <c r="I52" s="317">
        <v>30671940.117296368</v>
      </c>
      <c r="J52" s="317">
        <v>30671940.117296368</v>
      </c>
      <c r="K52" s="8"/>
      <c r="L52" s="8"/>
    </row>
    <row r="53" spans="1:12">
      <c r="A53" s="118">
        <v>49</v>
      </c>
      <c r="B53" s="54" t="str">
        <f>Parameters!C53</f>
        <v xml:space="preserve">Additional costs </v>
      </c>
      <c r="C53" s="317">
        <v>30671940.117296368</v>
      </c>
      <c r="D53" s="317">
        <v>30671940.117296368</v>
      </c>
      <c r="E53" s="8"/>
      <c r="F53" s="8"/>
      <c r="G53" s="118">
        <v>49</v>
      </c>
      <c r="H53" s="54" t="str">
        <f>Parameters!C53</f>
        <v xml:space="preserve">Additional costs </v>
      </c>
      <c r="I53" s="317">
        <v>30671940.117296368</v>
      </c>
      <c r="J53" s="317">
        <v>30671940.117296368</v>
      </c>
      <c r="K53" s="8"/>
      <c r="L53" s="8"/>
    </row>
    <row r="54" spans="1:12">
      <c r="A54" s="118">
        <v>50</v>
      </c>
      <c r="B54" s="54" t="str">
        <f>Parameters!C54</f>
        <v xml:space="preserve">Additional costs </v>
      </c>
      <c r="C54" s="317">
        <v>30671940.117296368</v>
      </c>
      <c r="D54" s="317">
        <v>30671940.117296368</v>
      </c>
      <c r="E54" s="8"/>
      <c r="F54" s="8"/>
      <c r="G54" s="118">
        <v>50</v>
      </c>
      <c r="H54" s="54" t="str">
        <f>Parameters!C54</f>
        <v xml:space="preserve">Additional costs </v>
      </c>
      <c r="I54" s="317">
        <v>30671940.117296368</v>
      </c>
      <c r="J54" s="317">
        <v>30671940.117296368</v>
      </c>
      <c r="K54" s="8"/>
      <c r="L54" s="8"/>
    </row>
    <row r="55" spans="1:12">
      <c r="A55" s="118">
        <v>51</v>
      </c>
      <c r="B55" s="54" t="str">
        <f>Parameters!C55</f>
        <v xml:space="preserve">Additional costs </v>
      </c>
      <c r="C55" s="317">
        <v>30671940.117296368</v>
      </c>
      <c r="D55" s="317">
        <v>30671940.117296368</v>
      </c>
      <c r="E55" s="8"/>
      <c r="F55" s="8"/>
      <c r="G55" s="118">
        <v>51</v>
      </c>
      <c r="H55" s="54" t="str">
        <f>Parameters!C55</f>
        <v xml:space="preserve">Additional costs </v>
      </c>
      <c r="I55" s="317">
        <v>30671940.117296368</v>
      </c>
      <c r="J55" s="317">
        <v>30671940.117296368</v>
      </c>
      <c r="K55" s="8"/>
      <c r="L55" s="8"/>
    </row>
    <row r="56" spans="1:12">
      <c r="A56" s="118">
        <v>52</v>
      </c>
      <c r="B56" s="54" t="str">
        <f>Parameters!C56</f>
        <v>Initial general costs</v>
      </c>
      <c r="C56" s="317">
        <v>30671940.117296368</v>
      </c>
      <c r="D56" s="317">
        <v>30671940.117296368</v>
      </c>
      <c r="E56" s="8"/>
      <c r="F56" s="8"/>
      <c r="G56" s="118">
        <v>52</v>
      </c>
      <c r="H56" s="54" t="str">
        <f>Parameters!C56</f>
        <v>Initial general costs</v>
      </c>
      <c r="I56" s="317">
        <v>30671940.117296368</v>
      </c>
      <c r="J56" s="317">
        <v>30671940.117296368</v>
      </c>
      <c r="K56" s="8"/>
      <c r="L56" s="8"/>
    </row>
    <row r="57" spans="1:12">
      <c r="A57" s="118">
        <v>53</v>
      </c>
      <c r="B57" s="54" t="str">
        <f>Parameters!C57</f>
        <v>Monthly costs during treatment</v>
      </c>
      <c r="C57" s="317">
        <v>30671940.117296368</v>
      </c>
      <c r="D57" s="317">
        <v>30671940.117296368</v>
      </c>
      <c r="E57" s="8"/>
      <c r="F57" s="8"/>
      <c r="G57" s="118">
        <v>53</v>
      </c>
      <c r="H57" s="54" t="str">
        <f>Parameters!C57</f>
        <v>Monthly costs during treatment</v>
      </c>
      <c r="I57" s="317">
        <v>30671940.117296368</v>
      </c>
      <c r="J57" s="317">
        <v>30671940.117296368</v>
      </c>
      <c r="K57" s="8"/>
      <c r="L57" s="8"/>
    </row>
    <row r="58" spans="1:12">
      <c r="A58" s="118">
        <v>54</v>
      </c>
      <c r="B58" s="54" t="str">
        <f>Parameters!C58</f>
        <v>Monthly costs after treatment</v>
      </c>
      <c r="C58" s="317">
        <v>30671940.117296368</v>
      </c>
      <c r="D58" s="317">
        <v>30671940.117296368</v>
      </c>
      <c r="E58" s="8"/>
      <c r="F58" s="8"/>
      <c r="G58" s="118">
        <v>54</v>
      </c>
      <c r="H58" s="54" t="str">
        <f>Parameters!C58</f>
        <v>Monthly costs after treatment</v>
      </c>
      <c r="I58" s="317">
        <v>30671940.117296368</v>
      </c>
      <c r="J58" s="317">
        <v>30671940.117296368</v>
      </c>
      <c r="K58" s="8"/>
      <c r="L58" s="8"/>
    </row>
    <row r="59" spans="1:12">
      <c r="A59" s="118">
        <v>55</v>
      </c>
      <c r="B59" s="54"/>
      <c r="C59" s="54"/>
      <c r="D59" s="54"/>
      <c r="E59" s="8"/>
      <c r="F59" s="8"/>
      <c r="G59" s="118">
        <v>55</v>
      </c>
      <c r="H59" s="54"/>
      <c r="I59" s="54"/>
      <c r="J59" s="54"/>
      <c r="K59" s="8"/>
      <c r="L59" s="8"/>
    </row>
    <row r="60" spans="1:12">
      <c r="A60" s="118">
        <v>56</v>
      </c>
      <c r="B60" s="54"/>
      <c r="C60" s="54"/>
      <c r="D60" s="54"/>
      <c r="E60" s="8"/>
      <c r="F60" s="8"/>
      <c r="G60" s="118">
        <v>56</v>
      </c>
      <c r="H60" s="54"/>
      <c r="I60" s="54"/>
      <c r="J60" s="54"/>
      <c r="K60" s="8"/>
      <c r="L60" s="8"/>
    </row>
    <row r="61" spans="1:12">
      <c r="A61" s="118">
        <v>57</v>
      </c>
      <c r="B61" s="54"/>
      <c r="C61" s="54"/>
      <c r="D61" s="54"/>
      <c r="E61" s="8"/>
      <c r="F61" s="8"/>
      <c r="G61" s="118">
        <v>57</v>
      </c>
      <c r="H61" s="54"/>
      <c r="I61" s="54"/>
      <c r="J61" s="54"/>
      <c r="K61" s="8"/>
      <c r="L61" s="8"/>
    </row>
    <row r="62" spans="1:12">
      <c r="A62" s="118">
        <v>58</v>
      </c>
      <c r="B62" s="54"/>
      <c r="C62" s="54"/>
      <c r="D62" s="54"/>
      <c r="E62" s="8"/>
      <c r="F62" s="8"/>
      <c r="G62" s="118">
        <v>58</v>
      </c>
      <c r="H62" s="54"/>
      <c r="I62" s="54"/>
      <c r="J62" s="54"/>
      <c r="K62" s="8"/>
      <c r="L62" s="8"/>
    </row>
    <row r="63" spans="1:12">
      <c r="A63" s="118">
        <v>59</v>
      </c>
      <c r="B63" s="54"/>
      <c r="C63" s="54"/>
      <c r="D63" s="54"/>
      <c r="E63" s="8"/>
      <c r="F63" s="8"/>
      <c r="G63" s="118">
        <v>59</v>
      </c>
      <c r="H63" s="54"/>
      <c r="I63" s="54"/>
      <c r="J63" s="54"/>
      <c r="K63" s="8"/>
      <c r="L63" s="8"/>
    </row>
    <row r="64" spans="1:12">
      <c r="A64" s="118">
        <v>60</v>
      </c>
      <c r="B64" s="54"/>
      <c r="C64" s="54"/>
      <c r="D64" s="54"/>
      <c r="E64" s="8"/>
      <c r="F64" s="8"/>
      <c r="G64" s="118">
        <v>60</v>
      </c>
      <c r="H64" s="54"/>
      <c r="I64" s="54"/>
      <c r="J64" s="54"/>
      <c r="K64" s="8"/>
      <c r="L64" s="8"/>
    </row>
    <row r="65" spans="1:12">
      <c r="B65" s="8"/>
      <c r="C65" s="12"/>
      <c r="D65" s="12"/>
      <c r="E65" s="8"/>
      <c r="F65" s="8"/>
      <c r="G65" s="118"/>
      <c r="H65" s="8"/>
      <c r="I65" s="12"/>
      <c r="J65" s="12"/>
      <c r="K65" s="8"/>
      <c r="L65" s="8"/>
    </row>
    <row r="66" spans="1:12">
      <c r="B66" s="8"/>
      <c r="C66" s="12"/>
      <c r="D66" s="12"/>
      <c r="E66" s="8"/>
      <c r="F66" s="8"/>
      <c r="G66" s="118"/>
      <c r="H66" s="8"/>
      <c r="I66" s="12"/>
      <c r="J66" s="12"/>
      <c r="K66" s="8"/>
      <c r="L66" s="8"/>
    </row>
    <row r="67" spans="1:12">
      <c r="B67" s="8"/>
      <c r="C67" s="12"/>
      <c r="D67" s="12"/>
      <c r="E67" s="8"/>
      <c r="F67" s="8"/>
      <c r="G67" s="118"/>
      <c r="H67" s="8"/>
      <c r="I67" s="12"/>
      <c r="J67" s="12"/>
      <c r="K67" s="8"/>
      <c r="L67" s="8"/>
    </row>
    <row r="68" spans="1:12">
      <c r="B68" s="8"/>
      <c r="C68" s="8"/>
      <c r="D68" s="8"/>
      <c r="E68" s="8"/>
      <c r="F68" s="8"/>
      <c r="G68" s="118"/>
      <c r="H68" s="8"/>
      <c r="I68" s="8"/>
      <c r="J68" s="8"/>
      <c r="K68" s="8"/>
      <c r="L68" s="8"/>
    </row>
    <row r="69" spans="1:12">
      <c r="B69" s="52" t="s">
        <v>331</v>
      </c>
      <c r="C69" s="52" t="s">
        <v>321</v>
      </c>
      <c r="D69" s="52" t="s">
        <v>322</v>
      </c>
      <c r="E69" s="52" t="s">
        <v>320</v>
      </c>
      <c r="F69" s="8"/>
      <c r="G69" s="118"/>
      <c r="H69" s="52" t="s">
        <v>330</v>
      </c>
      <c r="I69" s="52" t="s">
        <v>321</v>
      </c>
      <c r="J69" s="52" t="s">
        <v>322</v>
      </c>
      <c r="K69" s="52" t="s">
        <v>320</v>
      </c>
      <c r="L69" s="8"/>
    </row>
    <row r="70" spans="1:12">
      <c r="A70" s="118">
        <v>1</v>
      </c>
      <c r="B70" s="54">
        <v>0</v>
      </c>
      <c r="C70" s="317">
        <v>30671940.117296368</v>
      </c>
      <c r="D70" s="317">
        <v>30671940.117296368</v>
      </c>
      <c r="E70" s="317">
        <f>IF(C70="","",ABS(D70-C70))</f>
        <v>0</v>
      </c>
      <c r="F70" s="8"/>
      <c r="G70" s="118">
        <v>1</v>
      </c>
      <c r="H70" s="54">
        <v>0</v>
      </c>
      <c r="I70" s="317">
        <v>30671940.117296368</v>
      </c>
      <c r="J70" s="317">
        <v>30671940.117296368</v>
      </c>
      <c r="K70" s="317">
        <f>IF(I70="","",ABS(J70-I70))</f>
        <v>0</v>
      </c>
      <c r="L70" s="8"/>
    </row>
    <row r="71" spans="1:12">
      <c r="A71" s="118">
        <v>2</v>
      </c>
      <c r="B71" s="54">
        <v>0</v>
      </c>
      <c r="C71" s="317">
        <v>30671940.117296368</v>
      </c>
      <c r="D71" s="317">
        <v>30671940.117296368</v>
      </c>
      <c r="E71" s="317">
        <f>IF(C71="","",ABS(D71-C71))</f>
        <v>0</v>
      </c>
      <c r="F71" s="8"/>
      <c r="G71" s="118">
        <v>2</v>
      </c>
      <c r="H71" s="54">
        <v>0</v>
      </c>
      <c r="I71" s="317">
        <v>30671940.117296368</v>
      </c>
      <c r="J71" s="317">
        <v>30671940.117296368</v>
      </c>
      <c r="K71" s="317">
        <f>IF(I71="","",ABS(J71-I71))</f>
        <v>0</v>
      </c>
      <c r="L71" s="8"/>
    </row>
    <row r="72" spans="1:12">
      <c r="A72" s="118">
        <v>3</v>
      </c>
      <c r="B72" s="54">
        <v>0</v>
      </c>
      <c r="C72" s="317">
        <v>30671940.117296368</v>
      </c>
      <c r="D72" s="317">
        <v>30671940.117296368</v>
      </c>
      <c r="E72" s="317">
        <f>IF(C72="","",ABS(D72-C72))</f>
        <v>0</v>
      </c>
      <c r="F72" s="8"/>
      <c r="G72" s="118">
        <v>3</v>
      </c>
      <c r="H72" s="54">
        <v>0</v>
      </c>
      <c r="I72" s="317">
        <v>30671940.117296368</v>
      </c>
      <c r="J72" s="317">
        <v>30671940.117296368</v>
      </c>
      <c r="K72" s="317">
        <f>IF(I72="","",ABS(J72-I72))</f>
        <v>0</v>
      </c>
      <c r="L72" s="8"/>
    </row>
    <row r="73" spans="1:12">
      <c r="A73" s="118">
        <v>4</v>
      </c>
      <c r="B73" s="54">
        <v>0</v>
      </c>
      <c r="C73" s="317">
        <v>30671940.117296368</v>
      </c>
      <c r="D73" s="317">
        <v>30671940.117296368</v>
      </c>
      <c r="E73" s="317">
        <f>IF(C73="","",ABS(D73-C73))</f>
        <v>0</v>
      </c>
      <c r="F73" s="8"/>
      <c r="G73" s="118">
        <v>4</v>
      </c>
      <c r="H73" s="54">
        <v>0</v>
      </c>
      <c r="I73" s="317">
        <v>30671940.117296368</v>
      </c>
      <c r="J73" s="317">
        <v>30671940.117296368</v>
      </c>
      <c r="K73" s="317">
        <f>IF(I73="","",ABS(J73-I73))</f>
        <v>0</v>
      </c>
      <c r="L73" s="8"/>
    </row>
    <row r="74" spans="1:12">
      <c r="A74" s="118">
        <v>5</v>
      </c>
      <c r="B74" s="54">
        <v>0</v>
      </c>
      <c r="C74" s="317">
        <v>30671940.117296368</v>
      </c>
      <c r="D74" s="317">
        <v>30671940.117296368</v>
      </c>
      <c r="E74" s="317">
        <f>IF(C74="","",ABS(D74-C74))</f>
        <v>0</v>
      </c>
      <c r="F74" s="8"/>
      <c r="G74" s="118">
        <v>5</v>
      </c>
      <c r="H74" s="54">
        <v>0</v>
      </c>
      <c r="I74" s="317">
        <v>30671940.117296368</v>
      </c>
      <c r="J74" s="317">
        <v>30671940.117296368</v>
      </c>
      <c r="K74" s="317">
        <f>IF(I74="","",ABS(J74-I74))</f>
        <v>0</v>
      </c>
      <c r="L74" s="8"/>
    </row>
    <row r="75" spans="1:12">
      <c r="A75" s="118">
        <v>6</v>
      </c>
      <c r="B75" s="54">
        <v>0</v>
      </c>
      <c r="C75" s="317">
        <v>30671940.117296368</v>
      </c>
      <c r="D75" s="317">
        <v>30671940.117296368</v>
      </c>
      <c r="E75" s="317">
        <f>IF(C75="","",ABS(D75-C75))</f>
        <v>0</v>
      </c>
      <c r="F75" s="8"/>
      <c r="G75" s="118">
        <v>6</v>
      </c>
      <c r="H75" s="54">
        <v>0</v>
      </c>
      <c r="I75" s="317">
        <v>30671940.117296368</v>
      </c>
      <c r="J75" s="317">
        <v>30671940.117296368</v>
      </c>
      <c r="K75" s="317">
        <f>IF(I75="","",ABS(J75-I75))</f>
        <v>0</v>
      </c>
      <c r="L75" s="8"/>
    </row>
    <row r="76" spans="1:12">
      <c r="A76" s="118">
        <v>7</v>
      </c>
      <c r="B76" s="54">
        <v>0</v>
      </c>
      <c r="C76" s="317">
        <v>30671940.117296368</v>
      </c>
      <c r="D76" s="317">
        <v>30671940.117296368</v>
      </c>
      <c r="E76" s="317">
        <f>IF(C76="","",ABS(D76-C76))</f>
        <v>0</v>
      </c>
      <c r="F76" s="8"/>
      <c r="G76" s="118">
        <v>7</v>
      </c>
      <c r="H76" s="54">
        <v>0</v>
      </c>
      <c r="I76" s="317">
        <v>30671940.117296368</v>
      </c>
      <c r="J76" s="317">
        <v>30671940.117296368</v>
      </c>
      <c r="K76" s="317">
        <f>IF(I76="","",ABS(J76-I76))</f>
        <v>0</v>
      </c>
      <c r="L76" s="8"/>
    </row>
    <row r="77" spans="1:12">
      <c r="A77" s="118">
        <v>8</v>
      </c>
      <c r="B77" s="54" t="s">
        <v>344</v>
      </c>
      <c r="C77" s="317">
        <v>30671940.117296368</v>
      </c>
      <c r="D77" s="317">
        <v>30671940.117296368</v>
      </c>
      <c r="E77" s="317">
        <f>IF(C77="","",ABS(D77-C77))</f>
        <v>0</v>
      </c>
      <c r="F77" s="8"/>
      <c r="G77" s="118">
        <v>8</v>
      </c>
      <c r="H77" s="54" t="s">
        <v>344</v>
      </c>
      <c r="I77" s="317">
        <v>30671940.117296368</v>
      </c>
      <c r="J77" s="317">
        <v>30671940.117296368</v>
      </c>
      <c r="K77" s="317">
        <f>IF(I77="","",ABS(J77-I77))</f>
        <v>0</v>
      </c>
      <c r="L77" s="8"/>
    </row>
    <row r="78" spans="1:12">
      <c r="A78" s="118">
        <v>9</v>
      </c>
      <c r="B78" s="54" t="s">
        <v>344</v>
      </c>
      <c r="C78" s="317">
        <v>30671940.117296368</v>
      </c>
      <c r="D78" s="317">
        <v>30671940.117296368</v>
      </c>
      <c r="E78" s="317">
        <f>IF(C78="","",ABS(D78-C78))</f>
        <v>0</v>
      </c>
      <c r="F78" s="8"/>
      <c r="G78" s="118">
        <v>9</v>
      </c>
      <c r="H78" s="54" t="s">
        <v>344</v>
      </c>
      <c r="I78" s="317">
        <v>30671940.117296368</v>
      </c>
      <c r="J78" s="317">
        <v>30671940.117296368</v>
      </c>
      <c r="K78" s="317">
        <f>IF(I78="","",ABS(J78-I78))</f>
        <v>0</v>
      </c>
      <c r="L78" s="8"/>
    </row>
    <row r="79" spans="1:12">
      <c r="A79" s="118">
        <v>10</v>
      </c>
      <c r="B79" s="54" t="s">
        <v>344</v>
      </c>
      <c r="C79" s="317">
        <v>30671940.117296368</v>
      </c>
      <c r="D79" s="317">
        <v>30671940.117296368</v>
      </c>
      <c r="E79" s="317">
        <f>IF(C79="","",ABS(D79-C79))</f>
        <v>0</v>
      </c>
      <c r="F79" s="8"/>
      <c r="G79" s="118">
        <v>10</v>
      </c>
      <c r="H79" s="54" t="s">
        <v>344</v>
      </c>
      <c r="I79" s="317">
        <v>30671940.117296368</v>
      </c>
      <c r="J79" s="317">
        <v>30671940.117296368</v>
      </c>
      <c r="K79" s="317">
        <f>IF(I79="","",ABS(J79-I79))</f>
        <v>0</v>
      </c>
      <c r="L79" s="8"/>
    </row>
    <row r="80" spans="1:12">
      <c r="A80" s="118">
        <v>11</v>
      </c>
      <c r="B80" s="54" t="s">
        <v>344</v>
      </c>
      <c r="C80" s="317">
        <v>30671940.117296368</v>
      </c>
      <c r="D80" s="317">
        <v>30671940.117296368</v>
      </c>
      <c r="E80" s="317">
        <f>IF(C80="","",ABS(D80-C80))</f>
        <v>0</v>
      </c>
      <c r="F80" s="8"/>
      <c r="G80" s="118">
        <v>11</v>
      </c>
      <c r="H80" s="54" t="s">
        <v>344</v>
      </c>
      <c r="I80" s="317">
        <v>30671940.117296368</v>
      </c>
      <c r="J80" s="317">
        <v>30671940.117296368</v>
      </c>
      <c r="K80" s="317">
        <f>IF(I80="","",ABS(J80-I80))</f>
        <v>0</v>
      </c>
      <c r="L80" s="8"/>
    </row>
    <row r="81" spans="1:12">
      <c r="A81" s="118">
        <v>12</v>
      </c>
      <c r="B81" s="54" t="s">
        <v>344</v>
      </c>
      <c r="C81" s="317">
        <v>30671940.117296368</v>
      </c>
      <c r="D81" s="317">
        <v>30671940.117296368</v>
      </c>
      <c r="E81" s="317">
        <f>IF(C81="","",ABS(D81-C81))</f>
        <v>0</v>
      </c>
      <c r="F81" s="8"/>
      <c r="G81" s="118">
        <v>12</v>
      </c>
      <c r="H81" s="54" t="s">
        <v>344</v>
      </c>
      <c r="I81" s="317">
        <v>30671940.117296368</v>
      </c>
      <c r="J81" s="317">
        <v>30671940.117296368</v>
      </c>
      <c r="K81" s="317">
        <f>IF(I81="","",ABS(J81-I81))</f>
        <v>0</v>
      </c>
      <c r="L81" s="8"/>
    </row>
    <row r="82" spans="1:12">
      <c r="A82" s="118">
        <v>13</v>
      </c>
      <c r="B82" s="54" t="s">
        <v>344</v>
      </c>
      <c r="C82" s="317">
        <v>30671940.117296368</v>
      </c>
      <c r="D82" s="317">
        <v>30671940.117296368</v>
      </c>
      <c r="E82" s="317">
        <f>IF(C82="","",ABS(D82-C82))</f>
        <v>0</v>
      </c>
      <c r="F82" s="8"/>
      <c r="G82" s="118">
        <v>13</v>
      </c>
      <c r="H82" s="54" t="s">
        <v>344</v>
      </c>
      <c r="I82" s="317">
        <v>30671940.117296368</v>
      </c>
      <c r="J82" s="317">
        <v>30671940.117296368</v>
      </c>
      <c r="K82" s="317">
        <f>IF(I82="","",ABS(J82-I82))</f>
        <v>0</v>
      </c>
      <c r="L82" s="8"/>
    </row>
    <row r="83" spans="1:12">
      <c r="A83" s="118">
        <v>14</v>
      </c>
      <c r="B83" s="54" t="s">
        <v>344</v>
      </c>
      <c r="C83" s="317">
        <v>30671940.117296368</v>
      </c>
      <c r="D83" s="317">
        <v>30671940.117296368</v>
      </c>
      <c r="E83" s="317">
        <f>IF(C83="","",ABS(D83-C83))</f>
        <v>0</v>
      </c>
      <c r="F83" s="8"/>
      <c r="G83" s="118">
        <v>14</v>
      </c>
      <c r="H83" s="54" t="s">
        <v>344</v>
      </c>
      <c r="I83" s="317">
        <v>30671940.117296368</v>
      </c>
      <c r="J83" s="317">
        <v>30671940.117296368</v>
      </c>
      <c r="K83" s="317">
        <f>IF(I83="","",ABS(J83-I83))</f>
        <v>0</v>
      </c>
      <c r="L83" s="8"/>
    </row>
    <row r="84" spans="1:12">
      <c r="A84" s="118">
        <v>15</v>
      </c>
      <c r="B84" s="54" t="s">
        <v>344</v>
      </c>
      <c r="C84" s="317">
        <v>30671940.117296368</v>
      </c>
      <c r="D84" s="317">
        <v>30671940.117296368</v>
      </c>
      <c r="E84" s="317">
        <f>IF(C84="","",ABS(D84-C84))</f>
        <v>0</v>
      </c>
      <c r="F84" s="8"/>
      <c r="G84" s="118">
        <v>15</v>
      </c>
      <c r="H84" s="54" t="s">
        <v>344</v>
      </c>
      <c r="I84" s="317">
        <v>30671940.117296368</v>
      </c>
      <c r="J84" s="317">
        <v>30671940.117296368</v>
      </c>
      <c r="K84" s="317">
        <f>IF(I84="","",ABS(J84-I84))</f>
        <v>0</v>
      </c>
      <c r="L84" s="8"/>
    </row>
    <row r="85" spans="1:12">
      <c r="A85" s="118">
        <v>16</v>
      </c>
      <c r="B85" s="54" t="s">
        <v>344</v>
      </c>
      <c r="C85" s="317">
        <v>30671940.117296368</v>
      </c>
      <c r="D85" s="317">
        <v>30671940.117296368</v>
      </c>
      <c r="E85" s="317">
        <f>IF(C85="","",ABS(D85-C85))</f>
        <v>0</v>
      </c>
      <c r="F85" s="8"/>
      <c r="G85" s="118">
        <v>16</v>
      </c>
      <c r="H85" s="54" t="s">
        <v>344</v>
      </c>
      <c r="I85" s="317">
        <v>30671940.117296368</v>
      </c>
      <c r="J85" s="317">
        <v>30671940.117296368</v>
      </c>
      <c r="K85" s="317">
        <f>IF(I85="","",ABS(J85-I85))</f>
        <v>0</v>
      </c>
      <c r="L85" s="8"/>
    </row>
    <row r="86" spans="1:12">
      <c r="A86" s="118">
        <v>17</v>
      </c>
      <c r="B86" s="54" t="s">
        <v>344</v>
      </c>
      <c r="C86" s="317">
        <v>30671940.117296368</v>
      </c>
      <c r="D86" s="317">
        <v>30671940.117296368</v>
      </c>
      <c r="E86" s="317">
        <f>IF(C86="","",ABS(D86-C86))</f>
        <v>0</v>
      </c>
      <c r="F86" s="8"/>
      <c r="G86" s="118">
        <v>17</v>
      </c>
      <c r="H86" s="54" t="s">
        <v>344</v>
      </c>
      <c r="I86" s="317">
        <v>30671940.117296368</v>
      </c>
      <c r="J86" s="317">
        <v>30671940.117296368</v>
      </c>
      <c r="K86" s="317">
        <f>IF(I86="","",ABS(J86-I86))</f>
        <v>0</v>
      </c>
      <c r="L86" s="8"/>
    </row>
    <row r="87" spans="1:12">
      <c r="A87" s="118">
        <v>18</v>
      </c>
      <c r="B87" s="54" t="s">
        <v>344</v>
      </c>
      <c r="C87" s="317">
        <v>30671940.117296368</v>
      </c>
      <c r="D87" s="317">
        <v>30671940.117296368</v>
      </c>
      <c r="E87" s="317">
        <f>IF(C87="","",ABS(D87-C87))</f>
        <v>0</v>
      </c>
      <c r="F87" s="8"/>
      <c r="G87" s="118">
        <v>18</v>
      </c>
      <c r="H87" s="54" t="s">
        <v>344</v>
      </c>
      <c r="I87" s="317">
        <v>30671940.117296368</v>
      </c>
      <c r="J87" s="317">
        <v>30671940.117296368</v>
      </c>
      <c r="K87" s="317">
        <f>IF(I87="","",ABS(J87-I87))</f>
        <v>0</v>
      </c>
      <c r="L87" s="8"/>
    </row>
    <row r="88" spans="1:12">
      <c r="A88" s="118">
        <v>19</v>
      </c>
      <c r="B88" s="54" t="s">
        <v>344</v>
      </c>
      <c r="C88" s="317">
        <v>30671940.117296368</v>
      </c>
      <c r="D88" s="317">
        <v>30671940.117296368</v>
      </c>
      <c r="E88" s="317">
        <f>IF(C88="","",ABS(D88-C88))</f>
        <v>0</v>
      </c>
      <c r="F88" s="8"/>
      <c r="G88" s="118">
        <v>19</v>
      </c>
      <c r="H88" s="54" t="s">
        <v>344</v>
      </c>
      <c r="I88" s="317">
        <v>30671940.117296368</v>
      </c>
      <c r="J88" s="317">
        <v>30671940.117296368</v>
      </c>
      <c r="K88" s="317">
        <f>IF(I88="","",ABS(J88-I88))</f>
        <v>0</v>
      </c>
      <c r="L88" s="8"/>
    </row>
    <row r="89" spans="1:12">
      <c r="A89" s="118">
        <v>20</v>
      </c>
      <c r="B89" s="54" t="s">
        <v>366</v>
      </c>
      <c r="C89" s="317">
        <v>30671940.117296368</v>
      </c>
      <c r="D89" s="317">
        <v>30671940.117296368</v>
      </c>
      <c r="E89" s="317">
        <f>IF(C89="","",ABS(D89-C89))</f>
        <v>0</v>
      </c>
      <c r="F89" s="8"/>
      <c r="G89" s="118">
        <v>20</v>
      </c>
      <c r="H89" s="54" t="s">
        <v>366</v>
      </c>
      <c r="I89" s="317">
        <v>30671940.117296368</v>
      </c>
      <c r="J89" s="317">
        <v>30671940.117296368</v>
      </c>
      <c r="K89" s="317">
        <f>IF(I89="","",ABS(J89-I89))</f>
        <v>0</v>
      </c>
      <c r="L89" s="8"/>
    </row>
    <row r="90" spans="1:12">
      <c r="A90" s="118">
        <v>21</v>
      </c>
      <c r="B90" s="54" t="s">
        <v>345</v>
      </c>
      <c r="C90" s="317">
        <v>30671940.117296368</v>
      </c>
      <c r="D90" s="317">
        <v>30671940.117296368</v>
      </c>
      <c r="E90" s="317">
        <f>IF(C90="","",ABS(D90-C90))</f>
        <v>0</v>
      </c>
      <c r="F90" s="8"/>
      <c r="G90" s="118">
        <v>21</v>
      </c>
      <c r="H90" s="54" t="s">
        <v>345</v>
      </c>
      <c r="I90" s="317">
        <v>30671940.117296368</v>
      </c>
      <c r="J90" s="317">
        <v>30671940.117296368</v>
      </c>
      <c r="K90" s="317">
        <f>IF(I90="","",ABS(J90-I90))</f>
        <v>0</v>
      </c>
      <c r="L90" s="8"/>
    </row>
    <row r="91" spans="1:12">
      <c r="A91" s="118">
        <v>22</v>
      </c>
      <c r="B91" s="54" t="s">
        <v>345</v>
      </c>
      <c r="C91" s="317">
        <v>30671940.117296368</v>
      </c>
      <c r="D91" s="317">
        <v>30671940.117296368</v>
      </c>
      <c r="E91" s="317">
        <f>IF(C91="","",ABS(D91-C91))</f>
        <v>0</v>
      </c>
      <c r="F91" s="8"/>
      <c r="G91" s="118">
        <v>22</v>
      </c>
      <c r="H91" s="54" t="s">
        <v>345</v>
      </c>
      <c r="I91" s="317">
        <v>30671940.117296368</v>
      </c>
      <c r="J91" s="317">
        <v>30671940.117296368</v>
      </c>
      <c r="K91" s="317">
        <f>IF(I91="","",ABS(J91-I91))</f>
        <v>0</v>
      </c>
      <c r="L91" s="8"/>
    </row>
    <row r="92" spans="1:12">
      <c r="A92" s="118">
        <v>23</v>
      </c>
      <c r="B92" s="54" t="s">
        <v>345</v>
      </c>
      <c r="C92" s="317">
        <v>30671940.117296368</v>
      </c>
      <c r="D92" s="317">
        <v>30671940.117296368</v>
      </c>
      <c r="E92" s="317">
        <f>IF(C92="","",ABS(D92-C92))</f>
        <v>0</v>
      </c>
      <c r="F92" s="8"/>
      <c r="G92" s="118">
        <v>23</v>
      </c>
      <c r="H92" s="54" t="s">
        <v>345</v>
      </c>
      <c r="I92" s="317">
        <v>30671940.117296368</v>
      </c>
      <c r="J92" s="317">
        <v>30671940.117296368</v>
      </c>
      <c r="K92" s="317">
        <f>IF(I92="","",ABS(J92-I92))</f>
        <v>0</v>
      </c>
      <c r="L92" s="8"/>
    </row>
    <row r="93" spans="1:12">
      <c r="A93" s="118">
        <v>24</v>
      </c>
      <c r="B93" s="54" t="s">
        <v>367</v>
      </c>
      <c r="C93" s="317">
        <v>30671940.117296368</v>
      </c>
      <c r="D93" s="317">
        <v>30671940.117296368</v>
      </c>
      <c r="E93" s="317">
        <f>IF(C93="","",ABS(D93-C93))</f>
        <v>0</v>
      </c>
      <c r="F93" s="8"/>
      <c r="G93" s="118">
        <v>24</v>
      </c>
      <c r="H93" s="54" t="s">
        <v>367</v>
      </c>
      <c r="I93" s="317">
        <v>30671940.117296368</v>
      </c>
      <c r="J93" s="317">
        <v>30671940.117296368</v>
      </c>
      <c r="K93" s="317">
        <f>IF(I93="","",ABS(J93-I93))</f>
        <v>0</v>
      </c>
      <c r="L93" s="8"/>
    </row>
    <row r="94" spans="1:12">
      <c r="A94" s="118">
        <v>25</v>
      </c>
      <c r="B94" s="54" t="s">
        <v>345</v>
      </c>
      <c r="C94" s="317">
        <v>30671940.117296368</v>
      </c>
      <c r="D94" s="317">
        <v>30671940.117296368</v>
      </c>
      <c r="E94" s="317">
        <f>IF(C94="","",ABS(D94-C94))</f>
        <v>0</v>
      </c>
      <c r="F94" s="8"/>
      <c r="G94" s="118">
        <v>25</v>
      </c>
      <c r="H94" s="54" t="s">
        <v>345</v>
      </c>
      <c r="I94" s="317">
        <v>30671940.117296368</v>
      </c>
      <c r="J94" s="317">
        <v>30671940.117296368</v>
      </c>
      <c r="K94" s="317">
        <f>IF(I94="","",ABS(J94-I94))</f>
        <v>0</v>
      </c>
      <c r="L94" s="8"/>
    </row>
    <row r="95" spans="1:12">
      <c r="A95" s="118">
        <v>26</v>
      </c>
      <c r="B95" s="54" t="s">
        <v>345</v>
      </c>
      <c r="C95" s="317">
        <v>30671940.117296368</v>
      </c>
      <c r="D95" s="317">
        <v>30671940.117296368</v>
      </c>
      <c r="E95" s="317">
        <f>IF(C95="","",ABS(D95-C95))</f>
        <v>0</v>
      </c>
      <c r="F95" s="8"/>
      <c r="G95" s="118">
        <v>26</v>
      </c>
      <c r="H95" s="54" t="s">
        <v>345</v>
      </c>
      <c r="I95" s="317">
        <v>30671940.117296368</v>
      </c>
      <c r="J95" s="317">
        <v>30671940.117296368</v>
      </c>
      <c r="K95" s="317">
        <f>IF(I95="","",ABS(J95-I95))</f>
        <v>0</v>
      </c>
      <c r="L95" s="8"/>
    </row>
    <row r="96" spans="1:12">
      <c r="A96" s="118">
        <v>27</v>
      </c>
      <c r="B96" s="54" t="s">
        <v>345</v>
      </c>
      <c r="C96" s="317">
        <v>30671940.117296368</v>
      </c>
      <c r="D96" s="317">
        <v>30671940.117296368</v>
      </c>
      <c r="E96" s="317">
        <f>IF(C96="","",ABS(D96-C96))</f>
        <v>0</v>
      </c>
      <c r="F96" s="8"/>
      <c r="G96" s="118">
        <v>27</v>
      </c>
      <c r="H96" s="54" t="s">
        <v>345</v>
      </c>
      <c r="I96" s="317">
        <v>30671940.117296368</v>
      </c>
      <c r="J96" s="317">
        <v>30671940.117296368</v>
      </c>
      <c r="K96" s="317">
        <f>IF(I96="","",ABS(J96-I96))</f>
        <v>0</v>
      </c>
      <c r="L96" s="8"/>
    </row>
    <row r="97" spans="1:12">
      <c r="A97" s="118">
        <v>28</v>
      </c>
      <c r="B97" s="54" t="s">
        <v>345</v>
      </c>
      <c r="C97" s="317">
        <v>30671940.117296368</v>
      </c>
      <c r="D97" s="317">
        <v>30671940.117296368</v>
      </c>
      <c r="E97" s="317">
        <f>IF(C97="","",ABS(D97-C97))</f>
        <v>0</v>
      </c>
      <c r="F97" s="8"/>
      <c r="G97" s="118">
        <v>28</v>
      </c>
      <c r="H97" s="54" t="s">
        <v>345</v>
      </c>
      <c r="I97" s="317">
        <v>30671940.117296368</v>
      </c>
      <c r="J97" s="317">
        <v>30671940.117296368</v>
      </c>
      <c r="K97" s="317">
        <f>IF(I97="","",ABS(J97-I97))</f>
        <v>0</v>
      </c>
      <c r="L97" s="8"/>
    </row>
    <row r="98" spans="1:12">
      <c r="A98" s="118">
        <v>29</v>
      </c>
      <c r="B98" s="54" t="s">
        <v>345</v>
      </c>
      <c r="C98" s="317">
        <v>30671940.117296368</v>
      </c>
      <c r="D98" s="317">
        <v>30671940.117296368</v>
      </c>
      <c r="E98" s="317">
        <f>IF(C98="","",ABS(D98-C98))</f>
        <v>0</v>
      </c>
      <c r="F98" s="8"/>
      <c r="G98" s="118">
        <v>29</v>
      </c>
      <c r="H98" s="54" t="s">
        <v>345</v>
      </c>
      <c r="I98" s="317">
        <v>30671940.117296368</v>
      </c>
      <c r="J98" s="317">
        <v>30671940.117296368</v>
      </c>
      <c r="K98" s="317">
        <f>IF(I98="","",ABS(J98-I98))</f>
        <v>0</v>
      </c>
      <c r="L98" s="8"/>
    </row>
    <row r="99" spans="1:12">
      <c r="A99" s="118">
        <v>30</v>
      </c>
      <c r="B99" s="54" t="s">
        <v>345</v>
      </c>
      <c r="C99" s="317">
        <v>30671940.117296368</v>
      </c>
      <c r="D99" s="317">
        <v>30671940.117296368</v>
      </c>
      <c r="E99" s="317">
        <f>IF(C99="","",ABS(D99-C99))</f>
        <v>0</v>
      </c>
      <c r="F99" s="8"/>
      <c r="G99" s="118">
        <v>30</v>
      </c>
      <c r="H99" s="54" t="s">
        <v>345</v>
      </c>
      <c r="I99" s="317">
        <v>30671940.117296368</v>
      </c>
      <c r="J99" s="317">
        <v>30671940.117296368</v>
      </c>
      <c r="K99" s="317">
        <f>IF(I99="","",ABS(J99-I99))</f>
        <v>0</v>
      </c>
      <c r="L99" s="8"/>
    </row>
    <row r="100" spans="1:12">
      <c r="A100" s="118">
        <v>31</v>
      </c>
      <c r="B100" s="54" t="s">
        <v>345</v>
      </c>
      <c r="C100" s="317">
        <v>30671940.117296368</v>
      </c>
      <c r="D100" s="317">
        <v>30671940.117296368</v>
      </c>
      <c r="E100" s="317">
        <f>IF(C100="","",ABS(D100-C100))</f>
        <v>0</v>
      </c>
      <c r="F100" s="8"/>
      <c r="G100" s="118">
        <v>31</v>
      </c>
      <c r="H100" s="54" t="s">
        <v>345</v>
      </c>
      <c r="I100" s="317">
        <v>30671940.117296368</v>
      </c>
      <c r="J100" s="317">
        <v>30671940.117296368</v>
      </c>
      <c r="K100" s="317">
        <f>IF(I100="","",ABS(J100-I100))</f>
        <v>0</v>
      </c>
      <c r="L100" s="8"/>
    </row>
    <row r="101" spans="1:12">
      <c r="A101" s="118">
        <v>32</v>
      </c>
      <c r="B101" s="54" t="s">
        <v>345</v>
      </c>
      <c r="C101" s="317">
        <v>30671940.117296368</v>
      </c>
      <c r="D101" s="317">
        <v>30671940.117296368</v>
      </c>
      <c r="E101" s="317">
        <f>IF(C101="","",ABS(D101-C101))</f>
        <v>0</v>
      </c>
      <c r="F101" s="8"/>
      <c r="G101" s="118">
        <v>32</v>
      </c>
      <c r="H101" s="54" t="s">
        <v>345</v>
      </c>
      <c r="I101" s="317">
        <v>30671940.117296368</v>
      </c>
      <c r="J101" s="317">
        <v>30671940.117296368</v>
      </c>
      <c r="K101" s="317">
        <f>IF(I101="","",ABS(J101-I101))</f>
        <v>0</v>
      </c>
      <c r="L101" s="8"/>
    </row>
    <row r="102" spans="1:12">
      <c r="A102" s="118">
        <v>33</v>
      </c>
      <c r="B102" s="54" t="s">
        <v>345</v>
      </c>
      <c r="C102" s="317">
        <v>30671940.117296368</v>
      </c>
      <c r="D102" s="317">
        <v>30671940.117296368</v>
      </c>
      <c r="E102" s="317">
        <f>IF(C102="","",ABS(D102-C102))</f>
        <v>0</v>
      </c>
      <c r="F102" s="8"/>
      <c r="G102" s="118">
        <v>33</v>
      </c>
      <c r="H102" s="54" t="s">
        <v>345</v>
      </c>
      <c r="I102" s="317">
        <v>30671940.117296368</v>
      </c>
      <c r="J102" s="317">
        <v>30671940.117296368</v>
      </c>
      <c r="K102" s="317">
        <f>IF(I102="","",ABS(J102-I102))</f>
        <v>0</v>
      </c>
      <c r="L102" s="8"/>
    </row>
    <row r="103" spans="1:12">
      <c r="A103" s="118">
        <v>34</v>
      </c>
      <c r="B103" s="54" t="s">
        <v>368</v>
      </c>
      <c r="C103" s="317">
        <v>30671940.117296368</v>
      </c>
      <c r="D103" s="317">
        <v>30671940.117296368</v>
      </c>
      <c r="E103" s="317">
        <f>IF(C103="","",ABS(D103-C103))</f>
        <v>0</v>
      </c>
      <c r="F103" s="8"/>
      <c r="G103" s="118">
        <v>34</v>
      </c>
      <c r="H103" s="54" t="s">
        <v>368</v>
      </c>
      <c r="I103" s="317">
        <v>30671940.117296368</v>
      </c>
      <c r="J103" s="317">
        <v>30671940.117296368</v>
      </c>
      <c r="K103" s="317">
        <f>IF(I103="","",ABS(J103-I103))</f>
        <v>0</v>
      </c>
      <c r="L103" s="8"/>
    </row>
    <row r="104" spans="1:12">
      <c r="A104" s="118">
        <v>35</v>
      </c>
      <c r="B104" s="54" t="s">
        <v>346</v>
      </c>
      <c r="C104" s="317">
        <v>30671940.117296368</v>
      </c>
      <c r="D104" s="317">
        <v>30671940.117296368</v>
      </c>
      <c r="E104" s="317">
        <f>IF(C104="","",ABS(D104-C104))</f>
        <v>0</v>
      </c>
      <c r="F104" s="8"/>
      <c r="G104" s="118">
        <v>35</v>
      </c>
      <c r="H104" s="54" t="s">
        <v>346</v>
      </c>
      <c r="I104" s="317">
        <v>30671940.117296368</v>
      </c>
      <c r="J104" s="317">
        <v>30671940.117296368</v>
      </c>
      <c r="K104" s="317">
        <f>IF(I104="","",ABS(J104-I104))</f>
        <v>0</v>
      </c>
      <c r="L104" s="8"/>
    </row>
    <row r="105" spans="1:12">
      <c r="A105" s="118">
        <v>36</v>
      </c>
      <c r="B105" s="54" t="s">
        <v>346</v>
      </c>
      <c r="C105" s="317">
        <v>30671940.117296368</v>
      </c>
      <c r="D105" s="317">
        <v>30671940.117296368</v>
      </c>
      <c r="E105" s="317">
        <f>IF(C105="","",ABS(D105-C105))</f>
        <v>0</v>
      </c>
      <c r="F105" s="8"/>
      <c r="G105" s="118">
        <v>36</v>
      </c>
      <c r="H105" s="54" t="s">
        <v>346</v>
      </c>
      <c r="I105" s="317">
        <v>30671940.117296368</v>
      </c>
      <c r="J105" s="317">
        <v>30671940.117296368</v>
      </c>
      <c r="K105" s="317">
        <f>IF(I105="","",ABS(J105-I105))</f>
        <v>0</v>
      </c>
      <c r="L105" s="8"/>
    </row>
    <row r="106" spans="1:12">
      <c r="A106" s="118">
        <v>37</v>
      </c>
      <c r="B106" s="54" t="s">
        <v>346</v>
      </c>
      <c r="C106" s="317">
        <v>30671940.117296368</v>
      </c>
      <c r="D106" s="317">
        <v>30671940.117296368</v>
      </c>
      <c r="E106" s="317">
        <f>IF(C106="","",ABS(D106-C106))</f>
        <v>0</v>
      </c>
      <c r="F106" s="8"/>
      <c r="G106" s="118">
        <v>37</v>
      </c>
      <c r="H106" s="54" t="s">
        <v>346</v>
      </c>
      <c r="I106" s="317">
        <v>30671940.117296368</v>
      </c>
      <c r="J106" s="317">
        <v>30671940.117296368</v>
      </c>
      <c r="K106" s="317">
        <f>IF(I106="","",ABS(J106-I106))</f>
        <v>0</v>
      </c>
      <c r="L106" s="8"/>
    </row>
    <row r="107" spans="1:12">
      <c r="A107" s="118">
        <v>38</v>
      </c>
      <c r="B107" s="54" t="s">
        <v>369</v>
      </c>
      <c r="C107" s="317">
        <v>30671940.117296368</v>
      </c>
      <c r="D107" s="317">
        <v>30671940.117296368</v>
      </c>
      <c r="E107" s="317">
        <f>IF(C107="","",ABS(D107-C107))</f>
        <v>0</v>
      </c>
      <c r="F107" s="8"/>
      <c r="G107" s="118">
        <v>38</v>
      </c>
      <c r="H107" s="54" t="s">
        <v>369</v>
      </c>
      <c r="I107" s="317">
        <v>30671940.117296368</v>
      </c>
      <c r="J107" s="317">
        <v>30671940.117296368</v>
      </c>
      <c r="K107" s="317">
        <f>IF(I107="","",ABS(J107-I107))</f>
        <v>0</v>
      </c>
      <c r="L107" s="8"/>
    </row>
    <row r="108" spans="1:12">
      <c r="A108" s="118">
        <v>39</v>
      </c>
      <c r="B108" s="54" t="s">
        <v>346</v>
      </c>
      <c r="C108" s="317">
        <v>30671940.117296368</v>
      </c>
      <c r="D108" s="317">
        <v>30671940.117296368</v>
      </c>
      <c r="E108" s="317">
        <f>IF(C108="","",ABS(D108-C108))</f>
        <v>0</v>
      </c>
      <c r="F108" s="8"/>
      <c r="G108" s="118">
        <v>39</v>
      </c>
      <c r="H108" s="54" t="s">
        <v>346</v>
      </c>
      <c r="I108" s="317">
        <v>30671940.117296368</v>
      </c>
      <c r="J108" s="317">
        <v>30671940.117296368</v>
      </c>
      <c r="K108" s="317">
        <f>IF(I108="","",ABS(J108-I108))</f>
        <v>0</v>
      </c>
      <c r="L108" s="8"/>
    </row>
    <row r="109" spans="1:12">
      <c r="A109" s="118">
        <v>40</v>
      </c>
      <c r="B109" s="54" t="s">
        <v>346</v>
      </c>
      <c r="C109" s="317">
        <v>30671940.117296368</v>
      </c>
      <c r="D109" s="317">
        <v>30671940.117296368</v>
      </c>
      <c r="E109" s="317">
        <f>IF(C109="","",ABS(D109-C109))</f>
        <v>0</v>
      </c>
      <c r="F109" s="8"/>
      <c r="G109" s="118">
        <v>40</v>
      </c>
      <c r="H109" s="54" t="s">
        <v>346</v>
      </c>
      <c r="I109" s="317">
        <v>30671940.117296368</v>
      </c>
      <c r="J109" s="317">
        <v>30671940.117296368</v>
      </c>
      <c r="K109" s="317">
        <f>IF(I109="","",ABS(J109-I109))</f>
        <v>0</v>
      </c>
      <c r="L109" s="8"/>
    </row>
    <row r="110" spans="1:12">
      <c r="A110" s="118">
        <v>41</v>
      </c>
      <c r="B110" s="54" t="s">
        <v>346</v>
      </c>
      <c r="C110" s="317">
        <v>30671940.117296368</v>
      </c>
      <c r="D110" s="317">
        <v>30671940.117296368</v>
      </c>
      <c r="E110" s="317">
        <f>IF(C110="","",ABS(D110-C110))</f>
        <v>0</v>
      </c>
      <c r="F110" s="8"/>
      <c r="G110" s="118">
        <v>41</v>
      </c>
      <c r="H110" s="54" t="s">
        <v>346</v>
      </c>
      <c r="I110" s="317">
        <v>30671940.117296368</v>
      </c>
      <c r="J110" s="317">
        <v>30671940.117296368</v>
      </c>
      <c r="K110" s="317">
        <f>IF(I110="","",ABS(J110-I110))</f>
        <v>0</v>
      </c>
      <c r="L110" s="8"/>
    </row>
    <row r="111" spans="1:12">
      <c r="A111" s="118">
        <v>42</v>
      </c>
      <c r="B111" s="54" t="s">
        <v>346</v>
      </c>
      <c r="C111" s="317">
        <v>30671940.117296368</v>
      </c>
      <c r="D111" s="317">
        <v>30671940.117296368</v>
      </c>
      <c r="E111" s="317">
        <f>IF(C111="","",ABS(D111-C111))</f>
        <v>0</v>
      </c>
      <c r="F111" s="8"/>
      <c r="G111" s="118">
        <v>42</v>
      </c>
      <c r="H111" s="54" t="s">
        <v>346</v>
      </c>
      <c r="I111" s="317">
        <v>30671940.117296368</v>
      </c>
      <c r="J111" s="317">
        <v>30671940.117296368</v>
      </c>
      <c r="K111" s="317">
        <f>IF(I111="","",ABS(J111-I111))</f>
        <v>0</v>
      </c>
      <c r="L111" s="8"/>
    </row>
    <row r="112" spans="1:12">
      <c r="A112" s="118">
        <v>43</v>
      </c>
      <c r="B112" s="54" t="s">
        <v>346</v>
      </c>
      <c r="C112" s="317">
        <v>30671940.117296368</v>
      </c>
      <c r="D112" s="317">
        <v>30671940.117296368</v>
      </c>
      <c r="E112" s="317">
        <f>IF(C112="","",ABS(D112-C112))</f>
        <v>0</v>
      </c>
      <c r="F112" s="8"/>
      <c r="G112" s="118">
        <v>43</v>
      </c>
      <c r="H112" s="54" t="s">
        <v>346</v>
      </c>
      <c r="I112" s="317">
        <v>30671940.117296368</v>
      </c>
      <c r="J112" s="317">
        <v>30671940.117296368</v>
      </c>
      <c r="K112" s="317">
        <f>IF(I112="","",ABS(J112-I112))</f>
        <v>0</v>
      </c>
      <c r="L112" s="8"/>
    </row>
    <row r="113" spans="1:12">
      <c r="A113" s="118">
        <v>44</v>
      </c>
      <c r="B113" s="54" t="s">
        <v>346</v>
      </c>
      <c r="C113" s="317">
        <v>30671940.117296368</v>
      </c>
      <c r="D113" s="317">
        <v>30671940.117296368</v>
      </c>
      <c r="E113" s="317">
        <f>IF(C113="","",ABS(D113-C113))</f>
        <v>0</v>
      </c>
      <c r="F113" s="8"/>
      <c r="G113" s="118">
        <v>44</v>
      </c>
      <c r="H113" s="54" t="s">
        <v>346</v>
      </c>
      <c r="I113" s="317">
        <v>30671940.117296368</v>
      </c>
      <c r="J113" s="317">
        <v>30671940.117296368</v>
      </c>
      <c r="K113" s="317">
        <f>IF(I113="","",ABS(J113-I113))</f>
        <v>0</v>
      </c>
      <c r="L113" s="8"/>
    </row>
    <row r="114" spans="1:12">
      <c r="A114" s="118">
        <v>45</v>
      </c>
      <c r="B114" s="54" t="s">
        <v>346</v>
      </c>
      <c r="C114" s="317">
        <v>30671940.117296368</v>
      </c>
      <c r="D114" s="317">
        <v>30671940.117296368</v>
      </c>
      <c r="E114" s="317">
        <f>IF(C114="","",ABS(D114-C114))</f>
        <v>0</v>
      </c>
      <c r="F114" s="8"/>
      <c r="G114" s="118">
        <v>45</v>
      </c>
      <c r="H114" s="54" t="s">
        <v>346</v>
      </c>
      <c r="I114" s="317">
        <v>30671940.117296368</v>
      </c>
      <c r="J114" s="317">
        <v>30671940.117296368</v>
      </c>
      <c r="K114" s="317">
        <f>IF(I114="","",ABS(J114-I114))</f>
        <v>0</v>
      </c>
      <c r="L114" s="8"/>
    </row>
    <row r="115" spans="1:12">
      <c r="A115" s="118">
        <v>46</v>
      </c>
      <c r="B115" s="54" t="s">
        <v>346</v>
      </c>
      <c r="C115" s="317">
        <v>30671940.117296368</v>
      </c>
      <c r="D115" s="317">
        <v>30671940.117296368</v>
      </c>
      <c r="E115" s="317">
        <f>IF(C115="","",ABS(D115-C115))</f>
        <v>0</v>
      </c>
      <c r="F115" s="8"/>
      <c r="G115" s="118">
        <v>46</v>
      </c>
      <c r="H115" s="54" t="s">
        <v>346</v>
      </c>
      <c r="I115" s="317">
        <v>30671940.117296368</v>
      </c>
      <c r="J115" s="317">
        <v>30671940.117296368</v>
      </c>
      <c r="K115" s="317">
        <f>IF(I115="","",ABS(J115-I115))</f>
        <v>0</v>
      </c>
      <c r="L115" s="8"/>
    </row>
    <row r="116" spans="1:12">
      <c r="A116" s="118">
        <v>47</v>
      </c>
      <c r="B116" s="54" t="s">
        <v>346</v>
      </c>
      <c r="C116" s="317">
        <v>30671940.117296368</v>
      </c>
      <c r="D116" s="317">
        <v>30671940.117296368</v>
      </c>
      <c r="E116" s="317">
        <f>IF(C116="","",ABS(D116-C116))</f>
        <v>0</v>
      </c>
      <c r="F116" s="8"/>
      <c r="G116" s="118">
        <v>47</v>
      </c>
      <c r="H116" s="54" t="s">
        <v>346</v>
      </c>
      <c r="I116" s="317">
        <v>30671940.117296368</v>
      </c>
      <c r="J116" s="317">
        <v>30671940.117296368</v>
      </c>
      <c r="K116" s="317">
        <f>IF(I116="","",ABS(J116-I116))</f>
        <v>0</v>
      </c>
      <c r="L116" s="8"/>
    </row>
    <row r="117" spans="1:12">
      <c r="A117" s="118">
        <v>48</v>
      </c>
      <c r="B117" s="54" t="s">
        <v>230</v>
      </c>
      <c r="C117" s="317">
        <v>30671940.117296368</v>
      </c>
      <c r="D117" s="317">
        <v>30671940.117296368</v>
      </c>
      <c r="E117" s="317">
        <f>IF(C117="","",ABS(D117-C117))</f>
        <v>0</v>
      </c>
      <c r="F117" s="8"/>
      <c r="G117" s="118">
        <v>48</v>
      </c>
      <c r="H117" s="54" t="s">
        <v>230</v>
      </c>
      <c r="I117" s="317">
        <v>30671940.117296368</v>
      </c>
      <c r="J117" s="317">
        <v>30671940.117296368</v>
      </c>
      <c r="K117" s="317">
        <f>IF(I117="","",ABS(J117-I117))</f>
        <v>0</v>
      </c>
      <c r="L117" s="8"/>
    </row>
    <row r="118" spans="1:12">
      <c r="A118" s="118">
        <v>49</v>
      </c>
      <c r="B118" s="54" t="s">
        <v>232</v>
      </c>
      <c r="C118" s="317">
        <v>30671940.117296368</v>
      </c>
      <c r="D118" s="317">
        <v>30671940.117296368</v>
      </c>
      <c r="E118" s="317">
        <f>IF(C118="","",ABS(D118-C118))</f>
        <v>0</v>
      </c>
      <c r="F118" s="8"/>
      <c r="G118" s="118">
        <v>49</v>
      </c>
      <c r="H118" s="54" t="s">
        <v>232</v>
      </c>
      <c r="I118" s="317">
        <v>30671940.117296368</v>
      </c>
      <c r="J118" s="317">
        <v>30671940.117296368</v>
      </c>
      <c r="K118" s="317">
        <f>IF(I118="","",ABS(J118-I118))</f>
        <v>0</v>
      </c>
      <c r="L118" s="8"/>
    </row>
    <row r="119" spans="1:12">
      <c r="A119" s="118">
        <v>50</v>
      </c>
      <c r="B119" s="54" t="s">
        <v>233</v>
      </c>
      <c r="C119" s="317">
        <v>30671940.117296368</v>
      </c>
      <c r="D119" s="317">
        <v>30671940.117296368</v>
      </c>
      <c r="E119" s="317">
        <f>IF(C119="","",ABS(D119-C119))</f>
        <v>0</v>
      </c>
      <c r="F119" s="8"/>
      <c r="G119" s="118">
        <v>50</v>
      </c>
      <c r="H119" s="54" t="s">
        <v>233</v>
      </c>
      <c r="I119" s="317">
        <v>30671940.117296368</v>
      </c>
      <c r="J119" s="317">
        <v>30671940.117296368</v>
      </c>
      <c r="K119" s="317">
        <f>IF(I119="","",ABS(J119-I119))</f>
        <v>0</v>
      </c>
      <c r="L119" s="8"/>
    </row>
    <row r="120" spans="1:12">
      <c r="A120" s="118">
        <v>51</v>
      </c>
      <c r="B120" s="54" t="s">
        <v>365</v>
      </c>
      <c r="C120" s="317">
        <v>34231147.331072807</v>
      </c>
      <c r="D120" s="317">
        <v>27112732.903519928</v>
      </c>
      <c r="E120" s="317">
        <f>IF(C120="","",ABS(D120-C120))</f>
        <v>7118414.4275528789</v>
      </c>
      <c r="F120" s="8"/>
      <c r="G120" s="118">
        <v>51</v>
      </c>
      <c r="H120" s="54" t="s">
        <v>365</v>
      </c>
      <c r="I120" s="317">
        <v>34231147.331072807</v>
      </c>
      <c r="J120" s="317">
        <v>27112732.903519928</v>
      </c>
      <c r="K120" s="317">
        <f>IF(I120="","",ABS(J120-I120))</f>
        <v>7118414.4275528789</v>
      </c>
      <c r="L120" s="8"/>
    </row>
    <row r="121" spans="1:12">
      <c r="A121" s="118">
        <v>52</v>
      </c>
      <c r="B121" s="54" t="s">
        <v>356</v>
      </c>
      <c r="C121" s="317">
        <v>24537552.093837097</v>
      </c>
      <c r="D121" s="317">
        <v>36806328.140755631</v>
      </c>
      <c r="E121" s="317">
        <f>IF(C121="","",ABS(D121-C121))</f>
        <v>12268776.046918534</v>
      </c>
      <c r="F121" s="8"/>
      <c r="G121" s="118">
        <v>52</v>
      </c>
      <c r="H121" s="54" t="s">
        <v>356</v>
      </c>
      <c r="I121" s="317">
        <v>24537552.093837097</v>
      </c>
      <c r="J121" s="317">
        <v>36806328.140755631</v>
      </c>
      <c r="K121" s="317">
        <f>IF(I121="","",ABS(J121-I121))</f>
        <v>12268776.046918534</v>
      </c>
      <c r="L121" s="8"/>
    </row>
    <row r="122" spans="1:12">
      <c r="A122" s="118">
        <v>53</v>
      </c>
      <c r="B122" s="54" t="s">
        <v>355</v>
      </c>
      <c r="C122" s="317">
        <v>24537552.093837097</v>
      </c>
      <c r="D122" s="317">
        <v>36806328.140755638</v>
      </c>
      <c r="E122" s="317">
        <f>IF(C122="","",ABS(D122-C122))</f>
        <v>12268776.046918541</v>
      </c>
      <c r="F122" s="8"/>
      <c r="G122" s="118">
        <v>53</v>
      </c>
      <c r="H122" s="54" t="s">
        <v>355</v>
      </c>
      <c r="I122" s="317">
        <v>24537552.093837097</v>
      </c>
      <c r="J122" s="317">
        <v>36806328.140755638</v>
      </c>
      <c r="K122" s="317">
        <f>IF(I122="","",ABS(J122-I122))</f>
        <v>12268776.046918541</v>
      </c>
      <c r="L122" s="8"/>
    </row>
    <row r="123" spans="1:12">
      <c r="A123" s="118">
        <v>54</v>
      </c>
      <c r="B123" s="54" t="s">
        <v>364</v>
      </c>
      <c r="C123" s="317">
        <v>20978344.880060658</v>
      </c>
      <c r="D123" s="317">
        <v>40365535.354532078</v>
      </c>
      <c r="E123" s="317">
        <f>IF(C123="","",ABS(D123-C123))</f>
        <v>19387190.47447142</v>
      </c>
      <c r="F123" s="8"/>
      <c r="G123" s="118">
        <v>54</v>
      </c>
      <c r="H123" s="54" t="s">
        <v>364</v>
      </c>
      <c r="I123" s="317">
        <v>20978344.880060658</v>
      </c>
      <c r="J123" s="317">
        <v>40365535.354532078</v>
      </c>
      <c r="K123" s="317">
        <f>IF(I123="","",ABS(J123-I123))</f>
        <v>19387190.47447142</v>
      </c>
      <c r="L123" s="8"/>
    </row>
    <row r="124" spans="1:12">
      <c r="A124" s="118">
        <v>55</v>
      </c>
      <c r="B124" s="54"/>
      <c r="C124" s="317"/>
      <c r="D124" s="317"/>
      <c r="E124" s="317" t="str">
        <f>IF(C124="","",ABS(D124-C124))</f>
        <v/>
      </c>
      <c r="F124" s="8"/>
      <c r="G124" s="118">
        <v>55</v>
      </c>
      <c r="H124" s="54"/>
      <c r="I124" s="317"/>
      <c r="J124" s="317"/>
      <c r="K124" s="317" t="str">
        <f>IF(I124="","",ABS(J124-I124))</f>
        <v/>
      </c>
      <c r="L124" s="8"/>
    </row>
    <row r="125" spans="1:12">
      <c r="A125" s="118">
        <v>56</v>
      </c>
      <c r="B125" s="54"/>
      <c r="C125" s="317"/>
      <c r="D125" s="317"/>
      <c r="E125" s="317" t="str">
        <f>IF(C125="","",ABS(D125-C125))</f>
        <v/>
      </c>
      <c r="F125" s="8"/>
      <c r="G125" s="118">
        <v>56</v>
      </c>
      <c r="H125" s="54"/>
      <c r="I125" s="317"/>
      <c r="J125" s="317"/>
      <c r="K125" s="317" t="str">
        <f>IF(I125="","",ABS(J125-I125))</f>
        <v/>
      </c>
      <c r="L125" s="8"/>
    </row>
    <row r="126" spans="1:12">
      <c r="A126" s="118">
        <v>57</v>
      </c>
      <c r="B126" s="54"/>
      <c r="C126" s="317"/>
      <c r="D126" s="317"/>
      <c r="E126" s="317" t="str">
        <f>IF(C126="","",ABS(D126-C126))</f>
        <v/>
      </c>
      <c r="F126" s="8"/>
      <c r="G126" s="118">
        <v>57</v>
      </c>
      <c r="H126" s="54"/>
      <c r="I126" s="317"/>
      <c r="J126" s="317"/>
      <c r="K126" s="317" t="str">
        <f>IF(I126="","",ABS(J126-I126))</f>
        <v/>
      </c>
      <c r="L126" s="8"/>
    </row>
    <row r="127" spans="1:12">
      <c r="A127" s="118">
        <v>58</v>
      </c>
      <c r="B127" s="54"/>
      <c r="C127" s="317"/>
      <c r="D127" s="317"/>
      <c r="E127" s="317" t="str">
        <f>IF(C127="","",ABS(D127-C127))</f>
        <v/>
      </c>
      <c r="F127" s="8"/>
      <c r="G127" s="118">
        <v>58</v>
      </c>
      <c r="H127" s="54"/>
      <c r="I127" s="317"/>
      <c r="J127" s="317"/>
      <c r="K127" s="317" t="str">
        <f>IF(I127="","",ABS(J127-I127))</f>
        <v/>
      </c>
      <c r="L127" s="8"/>
    </row>
    <row r="128" spans="1:12">
      <c r="A128" s="118">
        <v>59</v>
      </c>
      <c r="B128" s="54"/>
      <c r="C128" s="317"/>
      <c r="D128" s="317"/>
      <c r="E128" s="317" t="str">
        <f>IF(C128="","",ABS(D128-C128))</f>
        <v/>
      </c>
      <c r="F128" s="8"/>
      <c r="G128" s="118">
        <v>59</v>
      </c>
      <c r="H128" s="54"/>
      <c r="I128" s="317"/>
      <c r="J128" s="317"/>
      <c r="K128" s="317" t="str">
        <f>IF(I128="","",ABS(J128-I128))</f>
        <v/>
      </c>
      <c r="L128" s="8"/>
    </row>
    <row r="129" spans="1:19">
      <c r="A129" s="118">
        <v>60</v>
      </c>
      <c r="B129" s="54"/>
      <c r="C129" s="317"/>
      <c r="D129" s="317"/>
      <c r="E129" s="317" t="str">
        <f>IF(C129="","",ABS(D129-C129))</f>
        <v/>
      </c>
      <c r="F129" s="8"/>
      <c r="G129" s="118">
        <v>60</v>
      </c>
      <c r="H129" s="54"/>
      <c r="I129" s="317"/>
      <c r="J129" s="317"/>
      <c r="K129" s="317" t="str">
        <f>IF(I129="","",ABS(J129-I129))</f>
        <v/>
      </c>
      <c r="L129" s="8"/>
    </row>
    <row r="137" spans="1:19" s="3" customFormat="1" ht="13.95" customHeight="1">
      <c r="B137" s="7"/>
      <c r="C137" s="7"/>
      <c r="D137" s="7"/>
      <c r="E137" s="7"/>
      <c r="F137" s="7"/>
      <c r="G137" s="7"/>
      <c r="H137" s="7"/>
      <c r="I137" s="7"/>
      <c r="J137" s="7"/>
      <c r="K137" s="7"/>
      <c r="L137" s="142"/>
      <c r="M137" s="9"/>
      <c r="N137" s="9"/>
      <c r="O137" s="9"/>
      <c r="P137" s="9"/>
      <c r="Q137" s="9"/>
      <c r="R137" s="9"/>
      <c r="S137" s="9"/>
    </row>
    <row r="138" spans="1:19" s="3" customFormat="1">
      <c r="B138" s="65"/>
      <c r="C138" s="65"/>
      <c r="D138" s="65"/>
      <c r="E138" s="65"/>
      <c r="F138" s="65"/>
      <c r="G138" s="65"/>
      <c r="H138" s="65"/>
      <c r="I138" s="65"/>
      <c r="J138" s="65"/>
      <c r="K138" s="65"/>
      <c r="L138" s="65"/>
    </row>
    <row r="139" spans="1:19" s="3" customFormat="1" ht="14.55" customHeight="1">
      <c r="B139" s="406" t="s">
        <v>77</v>
      </c>
      <c r="C139" s="406"/>
      <c r="D139" s="406"/>
      <c r="E139" s="406"/>
      <c r="F139" s="406"/>
      <c r="G139" s="406"/>
      <c r="H139" s="406"/>
      <c r="I139" s="406"/>
      <c r="J139" s="406"/>
      <c r="K139" s="406"/>
      <c r="L139" s="406"/>
    </row>
    <row r="140" spans="1:19" s="3" customFormat="1">
      <c r="B140" s="378"/>
      <c r="C140" s="378"/>
      <c r="D140" s="378"/>
      <c r="E140" s="378"/>
      <c r="F140" s="378"/>
      <c r="G140" s="378"/>
      <c r="H140" s="378"/>
      <c r="I140" s="378"/>
      <c r="J140" s="378"/>
      <c r="K140" s="378"/>
      <c r="L140" s="378"/>
    </row>
    <row r="141" spans="1:19" ht="85.95" customHeight="1">
      <c r="A141" s="1"/>
      <c r="B141" s="405" t="e" vm="1">
        <v>#VALUE!</v>
      </c>
      <c r="C141" s="405"/>
      <c r="D141" s="405"/>
      <c r="E141" s="405"/>
      <c r="F141" s="405"/>
      <c r="G141" s="405"/>
      <c r="H141" s="405"/>
      <c r="I141" s="405"/>
      <c r="J141" s="405"/>
      <c r="K141" s="405"/>
      <c r="L141" s="405"/>
    </row>
  </sheetData>
  <mergeCells count="2">
    <mergeCell ref="B139:L139"/>
    <mergeCell ref="B141:L14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189</vt:i4>
      </vt:variant>
    </vt:vector>
  </HeadingPairs>
  <TitlesOfParts>
    <vt:vector size="204" baseType="lpstr">
      <vt:lpstr>Introduction</vt:lpstr>
      <vt:lpstr>Definitions</vt:lpstr>
      <vt:lpstr>Mkt share</vt:lpstr>
      <vt:lpstr>Population</vt:lpstr>
      <vt:lpstr>Costs</vt:lpstr>
      <vt:lpstr>Time on treatment</vt:lpstr>
      <vt:lpstr>Results</vt:lpstr>
      <vt:lpstr>SensibilityAn</vt:lpstr>
      <vt:lpstr>PSA</vt:lpstr>
      <vt:lpstr>Data</vt:lpstr>
      <vt:lpstr>Calculations</vt:lpstr>
      <vt:lpstr>Calculations2</vt:lpstr>
      <vt:lpstr>Calculations3</vt:lpstr>
      <vt:lpstr>Parameters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desc_por_ob</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dynamic</vt:lpstr>
      <vt:lpstr>horizonte</vt:lpstr>
      <vt:lpstr>intervencao1</vt:lpstr>
      <vt:lpstr>intervencao2</vt:lpstr>
      <vt:lpstr>intervencao3</vt:lpstr>
      <vt:lpstr>intervencao4</vt:lpstr>
      <vt:lpstr>line</vt:lpstr>
      <vt:lpstr>morte</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 Ludmila Peres Gargano</dc:creator>
  <cp:keywords/>
  <dc:description/>
  <cp:lastModifiedBy>Revisor</cp:lastModifiedBy>
  <cp:revision/>
  <dcterms:created xsi:type="dcterms:W3CDTF">2024-03-04T15:47:50Z</dcterms:created>
  <dcterms:modified xsi:type="dcterms:W3CDTF">2026-09-24T19:40:28Z</dcterms:modified>
  <cp:category/>
  <cp:contentStatus/>
</cp:coreProperties>
</file>